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amil\OneDrive\Desktop\"/>
    </mc:Choice>
  </mc:AlternateContent>
  <bookViews>
    <workbookView xWindow="0" yWindow="0" windowWidth="23040" windowHeight="8496" firstSheet="4" activeTab="6"/>
  </bookViews>
  <sheets>
    <sheet name="Seguridad Humana" sheetId="1" r:id="rId1"/>
    <sheet name="Vida Digna" sheetId="2" r:id="rId2"/>
    <sheet name="Desarrollo Economico" sheetId="3" r:id="rId3"/>
    <sheet name="Ciudad Conectada" sheetId="4" r:id="rId4"/>
    <sheet name="Innovación Pública" sheetId="5" r:id="rId5"/>
    <sheet name="Capitulo Etnico" sheetId="6" r:id="rId6"/>
    <sheet name="PLAN DE DESARROLLO 2024 - 2027" sheetId="8" r:id="rId7"/>
    <sheet name="SEGUIMIENTO DEL PLAN DE DESARRO" sheetId="7" r:id="rId8"/>
    <sheet name="CRITERIOS DE EVALUACIÓN 2026" sheetId="20" r:id="rId9"/>
    <sheet name="CRITERIOS DE EVALUACIÓN 2025" sheetId="9" r:id="rId10"/>
  </sheets>
  <definedNames>
    <definedName name="_xlnm._FilterDatabase" localSheetId="5" hidden="1">'Capitulo Etnico'!$A$2:$AU$53</definedName>
    <definedName name="_xlnm._FilterDatabase" localSheetId="3" hidden="1">'Ciudad Conectada'!$B$2:$AS$171</definedName>
    <definedName name="_xlnm._FilterDatabase" localSheetId="2" hidden="1">'Desarrollo Economico'!$A$2:$AU$132</definedName>
    <definedName name="_xlnm._FilterDatabase" localSheetId="4" hidden="1">'Innovación Pública'!$A$2:$AV$141</definedName>
    <definedName name="_xlnm._FilterDatabase" localSheetId="6" hidden="1">'PLAN DE DESARROLLO 2024 - 2027'!$B$2:$Z$206</definedName>
    <definedName name="_xlnm._FilterDatabase" localSheetId="0" hidden="1">'Seguridad Humana'!$A$2:$BC$211</definedName>
    <definedName name="_xlnm._FilterDatabase" localSheetId="1" hidden="1">'Vida Digna'!$A$2:$AZ$205</definedName>
  </definedNames>
  <calcPr calcId="162913"/>
</workbook>
</file>

<file path=xl/calcChain.xml><?xml version="1.0" encoding="utf-8"?>
<calcChain xmlns="http://schemas.openxmlformats.org/spreadsheetml/2006/main">
  <c r="H122" i="8" l="1"/>
  <c r="AK3" i="4" l="1"/>
  <c r="P26" i="8"/>
  <c r="AK130" i="2" l="1"/>
  <c r="AK86" i="1" l="1"/>
  <c r="AK84" i="1"/>
  <c r="AE83" i="1"/>
  <c r="AK66" i="1"/>
  <c r="AB7" i="1"/>
  <c r="W7" i="1"/>
  <c r="AK7" i="1"/>
  <c r="AB69" i="3" l="1"/>
  <c r="AE69" i="3" s="1"/>
  <c r="AK17" i="2" l="1"/>
  <c r="Y158" i="2" l="1"/>
  <c r="Y147" i="2"/>
  <c r="Y141" i="2"/>
  <c r="AE134" i="1" l="1"/>
  <c r="AK134" i="1" s="1"/>
  <c r="AE133" i="1"/>
  <c r="AK133" i="1" s="1"/>
  <c r="AK132" i="1"/>
  <c r="AE132" i="1"/>
  <c r="AK96" i="1" l="1"/>
  <c r="F155" i="8" l="1"/>
  <c r="F149" i="8"/>
  <c r="L45" i="6"/>
  <c r="L29" i="5"/>
  <c r="L76" i="4"/>
  <c r="L31" i="4"/>
  <c r="L112" i="2"/>
  <c r="L32" i="2"/>
  <c r="L28" i="6" l="1"/>
  <c r="O4" i="8" l="1"/>
  <c r="AH48" i="1"/>
  <c r="L45" i="1"/>
  <c r="L29" i="1"/>
  <c r="K17" i="1"/>
  <c r="X70" i="4" l="1"/>
  <c r="I70" i="4"/>
  <c r="I143" i="4"/>
  <c r="I142" i="4"/>
  <c r="L49" i="4" l="1"/>
  <c r="AM26" i="3"/>
  <c r="L31" i="5" l="1"/>
  <c r="X39" i="6" l="1"/>
  <c r="I13" i="6"/>
  <c r="L9" i="6"/>
  <c r="AH48" i="6"/>
  <c r="AH16" i="6"/>
  <c r="AH15" i="6"/>
  <c r="AG56" i="5" l="1"/>
  <c r="V19" i="6" l="1"/>
  <c r="V7" i="2"/>
  <c r="V135" i="2" l="1"/>
  <c r="X129" i="5" l="1"/>
  <c r="V19" i="4"/>
  <c r="L117" i="1" l="1"/>
  <c r="M69" i="8" l="1"/>
  <c r="L173" i="1"/>
  <c r="L211" i="1"/>
  <c r="L210" i="1"/>
  <c r="L208" i="1"/>
  <c r="L207" i="1"/>
  <c r="L205" i="1"/>
  <c r="L204" i="1"/>
  <c r="L202" i="1"/>
  <c r="L201" i="1"/>
  <c r="L200" i="1"/>
  <c r="L198" i="1"/>
  <c r="L197" i="1"/>
  <c r="L196" i="1"/>
  <c r="L194" i="1"/>
  <c r="L193" i="1"/>
  <c r="L191" i="1"/>
  <c r="L190" i="1"/>
  <c r="L189" i="1"/>
  <c r="L187" i="1"/>
  <c r="L185" i="1"/>
  <c r="L183" i="1"/>
  <c r="L182" i="1"/>
  <c r="L181" i="1"/>
  <c r="L180" i="1"/>
  <c r="L177" i="1"/>
  <c r="L176" i="1"/>
  <c r="L174" i="1"/>
  <c r="L170" i="1"/>
  <c r="AH108" i="5" l="1"/>
  <c r="AB108" i="5"/>
  <c r="AB107" i="5"/>
  <c r="AE107" i="5" s="1"/>
  <c r="AH107" i="5" s="1"/>
  <c r="AB106" i="5"/>
  <c r="AE106" i="5" s="1"/>
  <c r="AH106" i="5" s="1"/>
  <c r="L107" i="5"/>
  <c r="L106" i="5"/>
  <c r="L105" i="5" s="1"/>
  <c r="F190" i="8" s="1"/>
  <c r="I65" i="3"/>
  <c r="L34" i="1"/>
  <c r="AE105" i="5" l="1"/>
  <c r="M190" i="8" s="1"/>
  <c r="I117" i="4" l="1"/>
  <c r="I112" i="4"/>
  <c r="AB52" i="6" l="1"/>
  <c r="AE52" i="6" s="1"/>
  <c r="AH52" i="6" s="1"/>
  <c r="AB51" i="6"/>
  <c r="AE51" i="6" s="1"/>
  <c r="AH51" i="6" s="1"/>
  <c r="AB50" i="6"/>
  <c r="AE50" i="6" s="1"/>
  <c r="AH50" i="6" s="1"/>
  <c r="AB49" i="6"/>
  <c r="AE49" i="6" s="1"/>
  <c r="AH49" i="6" s="1"/>
  <c r="AB48" i="6"/>
  <c r="AB46" i="6"/>
  <c r="AE46" i="6" s="1"/>
  <c r="AH46" i="6" s="1"/>
  <c r="AB45" i="6"/>
  <c r="AE45" i="6" s="1"/>
  <c r="AH45" i="6" s="1"/>
  <c r="AB44" i="6"/>
  <c r="AE44" i="6" s="1"/>
  <c r="AH44" i="6" s="1"/>
  <c r="AB43" i="6"/>
  <c r="AE43" i="6" s="1"/>
  <c r="AH43" i="6" s="1"/>
  <c r="AB42" i="6"/>
  <c r="AE42" i="6" s="1"/>
  <c r="AH42" i="6" s="1"/>
  <c r="AB41" i="6"/>
  <c r="AE41" i="6" s="1"/>
  <c r="AH41" i="6" s="1"/>
  <c r="AB39" i="6"/>
  <c r="AE39" i="6" s="1"/>
  <c r="AH39" i="6" s="1"/>
  <c r="AB38" i="6"/>
  <c r="AB37" i="6"/>
  <c r="AE37" i="6" s="1"/>
  <c r="AH37" i="6" s="1"/>
  <c r="AB36" i="6"/>
  <c r="AE36" i="6" s="1"/>
  <c r="AH36" i="6" s="1"/>
  <c r="AB35" i="6"/>
  <c r="AE35" i="6" s="1"/>
  <c r="AH35" i="6" s="1"/>
  <c r="AB34" i="6"/>
  <c r="AE34" i="6" s="1"/>
  <c r="AH34" i="6" s="1"/>
  <c r="AB33" i="6"/>
  <c r="AE33" i="6" s="1"/>
  <c r="AH33" i="6" s="1"/>
  <c r="AB32" i="6"/>
  <c r="L52" i="6"/>
  <c r="L51" i="6"/>
  <c r="L50" i="6"/>
  <c r="L49" i="6"/>
  <c r="L46" i="6"/>
  <c r="L44" i="6"/>
  <c r="L43" i="6"/>
  <c r="L42" i="6"/>
  <c r="L41" i="6"/>
  <c r="L39" i="6"/>
  <c r="L37" i="6"/>
  <c r="L36" i="6"/>
  <c r="L35" i="6"/>
  <c r="L34" i="6"/>
  <c r="L33" i="6"/>
  <c r="AK15" i="6"/>
  <c r="AB27" i="6"/>
  <c r="W14" i="6"/>
  <c r="W22" i="6"/>
  <c r="AB29" i="6"/>
  <c r="AE29" i="6" s="1"/>
  <c r="AH29" i="6" s="1"/>
  <c r="AB28" i="6"/>
  <c r="AE28" i="6" s="1"/>
  <c r="AH28" i="6" s="1"/>
  <c r="AB26" i="6"/>
  <c r="AB25" i="6"/>
  <c r="AE25" i="6" s="1"/>
  <c r="AH25" i="6" s="1"/>
  <c r="AB24" i="6"/>
  <c r="AH24" i="6" s="1"/>
  <c r="AB23" i="6"/>
  <c r="AE23" i="6" s="1"/>
  <c r="AH23" i="6" s="1"/>
  <c r="AB21" i="6"/>
  <c r="AE21" i="6" s="1"/>
  <c r="AH21" i="6" s="1"/>
  <c r="AB20" i="6"/>
  <c r="AE20" i="6" s="1"/>
  <c r="AH20" i="6" s="1"/>
  <c r="AB19" i="6"/>
  <c r="AE19" i="6" s="1"/>
  <c r="AH19" i="6" s="1"/>
  <c r="AB18" i="6"/>
  <c r="AE18" i="6" s="1"/>
  <c r="AH18" i="6" s="1"/>
  <c r="AB17" i="6"/>
  <c r="AE17" i="6" s="1"/>
  <c r="AH17" i="6" s="1"/>
  <c r="AB16" i="6"/>
  <c r="AB13" i="6"/>
  <c r="AE13" i="6" s="1"/>
  <c r="AH13" i="6" s="1"/>
  <c r="AB12" i="6"/>
  <c r="AE12" i="6" s="1"/>
  <c r="AH12" i="6" s="1"/>
  <c r="AB11" i="6"/>
  <c r="AE11" i="6" s="1"/>
  <c r="AH11" i="6" s="1"/>
  <c r="AB10" i="6"/>
  <c r="AB9" i="6"/>
  <c r="AB8" i="6"/>
  <c r="AE8" i="6" s="1"/>
  <c r="AH8" i="6" s="1"/>
  <c r="AB7" i="6"/>
  <c r="AE7" i="6" s="1"/>
  <c r="AH7" i="6" s="1"/>
  <c r="AB6" i="6"/>
  <c r="AE6" i="6" s="1"/>
  <c r="AH6" i="6" s="1"/>
  <c r="L29" i="6"/>
  <c r="L25" i="6"/>
  <c r="L24" i="6"/>
  <c r="L23" i="6"/>
  <c r="L21" i="6"/>
  <c r="L20" i="6"/>
  <c r="L18" i="6"/>
  <c r="L17" i="6"/>
  <c r="L16" i="6"/>
  <c r="L7" i="6"/>
  <c r="L8" i="6"/>
  <c r="L11" i="6"/>
  <c r="L12" i="6"/>
  <c r="L13" i="6"/>
  <c r="L6" i="6"/>
  <c r="V139" i="1"/>
  <c r="V138" i="1"/>
  <c r="V137" i="1"/>
  <c r="V134" i="1"/>
  <c r="V132" i="1"/>
  <c r="AE26" i="6" l="1"/>
  <c r="AH26" i="6" s="1"/>
  <c r="AH22" i="6" s="1"/>
  <c r="AE9" i="6"/>
  <c r="AH9" i="6" s="1"/>
  <c r="AH5" i="6" s="1"/>
  <c r="L47" i="6"/>
  <c r="F206" i="8" s="1"/>
  <c r="AH40" i="6"/>
  <c r="AE40" i="6"/>
  <c r="M205" i="8" s="1"/>
  <c r="L22" i="6"/>
  <c r="F202" i="8" s="1"/>
  <c r="AH14" i="6"/>
  <c r="AE14" i="6"/>
  <c r="M201" i="8" s="1"/>
  <c r="AE47" i="6"/>
  <c r="M206" i="8" s="1"/>
  <c r="AH47" i="6"/>
  <c r="AH31" i="6"/>
  <c r="AE31" i="6"/>
  <c r="M204" i="8" s="1"/>
  <c r="AN15" i="6"/>
  <c r="L14" i="6"/>
  <c r="F201" i="8" s="1"/>
  <c r="L31" i="6"/>
  <c r="F204" i="8" s="1"/>
  <c r="L5" i="6"/>
  <c r="F200" i="8" s="1"/>
  <c r="L40" i="6"/>
  <c r="F205" i="8" s="1"/>
  <c r="AE5" i="6" l="1"/>
  <c r="M200" i="8" s="1"/>
  <c r="AE22" i="6"/>
  <c r="M202" i="8" s="1"/>
  <c r="F199" i="8"/>
  <c r="F203" i="8"/>
  <c r="L4" i="6"/>
  <c r="AH4" i="6"/>
  <c r="L30" i="6"/>
  <c r="AH30" i="6"/>
  <c r="AE30" i="6"/>
  <c r="AN111" i="5"/>
  <c r="AN133" i="5"/>
  <c r="AN126" i="5"/>
  <c r="AN114" i="5"/>
  <c r="AH136" i="5"/>
  <c r="AB124" i="5"/>
  <c r="AE124" i="5" s="1"/>
  <c r="AB132" i="5"/>
  <c r="AB141" i="5"/>
  <c r="AE141" i="5" s="1"/>
  <c r="AB140" i="5"/>
  <c r="AE140" i="5" s="1"/>
  <c r="AB138" i="5"/>
  <c r="AE138" i="5" s="1"/>
  <c r="AH138" i="5" s="1"/>
  <c r="AB137" i="5"/>
  <c r="AE137" i="5" s="1"/>
  <c r="AH137" i="5" s="1"/>
  <c r="AB136" i="5"/>
  <c r="AB135" i="5"/>
  <c r="AE135" i="5" s="1"/>
  <c r="AH135" i="5" s="1"/>
  <c r="AB133" i="5"/>
  <c r="AE133" i="5" s="1"/>
  <c r="AH133" i="5" s="1"/>
  <c r="AB130" i="5"/>
  <c r="AE130" i="5" s="1"/>
  <c r="AH130" i="5" s="1"/>
  <c r="AB129" i="5"/>
  <c r="AE129" i="5" s="1"/>
  <c r="AB128" i="5"/>
  <c r="AE128" i="5" s="1"/>
  <c r="AH128" i="5" s="1"/>
  <c r="AB127" i="5"/>
  <c r="AB126" i="5"/>
  <c r="AE126" i="5" s="1"/>
  <c r="AH126" i="5" s="1"/>
  <c r="AB125" i="5"/>
  <c r="AB122" i="5"/>
  <c r="AE122" i="5" s="1"/>
  <c r="AH122" i="5" s="1"/>
  <c r="AB121" i="5"/>
  <c r="AB120" i="5"/>
  <c r="AB119" i="5"/>
  <c r="AE119" i="5" s="1"/>
  <c r="AH119" i="5" s="1"/>
  <c r="AB118" i="5"/>
  <c r="AB117" i="5"/>
  <c r="AB115" i="5"/>
  <c r="AE115" i="5" s="1"/>
  <c r="AH115" i="5" s="1"/>
  <c r="AB114" i="5"/>
  <c r="AE114" i="5" s="1"/>
  <c r="AH114" i="5" s="1"/>
  <c r="AB113" i="5"/>
  <c r="AB112" i="5"/>
  <c r="AH112" i="5" s="1"/>
  <c r="AB111" i="5"/>
  <c r="AE111" i="5" s="1"/>
  <c r="L137" i="5"/>
  <c r="L141" i="5"/>
  <c r="L140" i="5"/>
  <c r="L138" i="5"/>
  <c r="L135" i="5"/>
  <c r="L133" i="5"/>
  <c r="L132" i="5"/>
  <c r="L131" i="5" s="1"/>
  <c r="F195" i="8" s="1"/>
  <c r="L130" i="5"/>
  <c r="L129" i="5"/>
  <c r="L128" i="5"/>
  <c r="L127" i="5"/>
  <c r="L125" i="5"/>
  <c r="L124" i="5"/>
  <c r="L122" i="5"/>
  <c r="L121" i="5"/>
  <c r="L120" i="5"/>
  <c r="L119" i="5"/>
  <c r="L118" i="5"/>
  <c r="L117" i="5"/>
  <c r="L115" i="5"/>
  <c r="AH100" i="5"/>
  <c r="M187" i="8"/>
  <c r="AB104" i="5"/>
  <c r="AE104" i="5" s="1"/>
  <c r="AH104" i="5" s="1"/>
  <c r="AB103" i="5"/>
  <c r="AB102" i="5"/>
  <c r="AE102" i="5" s="1"/>
  <c r="AH102" i="5" s="1"/>
  <c r="AB101" i="5"/>
  <c r="AH101" i="5" s="1"/>
  <c r="AB100" i="5"/>
  <c r="AB98" i="5"/>
  <c r="AE98" i="5" s="1"/>
  <c r="AH98" i="5" s="1"/>
  <c r="AB97" i="5"/>
  <c r="AE97" i="5" s="1"/>
  <c r="AH97" i="5" s="1"/>
  <c r="AB96" i="5"/>
  <c r="AE96" i="5" s="1"/>
  <c r="AH96" i="5" s="1"/>
  <c r="AB95" i="5"/>
  <c r="AE95" i="5" s="1"/>
  <c r="AH95" i="5" s="1"/>
  <c r="AB93" i="5"/>
  <c r="AB91" i="5"/>
  <c r="AH91" i="5" s="1"/>
  <c r="AB90" i="5"/>
  <c r="AE90" i="5" s="1"/>
  <c r="AH90" i="5" s="1"/>
  <c r="AB89" i="5"/>
  <c r="AH89" i="5" s="1"/>
  <c r="AB88" i="5"/>
  <c r="AE88" i="5" s="1"/>
  <c r="AH88" i="5" s="1"/>
  <c r="AB87" i="5"/>
  <c r="AH87" i="5" s="1"/>
  <c r="AB86" i="5"/>
  <c r="AB84" i="5"/>
  <c r="AB83" i="5"/>
  <c r="AB82" i="5"/>
  <c r="AB81" i="5"/>
  <c r="AB80" i="5"/>
  <c r="AB79" i="5"/>
  <c r="L103" i="5"/>
  <c r="L104" i="5"/>
  <c r="L102" i="5"/>
  <c r="L98" i="5"/>
  <c r="L97" i="5"/>
  <c r="L96" i="5"/>
  <c r="L95" i="5"/>
  <c r="L93" i="5"/>
  <c r="L92" i="5" s="1"/>
  <c r="F187" i="8" s="1"/>
  <c r="L90" i="5"/>
  <c r="L88" i="5"/>
  <c r="L86" i="5"/>
  <c r="L84" i="5"/>
  <c r="L83" i="5"/>
  <c r="L82" i="5"/>
  <c r="L81" i="5"/>
  <c r="L80" i="5"/>
  <c r="L79" i="5"/>
  <c r="AB62" i="5"/>
  <c r="AE62" i="5" s="1"/>
  <c r="AB67" i="5"/>
  <c r="AE67" i="5" s="1"/>
  <c r="AB70" i="5"/>
  <c r="AE70" i="5" s="1"/>
  <c r="AH70" i="5" s="1"/>
  <c r="AB76" i="5"/>
  <c r="AB73" i="5"/>
  <c r="AE73" i="5" s="1"/>
  <c r="AH73" i="5" s="1"/>
  <c r="AB75" i="5"/>
  <c r="AE75" i="5" s="1"/>
  <c r="AB72" i="5"/>
  <c r="AE72" i="5" s="1"/>
  <c r="AH72" i="5" s="1"/>
  <c r="AB71" i="5"/>
  <c r="AE71" i="5" s="1"/>
  <c r="AH71" i="5" s="1"/>
  <c r="AB69" i="5"/>
  <c r="AE69" i="5" s="1"/>
  <c r="AB65" i="5"/>
  <c r="AE65" i="5" s="1"/>
  <c r="AH65" i="5" s="1"/>
  <c r="AB64" i="5"/>
  <c r="AE64" i="5" s="1"/>
  <c r="AH64" i="5" s="1"/>
  <c r="AB63" i="5"/>
  <c r="AE63" i="5" s="1"/>
  <c r="AH63" i="5" s="1"/>
  <c r="AB60" i="5"/>
  <c r="AE60" i="5" s="1"/>
  <c r="AH60" i="5" s="1"/>
  <c r="AB59" i="5"/>
  <c r="AE59" i="5" s="1"/>
  <c r="L65" i="5"/>
  <c r="L60" i="5"/>
  <c r="L76" i="5"/>
  <c r="L75" i="5"/>
  <c r="L73" i="5"/>
  <c r="L72" i="5"/>
  <c r="L71" i="5"/>
  <c r="L70" i="5"/>
  <c r="L69" i="5"/>
  <c r="L67" i="5"/>
  <c r="L66" i="5" s="1"/>
  <c r="F181" i="8" s="1"/>
  <c r="L64" i="5"/>
  <c r="L63" i="5"/>
  <c r="L62" i="5"/>
  <c r="L59" i="5"/>
  <c r="L50" i="5"/>
  <c r="AN56" i="5"/>
  <c r="AN55" i="5" s="1"/>
  <c r="S177" i="8" s="1"/>
  <c r="AK55" i="5"/>
  <c r="P177" i="8" s="1"/>
  <c r="AB56" i="5"/>
  <c r="AE56" i="5" s="1"/>
  <c r="AE55" i="5" s="1"/>
  <c r="M177" i="8" s="1"/>
  <c r="AB54" i="5"/>
  <c r="AE54" i="5" s="1"/>
  <c r="AH54" i="5" s="1"/>
  <c r="AB53" i="5"/>
  <c r="AE53" i="5" s="1"/>
  <c r="AH53" i="5" s="1"/>
  <c r="AB52" i="5"/>
  <c r="AE52" i="5" s="1"/>
  <c r="AH52" i="5" s="1"/>
  <c r="AB51" i="5"/>
  <c r="AE51" i="5" s="1"/>
  <c r="AH51" i="5" s="1"/>
  <c r="L56" i="5"/>
  <c r="L55" i="5" s="1"/>
  <c r="F177" i="8" s="1"/>
  <c r="L54" i="5"/>
  <c r="L53" i="5"/>
  <c r="L52" i="5"/>
  <c r="L51" i="5"/>
  <c r="AH47" i="5"/>
  <c r="AB47" i="5"/>
  <c r="AB46" i="5"/>
  <c r="AB45" i="5"/>
  <c r="AE45" i="5" s="1"/>
  <c r="AH45" i="5" s="1"/>
  <c r="AB44" i="5"/>
  <c r="AE44" i="5" s="1"/>
  <c r="AH44" i="5" s="1"/>
  <c r="AB42" i="5"/>
  <c r="AE42" i="5" s="1"/>
  <c r="AH42" i="5" s="1"/>
  <c r="AB41" i="5"/>
  <c r="AE41" i="5" s="1"/>
  <c r="AB39" i="5"/>
  <c r="AE39" i="5" s="1"/>
  <c r="AH39" i="5" s="1"/>
  <c r="AB38" i="5"/>
  <c r="AE38" i="5" s="1"/>
  <c r="AH38" i="5" s="1"/>
  <c r="AB37" i="5"/>
  <c r="AE37" i="5" s="1"/>
  <c r="AB35" i="5"/>
  <c r="AE35" i="5" s="1"/>
  <c r="AH35" i="5" s="1"/>
  <c r="AB34" i="5"/>
  <c r="AH34" i="5" s="1"/>
  <c r="AB33" i="5"/>
  <c r="AB31" i="5"/>
  <c r="AE31" i="5" s="1"/>
  <c r="AE30" i="5" s="1"/>
  <c r="M170" i="8" s="1"/>
  <c r="AB29" i="5"/>
  <c r="AH29" i="5" s="1"/>
  <c r="AB28" i="5"/>
  <c r="AE28" i="5" s="1"/>
  <c r="AH28" i="5" s="1"/>
  <c r="AB27" i="5"/>
  <c r="AE27" i="5" s="1"/>
  <c r="AB25" i="5"/>
  <c r="AE25" i="5" s="1"/>
  <c r="AH25" i="5" s="1"/>
  <c r="AB24" i="5"/>
  <c r="AE24" i="5" s="1"/>
  <c r="AB22" i="5"/>
  <c r="AE22" i="5" s="1"/>
  <c r="AH22" i="5" s="1"/>
  <c r="AB21" i="5"/>
  <c r="AE21" i="5" s="1"/>
  <c r="AH21" i="5" s="1"/>
  <c r="AB20" i="5"/>
  <c r="AE20" i="5" s="1"/>
  <c r="AH20" i="5" s="1"/>
  <c r="AB19" i="5"/>
  <c r="AE19" i="5" s="1"/>
  <c r="L46" i="5"/>
  <c r="L47" i="5"/>
  <c r="L45" i="5"/>
  <c r="L44" i="5"/>
  <c r="L43" i="5" s="1"/>
  <c r="F174" i="8" s="1"/>
  <c r="L42" i="5"/>
  <c r="L41" i="5"/>
  <c r="L39" i="5"/>
  <c r="L38" i="5"/>
  <c r="L37" i="5"/>
  <c r="L35" i="5"/>
  <c r="L30" i="5"/>
  <c r="F170" i="8" s="1"/>
  <c r="L28" i="5"/>
  <c r="L27" i="5"/>
  <c r="L25" i="5"/>
  <c r="L24" i="5"/>
  <c r="L22" i="5"/>
  <c r="L20" i="5"/>
  <c r="L19" i="5"/>
  <c r="L16" i="5"/>
  <c r="AN16" i="5"/>
  <c r="AB16" i="5"/>
  <c r="AE16" i="5" s="1"/>
  <c r="AH16" i="5" s="1"/>
  <c r="AB15" i="5"/>
  <c r="AE15" i="5" s="1"/>
  <c r="AH15" i="5" s="1"/>
  <c r="AB14" i="5"/>
  <c r="AE14" i="5" s="1"/>
  <c r="AH14" i="5" s="1"/>
  <c r="AB13" i="5"/>
  <c r="AE13" i="5" s="1"/>
  <c r="AB11" i="5"/>
  <c r="AE11" i="5" s="1"/>
  <c r="AH11" i="5" s="1"/>
  <c r="AB10" i="5"/>
  <c r="AE10" i="5" s="1"/>
  <c r="AB7" i="5"/>
  <c r="AE7" i="5" s="1"/>
  <c r="AH7" i="5" s="1"/>
  <c r="AB8" i="5"/>
  <c r="AE8" i="5" s="1"/>
  <c r="AH8" i="5" s="1"/>
  <c r="AB6" i="5"/>
  <c r="AE6" i="5" s="1"/>
  <c r="L11" i="5"/>
  <c r="L14" i="5"/>
  <c r="L15" i="5"/>
  <c r="L13" i="5"/>
  <c r="L10" i="5"/>
  <c r="L7" i="5"/>
  <c r="L8" i="5"/>
  <c r="L6" i="5"/>
  <c r="O4" i="5"/>
  <c r="O3" i="5" s="1"/>
  <c r="AH171" i="4"/>
  <c r="AB171" i="4"/>
  <c r="AB170" i="4"/>
  <c r="AB169" i="4"/>
  <c r="AE169" i="4" s="1"/>
  <c r="L171" i="4"/>
  <c r="L170" i="4"/>
  <c r="L169" i="4"/>
  <c r="AN158" i="4"/>
  <c r="AN155" i="4"/>
  <c r="AN147" i="4"/>
  <c r="AN146" i="4"/>
  <c r="AN143" i="4"/>
  <c r="AN142" i="4"/>
  <c r="AN141" i="4"/>
  <c r="AK140" i="4"/>
  <c r="P155" i="8" s="1"/>
  <c r="AH166" i="4"/>
  <c r="AH149" i="4"/>
  <c r="AH130" i="4"/>
  <c r="AH119" i="4"/>
  <c r="AH93" i="4"/>
  <c r="AH85" i="4"/>
  <c r="AH165" i="4"/>
  <c r="AH164" i="4"/>
  <c r="AH162" i="4"/>
  <c r="AH161" i="4"/>
  <c r="AH160" i="4"/>
  <c r="AH139" i="4"/>
  <c r="AB148" i="4"/>
  <c r="AE148" i="4" s="1"/>
  <c r="AH148" i="4" s="1"/>
  <c r="AB166" i="4"/>
  <c r="AB165" i="4"/>
  <c r="AB164" i="4"/>
  <c r="AB163" i="4"/>
  <c r="AE163" i="4" s="1"/>
  <c r="AH163" i="4" s="1"/>
  <c r="AB162" i="4"/>
  <c r="AB161" i="4"/>
  <c r="AB160" i="4"/>
  <c r="AB158" i="4"/>
  <c r="AB157" i="4"/>
  <c r="AH157" i="4" s="1"/>
  <c r="AB156" i="4"/>
  <c r="AB155" i="4"/>
  <c r="AB154" i="4"/>
  <c r="AB153" i="4"/>
  <c r="AB152" i="4"/>
  <c r="AH152" i="4" s="1"/>
  <c r="AB151" i="4"/>
  <c r="AE151" i="4" s="1"/>
  <c r="AH151" i="4" s="1"/>
  <c r="AB149" i="4"/>
  <c r="AB147" i="4"/>
  <c r="AE147" i="4" s="1"/>
  <c r="AH147" i="4" s="1"/>
  <c r="AB146" i="4"/>
  <c r="AB145" i="4"/>
  <c r="AE145" i="4" s="1"/>
  <c r="AH145" i="4" s="1"/>
  <c r="AB143" i="4"/>
  <c r="AB142" i="4"/>
  <c r="AH142" i="4" s="1"/>
  <c r="AB141" i="4"/>
  <c r="AE141" i="4" s="1"/>
  <c r="AB139" i="4"/>
  <c r="AB138" i="4"/>
  <c r="AE138" i="4" s="1"/>
  <c r="AB137" i="4"/>
  <c r="AE137" i="4" s="1"/>
  <c r="AH137" i="4" s="1"/>
  <c r="L163" i="4"/>
  <c r="L166" i="4"/>
  <c r="L165" i="4"/>
  <c r="L157" i="4"/>
  <c r="L156" i="4"/>
  <c r="L154" i="4"/>
  <c r="L152" i="4"/>
  <c r="L148" i="4"/>
  <c r="L145" i="4"/>
  <c r="L138" i="4"/>
  <c r="L137" i="4"/>
  <c r="L134" i="4"/>
  <c r="AN127" i="4"/>
  <c r="AN133" i="4"/>
  <c r="AN132" i="4"/>
  <c r="AN130" i="4"/>
  <c r="AN126" i="4"/>
  <c r="AN104" i="4"/>
  <c r="AN103" i="4"/>
  <c r="AN102" i="4"/>
  <c r="AN101" i="4"/>
  <c r="AN100" i="4" s="1"/>
  <c r="S149" i="8" s="1"/>
  <c r="AM99" i="4"/>
  <c r="AK100" i="4"/>
  <c r="P149" i="8" s="1"/>
  <c r="AH124" i="4"/>
  <c r="AH123" i="4"/>
  <c r="AH103" i="4"/>
  <c r="AH102" i="4"/>
  <c r="AB124" i="4"/>
  <c r="AB133" i="4"/>
  <c r="AE133" i="4" s="1"/>
  <c r="AH133" i="4" s="1"/>
  <c r="AB134" i="4"/>
  <c r="AE134" i="4" s="1"/>
  <c r="AH134" i="4" s="1"/>
  <c r="AB132" i="4"/>
  <c r="AB131" i="4"/>
  <c r="AE131" i="4" s="1"/>
  <c r="AH131" i="4" s="1"/>
  <c r="AB130" i="4"/>
  <c r="AB129" i="4"/>
  <c r="AB128" i="4"/>
  <c r="AE128" i="4" s="1"/>
  <c r="AH128" i="4" s="1"/>
  <c r="AB127" i="4"/>
  <c r="AE127" i="4" s="1"/>
  <c r="AB126" i="4"/>
  <c r="AB125" i="4"/>
  <c r="AE125" i="4" s="1"/>
  <c r="AH125" i="4" s="1"/>
  <c r="AB123" i="4"/>
  <c r="AB122" i="4"/>
  <c r="AE122" i="4" s="1"/>
  <c r="AB120" i="4"/>
  <c r="AB119" i="4"/>
  <c r="AB118" i="4"/>
  <c r="AH118" i="4" s="1"/>
  <c r="AB117" i="4"/>
  <c r="AE117" i="4" s="1"/>
  <c r="AH117" i="4" s="1"/>
  <c r="AB116" i="4"/>
  <c r="AH116" i="4" s="1"/>
  <c r="AB115" i="4"/>
  <c r="AE115" i="4" s="1"/>
  <c r="AH115" i="4" s="1"/>
  <c r="AB114" i="4"/>
  <c r="AB113" i="4"/>
  <c r="AE113" i="4" s="1"/>
  <c r="AH113" i="4" s="1"/>
  <c r="AB112" i="4"/>
  <c r="AE112" i="4" s="1"/>
  <c r="AH112" i="4" s="1"/>
  <c r="AB111" i="4"/>
  <c r="AE111" i="4" s="1"/>
  <c r="AH111" i="4" s="1"/>
  <c r="AB110" i="4"/>
  <c r="AE110" i="4" s="1"/>
  <c r="AB108" i="4"/>
  <c r="AE108" i="4" s="1"/>
  <c r="AH108" i="4" s="1"/>
  <c r="AB107" i="4"/>
  <c r="AE107" i="4" s="1"/>
  <c r="AB106" i="4"/>
  <c r="AE106" i="4" s="1"/>
  <c r="AH106" i="4" s="1"/>
  <c r="AB104" i="4"/>
  <c r="AB103" i="4"/>
  <c r="AB102" i="4"/>
  <c r="AB101" i="4"/>
  <c r="AB99" i="4"/>
  <c r="L99" i="4"/>
  <c r="L98" i="4" s="1"/>
  <c r="F148" i="8" s="1"/>
  <c r="L114" i="4"/>
  <c r="L131" i="4"/>
  <c r="L129" i="4"/>
  <c r="L128" i="4"/>
  <c r="L126" i="4"/>
  <c r="L120" i="4"/>
  <c r="L117" i="4"/>
  <c r="L116" i="4"/>
  <c r="L115" i="4"/>
  <c r="L113" i="4"/>
  <c r="L112" i="4"/>
  <c r="L111" i="4"/>
  <c r="L110" i="4"/>
  <c r="L108" i="4"/>
  <c r="L107" i="4"/>
  <c r="L106" i="4"/>
  <c r="L96" i="4"/>
  <c r="L95" i="4" s="1"/>
  <c r="F146" i="8" s="1"/>
  <c r="AB96" i="4"/>
  <c r="AB94" i="4"/>
  <c r="AE94" i="4" s="1"/>
  <c r="AH94" i="4" s="1"/>
  <c r="AB93" i="4"/>
  <c r="AB92" i="4"/>
  <c r="AB90" i="4"/>
  <c r="AE90" i="4" s="1"/>
  <c r="AH90" i="4" s="1"/>
  <c r="AB89" i="4"/>
  <c r="AE89" i="4" s="1"/>
  <c r="AH89" i="4" s="1"/>
  <c r="AB88" i="4"/>
  <c r="AE88" i="4" s="1"/>
  <c r="AH88" i="4" s="1"/>
  <c r="AB87" i="4"/>
  <c r="AE87" i="4" s="1"/>
  <c r="AH87" i="4" s="1"/>
  <c r="AB86" i="4"/>
  <c r="AB85" i="4"/>
  <c r="AB84" i="4"/>
  <c r="AE84" i="4" s="1"/>
  <c r="L94" i="4"/>
  <c r="L92" i="4"/>
  <c r="L90" i="4"/>
  <c r="L89" i="4"/>
  <c r="L88" i="4"/>
  <c r="L87" i="4"/>
  <c r="L86" i="4"/>
  <c r="L84" i="4"/>
  <c r="L66" i="4"/>
  <c r="L59" i="4"/>
  <c r="L80" i="4"/>
  <c r="L78" i="4"/>
  <c r="L77" i="4" s="1"/>
  <c r="F141" i="8" s="1"/>
  <c r="L75" i="4"/>
  <c r="L73" i="4" s="1"/>
  <c r="F140" i="8" s="1"/>
  <c r="L72" i="4"/>
  <c r="L71" i="4"/>
  <c r="L70" i="4"/>
  <c r="L68" i="4"/>
  <c r="L67" i="4"/>
  <c r="L63" i="4"/>
  <c r="L62" i="4"/>
  <c r="L61" i="4" s="1"/>
  <c r="F137" i="8" s="1"/>
  <c r="L79" i="4"/>
  <c r="F142" i="8" s="1"/>
  <c r="AB81" i="4"/>
  <c r="AB80" i="4"/>
  <c r="AB78" i="4"/>
  <c r="AE78" i="4" s="1"/>
  <c r="AH78" i="4" s="1"/>
  <c r="AH77" i="4" s="1"/>
  <c r="AB76" i="4"/>
  <c r="AH76" i="4" s="1"/>
  <c r="AB75" i="4"/>
  <c r="AH75" i="4" s="1"/>
  <c r="AB74" i="4"/>
  <c r="AB72" i="4"/>
  <c r="AE72" i="4" s="1"/>
  <c r="AH72" i="4" s="1"/>
  <c r="AB71" i="4"/>
  <c r="AB70" i="4"/>
  <c r="AE70" i="4" s="1"/>
  <c r="AB68" i="4"/>
  <c r="AE68" i="4" s="1"/>
  <c r="AH68" i="4" s="1"/>
  <c r="AB67" i="4"/>
  <c r="AB66" i="4"/>
  <c r="AE66" i="4" s="1"/>
  <c r="AH66" i="4" s="1"/>
  <c r="AB65" i="4"/>
  <c r="AH65" i="4" s="1"/>
  <c r="AB63" i="4"/>
  <c r="AE63" i="4" s="1"/>
  <c r="AH63" i="4" s="1"/>
  <c r="AB62" i="4"/>
  <c r="AB59" i="4"/>
  <c r="AH81" i="4"/>
  <c r="AN74" i="4"/>
  <c r="AN81" i="4"/>
  <c r="AN56" i="4"/>
  <c r="AH45" i="4"/>
  <c r="AB43" i="4"/>
  <c r="AB58" i="4"/>
  <c r="AB56" i="4"/>
  <c r="AE56" i="4" s="1"/>
  <c r="AH56" i="4" s="1"/>
  <c r="AB55" i="4"/>
  <c r="AB54" i="4"/>
  <c r="AE54" i="4" s="1"/>
  <c r="AB52" i="4"/>
  <c r="AE52" i="4" s="1"/>
  <c r="AH52" i="4" s="1"/>
  <c r="AB51" i="4"/>
  <c r="AE51" i="4" s="1"/>
  <c r="AB49" i="4"/>
  <c r="AB48" i="4"/>
  <c r="AH48" i="4" s="1"/>
  <c r="AB47" i="4"/>
  <c r="AE47" i="4" s="1"/>
  <c r="AB45" i="4"/>
  <c r="AB44" i="4"/>
  <c r="AE44" i="4" s="1"/>
  <c r="AH44" i="4" s="1"/>
  <c r="AB42" i="4"/>
  <c r="AE42" i="4" s="1"/>
  <c r="AH42" i="4" s="1"/>
  <c r="AB41" i="4"/>
  <c r="AE41" i="4" s="1"/>
  <c r="AH41" i="4" s="1"/>
  <c r="AB40" i="4"/>
  <c r="AB39" i="4"/>
  <c r="AE39" i="4" s="1"/>
  <c r="L58" i="4"/>
  <c r="L55" i="4"/>
  <c r="L52" i="4"/>
  <c r="L54" i="4"/>
  <c r="L51" i="4"/>
  <c r="L48" i="4"/>
  <c r="L47" i="4"/>
  <c r="L44" i="4"/>
  <c r="L43" i="4"/>
  <c r="L42" i="4"/>
  <c r="L41" i="4"/>
  <c r="L40" i="4"/>
  <c r="L39" i="4"/>
  <c r="AN23" i="4"/>
  <c r="AH32" i="4"/>
  <c r="AH31" i="4"/>
  <c r="AB36" i="4"/>
  <c r="AH36" i="4" s="1"/>
  <c r="AB35" i="4"/>
  <c r="AE35" i="4" s="1"/>
  <c r="AH35" i="4" s="1"/>
  <c r="AB34" i="4"/>
  <c r="AE34" i="4" s="1"/>
  <c r="AB32" i="4"/>
  <c r="AB31" i="4"/>
  <c r="AB30" i="4"/>
  <c r="AE30" i="4" s="1"/>
  <c r="AH30" i="4" s="1"/>
  <c r="AB29" i="4"/>
  <c r="AE29" i="4" s="1"/>
  <c r="AH29" i="4" s="1"/>
  <c r="AB28" i="4"/>
  <c r="AB23" i="4"/>
  <c r="AB25" i="4"/>
  <c r="AE25" i="4" s="1"/>
  <c r="AH25" i="4" s="1"/>
  <c r="AB24" i="4"/>
  <c r="AE24" i="4" s="1"/>
  <c r="AH24" i="4" s="1"/>
  <c r="L34" i="4"/>
  <c r="L36" i="4"/>
  <c r="L35" i="4"/>
  <c r="L28" i="4"/>
  <c r="K28" i="4"/>
  <c r="L32" i="4"/>
  <c r="L30" i="4"/>
  <c r="L29" i="4"/>
  <c r="L25" i="4"/>
  <c r="L24" i="4"/>
  <c r="AN9" i="4"/>
  <c r="AN10" i="4"/>
  <c r="AN11" i="4"/>
  <c r="AN21" i="4"/>
  <c r="AH21" i="4"/>
  <c r="AH14" i="4"/>
  <c r="W22" i="4"/>
  <c r="L7" i="4"/>
  <c r="L8" i="4"/>
  <c r="L9" i="4"/>
  <c r="L10" i="4"/>
  <c r="L11" i="4"/>
  <c r="L12" i="4"/>
  <c r="L13" i="4"/>
  <c r="L14" i="4"/>
  <c r="L15" i="4"/>
  <c r="L16" i="4"/>
  <c r="L17" i="4"/>
  <c r="L18" i="4"/>
  <c r="L19" i="4"/>
  <c r="L20" i="4"/>
  <c r="L6" i="4"/>
  <c r="K6" i="4"/>
  <c r="AB7" i="4"/>
  <c r="AE7" i="4" s="1"/>
  <c r="AH7" i="4" s="1"/>
  <c r="AB8" i="4"/>
  <c r="AE8" i="4" s="1"/>
  <c r="AH8" i="4" s="1"/>
  <c r="AB9" i="4"/>
  <c r="AB10" i="4"/>
  <c r="AB11" i="4"/>
  <c r="AB12" i="4"/>
  <c r="AE12" i="4" s="1"/>
  <c r="AH12" i="4" s="1"/>
  <c r="AB13" i="4"/>
  <c r="AE13" i="4" s="1"/>
  <c r="AH13" i="4" s="1"/>
  <c r="AB14" i="4"/>
  <c r="AB15" i="4"/>
  <c r="AE15" i="4" s="1"/>
  <c r="AH15" i="4" s="1"/>
  <c r="AB16" i="4"/>
  <c r="AE16" i="4" s="1"/>
  <c r="AH16" i="4" s="1"/>
  <c r="AB17" i="4"/>
  <c r="AE17" i="4" s="1"/>
  <c r="AH17" i="4" s="1"/>
  <c r="AB18" i="4"/>
  <c r="AE18" i="4" s="1"/>
  <c r="AH18" i="4" s="1"/>
  <c r="AB19" i="4"/>
  <c r="AE19" i="4" s="1"/>
  <c r="AH19" i="4" s="1"/>
  <c r="AB20" i="4"/>
  <c r="AB21" i="4"/>
  <c r="AB6" i="4"/>
  <c r="AE6" i="4" s="1"/>
  <c r="AH6" i="4" s="1"/>
  <c r="O5" i="4"/>
  <c r="O4" i="4" s="1"/>
  <c r="O3" i="4" s="1"/>
  <c r="L46" i="4" l="1"/>
  <c r="F132" i="8" s="1"/>
  <c r="AE26" i="5"/>
  <c r="M169" i="8" s="1"/>
  <c r="AE32" i="5"/>
  <c r="M171" i="8" s="1"/>
  <c r="L12" i="5"/>
  <c r="F165" i="8" s="1"/>
  <c r="AH141" i="5"/>
  <c r="AE125" i="5"/>
  <c r="AK125" i="5" s="1"/>
  <c r="AE83" i="5"/>
  <c r="AH83" i="5" s="1"/>
  <c r="AE82" i="5"/>
  <c r="AH82" i="5" s="1"/>
  <c r="AE81" i="5"/>
  <c r="AH81" i="5" s="1"/>
  <c r="AE80" i="5"/>
  <c r="AH80" i="5" s="1"/>
  <c r="AE79" i="5"/>
  <c r="AH79" i="5" s="1"/>
  <c r="AE84" i="5"/>
  <c r="AH84" i="5" s="1"/>
  <c r="AE76" i="5"/>
  <c r="AH76" i="5" s="1"/>
  <c r="M199" i="8"/>
  <c r="AE4" i="6"/>
  <c r="AE3" i="6" s="1"/>
  <c r="M198" i="8" s="1"/>
  <c r="AN140" i="4"/>
  <c r="S155" i="8" s="1"/>
  <c r="L22" i="4"/>
  <c r="F126" i="8" s="1"/>
  <c r="L50" i="4"/>
  <c r="F133" i="8" s="1"/>
  <c r="L91" i="4"/>
  <c r="F145" i="8" s="1"/>
  <c r="L53" i="4"/>
  <c r="F134" i="8" s="1"/>
  <c r="L27" i="4"/>
  <c r="F128" i="8" s="1"/>
  <c r="AE67" i="4"/>
  <c r="AH67" i="4" s="1"/>
  <c r="AH64" i="4" s="1"/>
  <c r="L105" i="4"/>
  <c r="F150" i="8" s="1"/>
  <c r="AE136" i="4"/>
  <c r="M154" i="8" s="1"/>
  <c r="AE58" i="4"/>
  <c r="AE55" i="4"/>
  <c r="AH55" i="4" s="1"/>
  <c r="L69" i="4"/>
  <c r="F139" i="8" s="1"/>
  <c r="AE132" i="4"/>
  <c r="AH132" i="4" s="1"/>
  <c r="AE129" i="4"/>
  <c r="AH129" i="4" s="1"/>
  <c r="AH127" i="4"/>
  <c r="AE126" i="4"/>
  <c r="AH126" i="4" s="1"/>
  <c r="AH122" i="4"/>
  <c r="L121" i="4"/>
  <c r="F152" i="8" s="1"/>
  <c r="AH99" i="4"/>
  <c r="AH98" i="4" s="1"/>
  <c r="AE98" i="4"/>
  <c r="M148" i="8" s="1"/>
  <c r="AE104" i="4"/>
  <c r="AH101" i="4"/>
  <c r="AE62" i="4"/>
  <c r="AE61" i="4" s="1"/>
  <c r="M137" i="8" s="1"/>
  <c r="AE50" i="4"/>
  <c r="M133" i="8" s="1"/>
  <c r="AH51" i="4"/>
  <c r="AH50" i="4" s="1"/>
  <c r="AN51" i="4"/>
  <c r="AE49" i="4"/>
  <c r="AH49" i="4" s="1"/>
  <c r="AE46" i="4"/>
  <c r="M132" i="8" s="1"/>
  <c r="AH47" i="4"/>
  <c r="L136" i="4"/>
  <c r="F154" i="8" s="1"/>
  <c r="AH138" i="4"/>
  <c r="AH136" i="4" s="1"/>
  <c r="AH54" i="4"/>
  <c r="AE40" i="5"/>
  <c r="M173" i="8" s="1"/>
  <c r="L23" i="5"/>
  <c r="F168" i="8" s="1"/>
  <c r="AH41" i="5"/>
  <c r="AH40" i="5" s="1"/>
  <c r="L32" i="5"/>
  <c r="F171" i="8" s="1"/>
  <c r="AE5" i="5"/>
  <c r="M163" i="8" s="1"/>
  <c r="AE96" i="4"/>
  <c r="AE18" i="5"/>
  <c r="M167" i="8" s="1"/>
  <c r="L9" i="5"/>
  <c r="F164" i="8" s="1"/>
  <c r="L49" i="5"/>
  <c r="AE73" i="4"/>
  <c r="M140" i="8" s="1"/>
  <c r="AH71" i="4"/>
  <c r="AE69" i="4"/>
  <c r="L64" i="4"/>
  <c r="AE143" i="4"/>
  <c r="AH143" i="4" s="1"/>
  <c r="AH141" i="4"/>
  <c r="AH107" i="4"/>
  <c r="AH105" i="4" s="1"/>
  <c r="AE105" i="4"/>
  <c r="M150" i="8" s="1"/>
  <c r="AE77" i="4"/>
  <c r="M141" i="8" s="1"/>
  <c r="AE86" i="5"/>
  <c r="AH86" i="5" s="1"/>
  <c r="AH85" i="5" s="1"/>
  <c r="L74" i="5"/>
  <c r="F183" i="8" s="1"/>
  <c r="L68" i="5"/>
  <c r="F182" i="8" s="1"/>
  <c r="L3" i="6"/>
  <c r="F198" i="8" s="1"/>
  <c r="F9" i="7" s="1"/>
  <c r="AE66" i="5"/>
  <c r="M181" i="8" s="1"/>
  <c r="AH67" i="5"/>
  <c r="AH66" i="5" s="1"/>
  <c r="AH31" i="5"/>
  <c r="AH30" i="5" s="1"/>
  <c r="L5" i="5"/>
  <c r="L18" i="5"/>
  <c r="F167" i="8" s="1"/>
  <c r="L40" i="5"/>
  <c r="F173" i="8" s="1"/>
  <c r="AH19" i="5"/>
  <c r="AH18" i="5" s="1"/>
  <c r="L58" i="5"/>
  <c r="F179" i="8" s="1"/>
  <c r="AH93" i="5"/>
  <c r="AH92" i="5" s="1"/>
  <c r="AH62" i="5"/>
  <c r="AH61" i="5" s="1"/>
  <c r="AE61" i="5"/>
  <c r="M180" i="8" s="1"/>
  <c r="AH13" i="5"/>
  <c r="AH12" i="5" s="1"/>
  <c r="AE12" i="5"/>
  <c r="M165" i="8" s="1"/>
  <c r="AE9" i="5"/>
  <c r="M164" i="8" s="1"/>
  <c r="AH10" i="5"/>
  <c r="AH9" i="5" s="1"/>
  <c r="AH6" i="5"/>
  <c r="AH5" i="5" s="1"/>
  <c r="AH24" i="5"/>
  <c r="AH23" i="5" s="1"/>
  <c r="AE23" i="5"/>
  <c r="M168" i="8" s="1"/>
  <c r="AE68" i="5"/>
  <c r="M182" i="8" s="1"/>
  <c r="AH69" i="5"/>
  <c r="AH68" i="5" s="1"/>
  <c r="AH33" i="5"/>
  <c r="AH32" i="5" s="1"/>
  <c r="L134" i="5"/>
  <c r="F196" i="8" s="1"/>
  <c r="AH94" i="5"/>
  <c r="AH59" i="5"/>
  <c r="AH58" i="5" s="1"/>
  <c r="AE58" i="5"/>
  <c r="M179" i="8" s="1"/>
  <c r="AE132" i="5"/>
  <c r="AH132" i="5" s="1"/>
  <c r="AH131" i="5" s="1"/>
  <c r="AH75" i="5"/>
  <c r="AH27" i="5"/>
  <c r="AH26" i="5" s="1"/>
  <c r="L26" i="5"/>
  <c r="F169" i="8" s="1"/>
  <c r="L36" i="5"/>
  <c r="F172" i="8" s="1"/>
  <c r="L94" i="5"/>
  <c r="F188" i="8" s="1"/>
  <c r="AH37" i="5"/>
  <c r="AH36" i="5" s="1"/>
  <c r="AE36" i="5"/>
  <c r="M172" i="8" s="1"/>
  <c r="L61" i="5"/>
  <c r="F180" i="8" s="1"/>
  <c r="AE94" i="5"/>
  <c r="M188" i="8" s="1"/>
  <c r="L78" i="5"/>
  <c r="F185" i="8" s="1"/>
  <c r="AE103" i="5"/>
  <c r="AH103" i="5" s="1"/>
  <c r="AH99" i="5" s="1"/>
  <c r="L139" i="5"/>
  <c r="F197" i="8" s="1"/>
  <c r="L85" i="5"/>
  <c r="AE139" i="5"/>
  <c r="M197" i="8" s="1"/>
  <c r="AH140" i="5"/>
  <c r="AH134" i="5"/>
  <c r="AE134" i="5"/>
  <c r="M196" i="8" s="1"/>
  <c r="AH129" i="5"/>
  <c r="AE127" i="5"/>
  <c r="AH127" i="5" s="1"/>
  <c r="L123" i="5"/>
  <c r="F194" i="8" s="1"/>
  <c r="AH124" i="5"/>
  <c r="AE121" i="5"/>
  <c r="AH121" i="5" s="1"/>
  <c r="AE120" i="5"/>
  <c r="AH120" i="5" s="1"/>
  <c r="L116" i="5"/>
  <c r="F193" i="8" s="1"/>
  <c r="AE118" i="5"/>
  <c r="AH118" i="5" s="1"/>
  <c r="AE117" i="5"/>
  <c r="L110" i="5"/>
  <c r="F192" i="8" s="1"/>
  <c r="F191" i="8" s="1"/>
  <c r="AH113" i="5"/>
  <c r="AE110" i="5"/>
  <c r="M192" i="8" s="1"/>
  <c r="AH111" i="5"/>
  <c r="L168" i="4"/>
  <c r="AE168" i="4"/>
  <c r="AH169" i="4"/>
  <c r="AH168" i="4" s="1"/>
  <c r="AH167" i="4" s="1"/>
  <c r="I167" i="4" s="1"/>
  <c r="L159" i="4"/>
  <c r="F158" i="8" s="1"/>
  <c r="H158" i="8" s="1"/>
  <c r="AH159" i="4"/>
  <c r="AE159" i="4"/>
  <c r="M158" i="8" s="1"/>
  <c r="AE156" i="4"/>
  <c r="AH156" i="4" s="1"/>
  <c r="L150" i="4"/>
  <c r="F157" i="8" s="1"/>
  <c r="AE154" i="4"/>
  <c r="AH154" i="4" s="1"/>
  <c r="AE33" i="4"/>
  <c r="M129" i="8" s="1"/>
  <c r="AH34" i="4"/>
  <c r="AH33" i="4" s="1"/>
  <c r="L33" i="4"/>
  <c r="AH28" i="4"/>
  <c r="AH27" i="4" s="1"/>
  <c r="AE27" i="4"/>
  <c r="M128" i="8" s="1"/>
  <c r="AE20" i="4"/>
  <c r="AH20" i="4" s="1"/>
  <c r="W19" i="4"/>
  <c r="AK19" i="4" s="1"/>
  <c r="AE10" i="4"/>
  <c r="AH10" i="4" s="1"/>
  <c r="AE9" i="4"/>
  <c r="AH9" i="4" s="1"/>
  <c r="L99" i="5"/>
  <c r="F189" i="8" s="1"/>
  <c r="AE43" i="4"/>
  <c r="AH43" i="4" s="1"/>
  <c r="AE40" i="4"/>
  <c r="AH40" i="4" s="1"/>
  <c r="L38" i="4"/>
  <c r="F131" i="8" s="1"/>
  <c r="AH39" i="4"/>
  <c r="AE46" i="5"/>
  <c r="AH46" i="5" s="1"/>
  <c r="AH43" i="5" s="1"/>
  <c r="AE120" i="4"/>
  <c r="AH120" i="4" s="1"/>
  <c r="AE114" i="4"/>
  <c r="AH114" i="4" s="1"/>
  <c r="AH110" i="4"/>
  <c r="L109" i="4"/>
  <c r="F151" i="8" s="1"/>
  <c r="L144" i="4"/>
  <c r="F156" i="8" s="1"/>
  <c r="AH144" i="4"/>
  <c r="AE92" i="4"/>
  <c r="AH86" i="4"/>
  <c r="AH84" i="4"/>
  <c r="L83" i="4"/>
  <c r="AE80" i="4"/>
  <c r="AE79" i="4" s="1"/>
  <c r="M142" i="8" s="1"/>
  <c r="L57" i="4"/>
  <c r="F135" i="8" s="1"/>
  <c r="AH23" i="4"/>
  <c r="AH22" i="4" s="1"/>
  <c r="AH56" i="5"/>
  <c r="AH55" i="5" s="1"/>
  <c r="AH74" i="4"/>
  <c r="AH73" i="4" s="1"/>
  <c r="AH70" i="4"/>
  <c r="AN71" i="4"/>
  <c r="L5" i="4"/>
  <c r="AB132" i="3"/>
  <c r="AE132" i="3" s="1"/>
  <c r="AH132" i="3" s="1"/>
  <c r="AB131" i="3"/>
  <c r="AE131" i="3" s="1"/>
  <c r="AH131" i="3" s="1"/>
  <c r="AB130" i="3"/>
  <c r="AE130" i="3" s="1"/>
  <c r="AB128" i="3"/>
  <c r="AE128" i="3" s="1"/>
  <c r="AH128" i="3" s="1"/>
  <c r="AB127" i="3"/>
  <c r="AB126" i="3"/>
  <c r="AE126" i="3" s="1"/>
  <c r="L132" i="3"/>
  <c r="L131" i="3"/>
  <c r="L130" i="3"/>
  <c r="L128" i="3"/>
  <c r="L127" i="3"/>
  <c r="L126" i="3"/>
  <c r="AH108" i="3"/>
  <c r="AG105" i="3"/>
  <c r="AB123" i="3"/>
  <c r="AE123" i="3" s="1"/>
  <c r="AH123" i="3" s="1"/>
  <c r="AB122" i="3"/>
  <c r="AE122" i="3" s="1"/>
  <c r="AH122" i="3" s="1"/>
  <c r="AB121" i="3"/>
  <c r="AB120" i="3"/>
  <c r="AE120" i="3" s="1"/>
  <c r="AH120" i="3" s="1"/>
  <c r="AB119" i="3"/>
  <c r="AB118" i="3"/>
  <c r="AE118" i="3" s="1"/>
  <c r="AH118" i="3" s="1"/>
  <c r="AB116" i="3"/>
  <c r="AH116" i="3" s="1"/>
  <c r="AB115" i="3"/>
  <c r="AH115" i="3" s="1"/>
  <c r="AB114" i="3"/>
  <c r="AE114" i="3" s="1"/>
  <c r="AH114" i="3" s="1"/>
  <c r="AB113" i="3"/>
  <c r="AE113" i="3" s="1"/>
  <c r="AH113" i="3" s="1"/>
  <c r="AB112" i="3"/>
  <c r="AE112" i="3" s="1"/>
  <c r="AH112" i="3" s="1"/>
  <c r="AB111" i="3"/>
  <c r="AE111" i="3" s="1"/>
  <c r="AH111" i="3" s="1"/>
  <c r="AB110" i="3"/>
  <c r="AE110" i="3" s="1"/>
  <c r="AH110" i="3" s="1"/>
  <c r="AB109" i="3"/>
  <c r="AB108" i="3"/>
  <c r="AB106" i="3"/>
  <c r="AB105" i="3"/>
  <c r="AB104" i="3"/>
  <c r="AE104" i="3" s="1"/>
  <c r="AH104" i="3" s="1"/>
  <c r="AB103" i="3"/>
  <c r="AB102" i="3"/>
  <c r="AE102" i="3" s="1"/>
  <c r="AH102" i="3" s="1"/>
  <c r="L123" i="3"/>
  <c r="L122" i="3"/>
  <c r="L120" i="3"/>
  <c r="L119" i="3"/>
  <c r="L118" i="3"/>
  <c r="L114" i="3"/>
  <c r="L113" i="3"/>
  <c r="L111" i="3"/>
  <c r="L110" i="3"/>
  <c r="L109" i="3"/>
  <c r="L106" i="3"/>
  <c r="L105" i="3"/>
  <c r="L104" i="3"/>
  <c r="L103" i="3"/>
  <c r="L102" i="3"/>
  <c r="L99" i="3"/>
  <c r="AN97" i="3"/>
  <c r="AF89" i="3"/>
  <c r="AF90" i="3"/>
  <c r="AB99" i="3"/>
  <c r="AE99" i="3" s="1"/>
  <c r="AH99" i="3" s="1"/>
  <c r="AB98" i="3"/>
  <c r="AE98" i="3" s="1"/>
  <c r="AH98" i="3" s="1"/>
  <c r="AB97" i="3"/>
  <c r="AE97" i="3" s="1"/>
  <c r="AB95" i="3"/>
  <c r="AE95" i="3" s="1"/>
  <c r="AH95" i="3" s="1"/>
  <c r="AB94" i="3"/>
  <c r="AE94" i="3" s="1"/>
  <c r="AH94" i="3" s="1"/>
  <c r="AB93" i="3"/>
  <c r="AH93" i="3" s="1"/>
  <c r="AB92" i="3"/>
  <c r="AE92" i="3" s="1"/>
  <c r="AH92" i="3" s="1"/>
  <c r="AB90" i="3"/>
  <c r="AE90" i="3" s="1"/>
  <c r="AH90" i="3" s="1"/>
  <c r="AB89" i="3"/>
  <c r="AE89" i="3" s="1"/>
  <c r="AH89" i="3" s="1"/>
  <c r="AB88" i="3"/>
  <c r="AE88" i="3" s="1"/>
  <c r="AH88" i="3" s="1"/>
  <c r="AB87" i="3"/>
  <c r="AE87" i="3" s="1"/>
  <c r="AH87" i="3" s="1"/>
  <c r="AB85" i="3"/>
  <c r="AE85" i="3" s="1"/>
  <c r="AH85" i="3" s="1"/>
  <c r="AB84" i="3"/>
  <c r="AE84" i="3" s="1"/>
  <c r="AH84" i="3" s="1"/>
  <c r="AB83" i="3"/>
  <c r="AE83" i="3" s="1"/>
  <c r="AH83" i="3" s="1"/>
  <c r="AB82" i="3"/>
  <c r="AE82" i="3" s="1"/>
  <c r="AH82" i="3" s="1"/>
  <c r="AB81" i="3"/>
  <c r="AE81" i="3" s="1"/>
  <c r="AH81" i="3" s="1"/>
  <c r="AB80" i="3"/>
  <c r="AE80" i="3" s="1"/>
  <c r="AH80" i="3" s="1"/>
  <c r="AB79" i="3"/>
  <c r="AE79" i="3" s="1"/>
  <c r="AH79" i="3" s="1"/>
  <c r="AB78" i="3"/>
  <c r="AE78" i="3" s="1"/>
  <c r="AH78" i="3" s="1"/>
  <c r="AB77" i="3"/>
  <c r="AE77" i="3" s="1"/>
  <c r="AH77" i="3" s="1"/>
  <c r="AB76" i="3"/>
  <c r="AE76" i="3" s="1"/>
  <c r="AH76" i="3" s="1"/>
  <c r="AB75" i="3"/>
  <c r="AE75" i="3" s="1"/>
  <c r="AH75" i="3" s="1"/>
  <c r="AB74" i="3"/>
  <c r="AE74" i="3" s="1"/>
  <c r="AB72" i="3"/>
  <c r="AH72" i="3" s="1"/>
  <c r="AB71" i="3"/>
  <c r="AE71" i="3" s="1"/>
  <c r="AH71" i="3" s="1"/>
  <c r="AB70" i="3"/>
  <c r="AE70" i="3" s="1"/>
  <c r="AH70" i="3" s="1"/>
  <c r="AH69" i="3"/>
  <c r="L98" i="3"/>
  <c r="L92" i="3"/>
  <c r="L95" i="3"/>
  <c r="L94" i="3"/>
  <c r="L93" i="3"/>
  <c r="L88" i="3"/>
  <c r="L87" i="3"/>
  <c r="L85" i="3"/>
  <c r="L84" i="3"/>
  <c r="L81" i="3"/>
  <c r="L80" i="3"/>
  <c r="L79" i="3"/>
  <c r="L78" i="3"/>
  <c r="L77" i="3"/>
  <c r="L76" i="3"/>
  <c r="L75" i="3"/>
  <c r="L74" i="3"/>
  <c r="L72" i="3"/>
  <c r="L71" i="3"/>
  <c r="L70" i="3"/>
  <c r="L69" i="3"/>
  <c r="AB66" i="3"/>
  <c r="AE66" i="3" s="1"/>
  <c r="AH66" i="3" s="1"/>
  <c r="AB65" i="3"/>
  <c r="AB63" i="3"/>
  <c r="AE63" i="3" s="1"/>
  <c r="AH63" i="3" s="1"/>
  <c r="AB62" i="3"/>
  <c r="AE62" i="3" s="1"/>
  <c r="AH62" i="3" s="1"/>
  <c r="AB61" i="3"/>
  <c r="AB60" i="3"/>
  <c r="AB58" i="3"/>
  <c r="AE58" i="3" s="1"/>
  <c r="AH58" i="3" s="1"/>
  <c r="AB57" i="3"/>
  <c r="AE57" i="3" s="1"/>
  <c r="AH57" i="3" s="1"/>
  <c r="AB56" i="3"/>
  <c r="AB55" i="3"/>
  <c r="AB53" i="3"/>
  <c r="AE53" i="3" s="1"/>
  <c r="AH53" i="3" s="1"/>
  <c r="AB52" i="3"/>
  <c r="AE52" i="3" s="1"/>
  <c r="AH52" i="3" s="1"/>
  <c r="AB51" i="3"/>
  <c r="AE51" i="3" s="1"/>
  <c r="AH51" i="3" s="1"/>
  <c r="AB50" i="3"/>
  <c r="AE50" i="3" s="1"/>
  <c r="AH50" i="3" s="1"/>
  <c r="AB49" i="3"/>
  <c r="AE49" i="3" s="1"/>
  <c r="AH49" i="3" s="1"/>
  <c r="AB48" i="3"/>
  <c r="AE48" i="3" s="1"/>
  <c r="AH48" i="3" s="1"/>
  <c r="AB47" i="3"/>
  <c r="AE47" i="3" s="1"/>
  <c r="AH47" i="3" s="1"/>
  <c r="L57" i="3"/>
  <c r="L49" i="3"/>
  <c r="L66" i="3"/>
  <c r="L65" i="3"/>
  <c r="L63" i="3"/>
  <c r="L62" i="3"/>
  <c r="L61" i="3"/>
  <c r="L60" i="3"/>
  <c r="L58" i="3"/>
  <c r="L56" i="3"/>
  <c r="L55" i="3"/>
  <c r="L53" i="3"/>
  <c r="L52" i="3"/>
  <c r="L51" i="3"/>
  <c r="L50" i="3"/>
  <c r="L48" i="3"/>
  <c r="L47" i="3"/>
  <c r="AN36" i="3"/>
  <c r="AN35" i="3"/>
  <c r="L44" i="3"/>
  <c r="L43" i="3" s="1"/>
  <c r="F104" i="8" s="1"/>
  <c r="L42" i="3"/>
  <c r="L41" i="3"/>
  <c r="L40" i="3" s="1"/>
  <c r="F103" i="8" s="1"/>
  <c r="L39" i="3"/>
  <c r="L38" i="3"/>
  <c r="L37" i="3"/>
  <c r="L36" i="3"/>
  <c r="L35" i="3"/>
  <c r="AB44" i="3"/>
  <c r="AE44" i="3" s="1"/>
  <c r="AB42" i="3"/>
  <c r="AE42" i="3" s="1"/>
  <c r="AH42" i="3" s="1"/>
  <c r="AB41" i="3"/>
  <c r="AE41" i="3" s="1"/>
  <c r="AH41" i="3" s="1"/>
  <c r="AB39" i="3"/>
  <c r="AE39" i="3" s="1"/>
  <c r="AH39" i="3" s="1"/>
  <c r="AB38" i="3"/>
  <c r="AE38" i="3" s="1"/>
  <c r="AH38" i="3" s="1"/>
  <c r="AB37" i="3"/>
  <c r="AE37" i="3" s="1"/>
  <c r="AH37" i="3" s="1"/>
  <c r="AB36" i="3"/>
  <c r="AH36" i="3" s="1"/>
  <c r="AB35" i="3"/>
  <c r="AN31" i="3"/>
  <c r="AN25" i="3"/>
  <c r="AN20" i="3"/>
  <c r="AN19" i="3"/>
  <c r="AB26" i="3"/>
  <c r="AE26" i="3" s="1"/>
  <c r="AH26" i="3" s="1"/>
  <c r="AB32" i="3"/>
  <c r="AE32" i="3" s="1"/>
  <c r="AH32" i="3" s="1"/>
  <c r="AB31" i="3"/>
  <c r="AE31" i="3" s="1"/>
  <c r="AH31" i="3" s="1"/>
  <c r="AB30" i="3"/>
  <c r="AE30" i="3" s="1"/>
  <c r="AH30" i="3" s="1"/>
  <c r="AB29" i="3"/>
  <c r="AE29" i="3" s="1"/>
  <c r="AH29" i="3" s="1"/>
  <c r="AB27" i="3"/>
  <c r="AE27" i="3" s="1"/>
  <c r="AH27" i="3" s="1"/>
  <c r="AB25" i="3"/>
  <c r="AB23" i="3"/>
  <c r="AH23" i="3" s="1"/>
  <c r="AB22" i="3"/>
  <c r="AE22" i="3" s="1"/>
  <c r="AH22" i="3" s="1"/>
  <c r="AB20" i="3"/>
  <c r="AE20" i="3" s="1"/>
  <c r="AH20" i="3" s="1"/>
  <c r="AB19" i="3"/>
  <c r="AE19" i="3" s="1"/>
  <c r="AH19" i="3" s="1"/>
  <c r="AB18" i="3"/>
  <c r="AE18" i="3" s="1"/>
  <c r="AH18" i="3" s="1"/>
  <c r="AB17" i="3"/>
  <c r="AE17" i="3" s="1"/>
  <c r="L13" i="3"/>
  <c r="L32" i="3"/>
  <c r="L30" i="3"/>
  <c r="L29" i="3"/>
  <c r="L27" i="3"/>
  <c r="L26" i="3"/>
  <c r="L23" i="3"/>
  <c r="L22" i="3"/>
  <c r="L18" i="3"/>
  <c r="L17" i="3"/>
  <c r="AB12" i="3"/>
  <c r="AE12" i="3" s="1"/>
  <c r="AH12" i="3" s="1"/>
  <c r="AB14" i="3"/>
  <c r="AE14" i="3" s="1"/>
  <c r="AH14" i="3" s="1"/>
  <c r="AB13" i="3"/>
  <c r="AE13" i="3" s="1"/>
  <c r="AH13" i="3" s="1"/>
  <c r="L14" i="3"/>
  <c r="L12" i="3"/>
  <c r="L10" i="3"/>
  <c r="AB7" i="3"/>
  <c r="AE7" i="3" s="1"/>
  <c r="AB8" i="3"/>
  <c r="AE8" i="3" s="1"/>
  <c r="AH8" i="3" s="1"/>
  <c r="AB9" i="3"/>
  <c r="AE9" i="3" s="1"/>
  <c r="AH9" i="3" s="1"/>
  <c r="AB10" i="3"/>
  <c r="AE10" i="3" s="1"/>
  <c r="AH10" i="3" s="1"/>
  <c r="AB6" i="3"/>
  <c r="O3" i="3"/>
  <c r="L9" i="3"/>
  <c r="L7" i="3"/>
  <c r="L8" i="3"/>
  <c r="K6" i="3"/>
  <c r="J6" i="3"/>
  <c r="AC203" i="2"/>
  <c r="AD203" i="2"/>
  <c r="AB200" i="2"/>
  <c r="AE200" i="2" s="1"/>
  <c r="AH200" i="2" s="1"/>
  <c r="AB205" i="2"/>
  <c r="AB204" i="2"/>
  <c r="AH204" i="2" s="1"/>
  <c r="AB202" i="2"/>
  <c r="AE202" i="2" s="1"/>
  <c r="AH202" i="2" s="1"/>
  <c r="AB201" i="2"/>
  <c r="AB199" i="2"/>
  <c r="AE199" i="2" s="1"/>
  <c r="AH199" i="2" s="1"/>
  <c r="AB197" i="2"/>
  <c r="AE197" i="2" s="1"/>
  <c r="AH197" i="2" s="1"/>
  <c r="AB196" i="2"/>
  <c r="AE196" i="2" s="1"/>
  <c r="AH196" i="2" s="1"/>
  <c r="AB195" i="2"/>
  <c r="AE195" i="2" s="1"/>
  <c r="AH195" i="2" s="1"/>
  <c r="AB194" i="2"/>
  <c r="L205" i="2"/>
  <c r="L204" i="2"/>
  <c r="L202" i="2"/>
  <c r="L200" i="2"/>
  <c r="L199" i="2"/>
  <c r="L197" i="2"/>
  <c r="L195" i="2"/>
  <c r="L194" i="2"/>
  <c r="AN189" i="2"/>
  <c r="AH179" i="2"/>
  <c r="AB190" i="2"/>
  <c r="AB191" i="2"/>
  <c r="AE191" i="2" s="1"/>
  <c r="AH191" i="2" s="1"/>
  <c r="AB189" i="2"/>
  <c r="AH189" i="2" s="1"/>
  <c r="AB188" i="2"/>
  <c r="AE188" i="2" s="1"/>
  <c r="AB186" i="2"/>
  <c r="AB185" i="2"/>
  <c r="AB183" i="2"/>
  <c r="AE183" i="2" s="1"/>
  <c r="AB181" i="2"/>
  <c r="AE181" i="2" s="1"/>
  <c r="AH181" i="2" s="1"/>
  <c r="AB180" i="2"/>
  <c r="AB179" i="2"/>
  <c r="AB178" i="2"/>
  <c r="AB177" i="2"/>
  <c r="AB175" i="2"/>
  <c r="AE175" i="2" s="1"/>
  <c r="AH175" i="2" s="1"/>
  <c r="AB174" i="2"/>
  <c r="AE174" i="2" s="1"/>
  <c r="AB172" i="2"/>
  <c r="AE172" i="2" s="1"/>
  <c r="AH172" i="2" s="1"/>
  <c r="AB171" i="2"/>
  <c r="AE171" i="2" s="1"/>
  <c r="AB169" i="2"/>
  <c r="AE169" i="2" s="1"/>
  <c r="AH169" i="2" s="1"/>
  <c r="AB168" i="2"/>
  <c r="AE168" i="2" s="1"/>
  <c r="AH168" i="2" s="1"/>
  <c r="AB167" i="2"/>
  <c r="AE167" i="2" s="1"/>
  <c r="AH167" i="2" s="1"/>
  <c r="AB166" i="2"/>
  <c r="AE166" i="2" s="1"/>
  <c r="AH166" i="2" s="1"/>
  <c r="L190" i="2"/>
  <c r="L191" i="2"/>
  <c r="L188" i="2"/>
  <c r="L186" i="2"/>
  <c r="L185" i="2"/>
  <c r="L183" i="2"/>
  <c r="L182" i="2" s="1"/>
  <c r="F85" i="8" s="1"/>
  <c r="L181" i="2"/>
  <c r="L180" i="2"/>
  <c r="L178" i="2"/>
  <c r="L177" i="2"/>
  <c r="L174" i="2"/>
  <c r="L175" i="2"/>
  <c r="L173" i="2" s="1"/>
  <c r="F83" i="8" s="1"/>
  <c r="L172" i="2"/>
  <c r="L171" i="2"/>
  <c r="L169" i="2"/>
  <c r="L168" i="2"/>
  <c r="L167" i="2"/>
  <c r="L166" i="2"/>
  <c r="AN155" i="2"/>
  <c r="AN144" i="2"/>
  <c r="AN143" i="2"/>
  <c r="AN141" i="2"/>
  <c r="AN136" i="2"/>
  <c r="AN135" i="2"/>
  <c r="AB163" i="2"/>
  <c r="AE163" i="2" s="1"/>
  <c r="AH163" i="2" s="1"/>
  <c r="AB162" i="2"/>
  <c r="AE162" i="2" s="1"/>
  <c r="AH162" i="2" s="1"/>
  <c r="AB161" i="2"/>
  <c r="AE161" i="2" s="1"/>
  <c r="AB157" i="2"/>
  <c r="AE157" i="2" s="1"/>
  <c r="AH157" i="2" s="1"/>
  <c r="AB159" i="2"/>
  <c r="AE159" i="2" s="1"/>
  <c r="AH159" i="2" s="1"/>
  <c r="AB158" i="2"/>
  <c r="AE158" i="2" s="1"/>
  <c r="AH158" i="2" s="1"/>
  <c r="AB156" i="2"/>
  <c r="AE156" i="2" s="1"/>
  <c r="AH156" i="2" s="1"/>
  <c r="AB155" i="2"/>
  <c r="AH155" i="2" s="1"/>
  <c r="AB151" i="2"/>
  <c r="AE151" i="2" s="1"/>
  <c r="AH151" i="2" s="1"/>
  <c r="AB153" i="2"/>
  <c r="AE153" i="2" s="1"/>
  <c r="AH153" i="2" s="1"/>
  <c r="AB152" i="2"/>
  <c r="AE152" i="2" s="1"/>
  <c r="AH152" i="2" s="1"/>
  <c r="AB150" i="2"/>
  <c r="AE150" i="2" s="1"/>
  <c r="AH150" i="2" s="1"/>
  <c r="AB149" i="2"/>
  <c r="AH149" i="2" s="1"/>
  <c r="AB147" i="2"/>
  <c r="AE147" i="2" s="1"/>
  <c r="AH147" i="2" s="1"/>
  <c r="AB144" i="2"/>
  <c r="AH144" i="2" s="1"/>
  <c r="AB143" i="2"/>
  <c r="AH143" i="2" s="1"/>
  <c r="AB142" i="2"/>
  <c r="AE142" i="2" s="1"/>
  <c r="AH142" i="2" s="1"/>
  <c r="AB141" i="2"/>
  <c r="AB134" i="2"/>
  <c r="AE134" i="2" s="1"/>
  <c r="AH134" i="2" s="1"/>
  <c r="AB139" i="2"/>
  <c r="AB138" i="2"/>
  <c r="AB137" i="2"/>
  <c r="AE137" i="2" s="1"/>
  <c r="AH137" i="2" s="1"/>
  <c r="AB136" i="2"/>
  <c r="AE136" i="2" s="1"/>
  <c r="AH136" i="2" s="1"/>
  <c r="AB135" i="2"/>
  <c r="AB133" i="2"/>
  <c r="AB132" i="2"/>
  <c r="AH132" i="2" s="1"/>
  <c r="L142" i="2"/>
  <c r="L163" i="2"/>
  <c r="L162" i="2"/>
  <c r="L161" i="2"/>
  <c r="L159" i="2"/>
  <c r="L158" i="2"/>
  <c r="L157" i="2"/>
  <c r="L156" i="2"/>
  <c r="L153" i="2"/>
  <c r="L152" i="2"/>
  <c r="L150" i="2"/>
  <c r="L149" i="2"/>
  <c r="L146" i="2"/>
  <c r="L147" i="2"/>
  <c r="L139" i="2"/>
  <c r="L137" i="2"/>
  <c r="L134" i="2"/>
  <c r="L133" i="2"/>
  <c r="L132" i="2"/>
  <c r="N7" i="1"/>
  <c r="N8" i="1"/>
  <c r="AB129" i="2"/>
  <c r="AE129" i="2" s="1"/>
  <c r="AH129" i="2" s="1"/>
  <c r="AB128" i="2"/>
  <c r="AB127" i="2"/>
  <c r="AE127" i="2" s="1"/>
  <c r="AB125" i="2"/>
  <c r="AE125" i="2" s="1"/>
  <c r="AB123" i="2"/>
  <c r="AB121" i="2"/>
  <c r="AE121" i="2" s="1"/>
  <c r="AH121" i="2" s="1"/>
  <c r="AH120" i="2" s="1"/>
  <c r="L128" i="2"/>
  <c r="L129" i="2"/>
  <c r="L127" i="2"/>
  <c r="L125" i="2"/>
  <c r="L124" i="2" s="1"/>
  <c r="F71" i="8" s="1"/>
  <c r="L123" i="2"/>
  <c r="L122" i="2" s="1"/>
  <c r="F70" i="8" s="1"/>
  <c r="L121" i="2"/>
  <c r="L120" i="2" s="1"/>
  <c r="F69" i="8" s="1"/>
  <c r="AE16" i="3" l="1"/>
  <c r="M97" i="8" s="1"/>
  <c r="AH74" i="5"/>
  <c r="AE74" i="5"/>
  <c r="M183" i="8" s="1"/>
  <c r="M178" i="8" s="1"/>
  <c r="AH78" i="5"/>
  <c r="F166" i="8"/>
  <c r="M162" i="8"/>
  <c r="L4" i="5"/>
  <c r="F163" i="8"/>
  <c r="F162" i="8" s="1"/>
  <c r="L48" i="5"/>
  <c r="F176" i="8"/>
  <c r="F175" i="8" s="1"/>
  <c r="F178" i="8"/>
  <c r="AH125" i="5"/>
  <c r="AH123" i="5" s="1"/>
  <c r="L77" i="5"/>
  <c r="F186" i="8"/>
  <c r="F184" i="8" s="1"/>
  <c r="AH139" i="5"/>
  <c r="AE78" i="5"/>
  <c r="M185" i="8" s="1"/>
  <c r="AE22" i="4"/>
  <c r="M126" i="8" s="1"/>
  <c r="AE83" i="4"/>
  <c r="M144" i="8" s="1"/>
  <c r="AH69" i="4"/>
  <c r="AH5" i="4"/>
  <c r="AH4" i="4" s="1"/>
  <c r="I4" i="4" s="1"/>
  <c r="AH46" i="4"/>
  <c r="AH121" i="4"/>
  <c r="AH80" i="4"/>
  <c r="AH79" i="4" s="1"/>
  <c r="AH53" i="4"/>
  <c r="AH83" i="4"/>
  <c r="O9" i="7"/>
  <c r="AH62" i="4"/>
  <c r="AH61" i="4" s="1"/>
  <c r="F147" i="8"/>
  <c r="AE53" i="4"/>
  <c r="M134" i="8" s="1"/>
  <c r="AE150" i="4"/>
  <c r="M157" i="8" s="1"/>
  <c r="AN19" i="4"/>
  <c r="L4" i="4"/>
  <c r="F125" i="8"/>
  <c r="F124" i="8" s="1"/>
  <c r="L82" i="4"/>
  <c r="F144" i="8"/>
  <c r="F143" i="8" s="1"/>
  <c r="AE38" i="4"/>
  <c r="AE5" i="4"/>
  <c r="M125" i="8" s="1"/>
  <c r="L60" i="4"/>
  <c r="F138" i="8"/>
  <c r="F136" i="8" s="1"/>
  <c r="AE167" i="4"/>
  <c r="M160" i="8"/>
  <c r="M159" i="8" s="1"/>
  <c r="AH58" i="4"/>
  <c r="AH57" i="4" s="1"/>
  <c r="AE57" i="4"/>
  <c r="L167" i="4"/>
  <c r="F160" i="8"/>
  <c r="F159" i="8" s="1"/>
  <c r="M139" i="8"/>
  <c r="M127" i="8"/>
  <c r="AH109" i="4"/>
  <c r="AH38" i="4"/>
  <c r="AH150" i="4"/>
  <c r="F153" i="8"/>
  <c r="AE109" i="4"/>
  <c r="M151" i="8" s="1"/>
  <c r="AE121" i="4"/>
  <c r="M152" i="8" s="1"/>
  <c r="F130" i="8"/>
  <c r="L26" i="4"/>
  <c r="F129" i="8"/>
  <c r="F127" i="8" s="1"/>
  <c r="AE64" i="4"/>
  <c r="M138" i="8" s="1"/>
  <c r="L96" i="3"/>
  <c r="F115" i="8" s="1"/>
  <c r="AE24" i="3"/>
  <c r="M99" i="8" s="1"/>
  <c r="L160" i="2"/>
  <c r="F79" i="8" s="1"/>
  <c r="L184" i="2"/>
  <c r="F86" i="8" s="1"/>
  <c r="AE135" i="2"/>
  <c r="AH135" i="2" s="1"/>
  <c r="W135" i="2"/>
  <c r="L97" i="4"/>
  <c r="AH104" i="4"/>
  <c r="AH100" i="4" s="1"/>
  <c r="AE100" i="4"/>
  <c r="AE144" i="4"/>
  <c r="M156" i="8" s="1"/>
  <c r="L135" i="4"/>
  <c r="AE160" i="2"/>
  <c r="M79" i="8" s="1"/>
  <c r="AH96" i="4"/>
  <c r="AH95" i="4" s="1"/>
  <c r="AE95" i="4"/>
  <c r="M146" i="8" s="1"/>
  <c r="L17" i="5"/>
  <c r="AE5" i="3"/>
  <c r="M94" i="8" s="1"/>
  <c r="AE133" i="2"/>
  <c r="AH26" i="4"/>
  <c r="I26" i="4" s="1"/>
  <c r="AE26" i="4"/>
  <c r="AH139" i="2"/>
  <c r="L148" i="2"/>
  <c r="F77" i="8" s="1"/>
  <c r="L140" i="2"/>
  <c r="F75" i="8" s="1"/>
  <c r="AH140" i="4"/>
  <c r="AE140" i="4"/>
  <c r="M155" i="8" s="1"/>
  <c r="AE85" i="5"/>
  <c r="M186" i="8" s="1"/>
  <c r="L57" i="5"/>
  <c r="AE57" i="5"/>
  <c r="L5" i="3"/>
  <c r="F94" i="8" s="1"/>
  <c r="L11" i="3"/>
  <c r="F95" i="8" s="1"/>
  <c r="L24" i="3"/>
  <c r="F99" i="8" s="1"/>
  <c r="AH28" i="3"/>
  <c r="L68" i="3"/>
  <c r="F111" i="8" s="1"/>
  <c r="AH141" i="2"/>
  <c r="AH140" i="2" s="1"/>
  <c r="AE140" i="2"/>
  <c r="M75" i="8" s="1"/>
  <c r="L131" i="2"/>
  <c r="F74" i="8" s="1"/>
  <c r="L154" i="2"/>
  <c r="F78" i="8" s="1"/>
  <c r="L170" i="2"/>
  <c r="F82" i="8" s="1"/>
  <c r="AH154" i="2"/>
  <c r="AH161" i="2"/>
  <c r="AH160" i="2" s="1"/>
  <c r="AE154" i="2"/>
  <c r="M78" i="8" s="1"/>
  <c r="L145" i="2"/>
  <c r="F76" i="8" s="1"/>
  <c r="AH174" i="2"/>
  <c r="AH173" i="2" s="1"/>
  <c r="AE173" i="2"/>
  <c r="M83" i="8" s="1"/>
  <c r="AH148" i="2"/>
  <c r="AE177" i="2"/>
  <c r="AH177" i="2" s="1"/>
  <c r="AE178" i="2"/>
  <c r="AH178" i="2" s="1"/>
  <c r="AE148" i="2"/>
  <c r="M77" i="8" s="1"/>
  <c r="AE201" i="2"/>
  <c r="AH201" i="2" s="1"/>
  <c r="AH198" i="2" s="1"/>
  <c r="L203" i="2"/>
  <c r="F91" i="8" s="1"/>
  <c r="L126" i="2"/>
  <c r="AE203" i="2"/>
  <c r="M91" i="8" s="1"/>
  <c r="AE128" i="2"/>
  <c r="AH128" i="2" s="1"/>
  <c r="W128" i="2"/>
  <c r="L193" i="2"/>
  <c r="F89" i="8" s="1"/>
  <c r="L165" i="2"/>
  <c r="F81" i="8" s="1"/>
  <c r="AH180" i="2"/>
  <c r="AH57" i="5"/>
  <c r="I57" i="5" s="1"/>
  <c r="AE131" i="5"/>
  <c r="M195" i="8" s="1"/>
  <c r="AH4" i="5"/>
  <c r="I4" i="5" s="1"/>
  <c r="AE4" i="5"/>
  <c r="AE99" i="5"/>
  <c r="M189" i="8" s="1"/>
  <c r="AH17" i="5"/>
  <c r="I17" i="5" s="1"/>
  <c r="AE123" i="5"/>
  <c r="M194" i="8" s="1"/>
  <c r="L109" i="5"/>
  <c r="AH117" i="5"/>
  <c r="AH116" i="5" s="1"/>
  <c r="AE116" i="5"/>
  <c r="M193" i="8" s="1"/>
  <c r="AH110" i="5"/>
  <c r="L28" i="3"/>
  <c r="F100" i="8" s="1"/>
  <c r="AH74" i="3"/>
  <c r="AH73" i="3" s="1"/>
  <c r="AE73" i="3"/>
  <c r="M112" i="8" s="1"/>
  <c r="L129" i="3"/>
  <c r="AH21" i="3"/>
  <c r="L34" i="3"/>
  <c r="AE91" i="3"/>
  <c r="M114" i="8" s="1"/>
  <c r="AH40" i="3"/>
  <c r="AH68" i="3"/>
  <c r="AH86" i="3"/>
  <c r="L86" i="3"/>
  <c r="F113" i="8" s="1"/>
  <c r="AH17" i="3"/>
  <c r="L91" i="3"/>
  <c r="F114" i="8" s="1"/>
  <c r="L73" i="3"/>
  <c r="F112" i="8" s="1"/>
  <c r="AH34" i="3"/>
  <c r="AE34" i="3"/>
  <c r="M102" i="8" s="1"/>
  <c r="AH11" i="3"/>
  <c r="AH91" i="3"/>
  <c r="AE119" i="3"/>
  <c r="AH119" i="3" s="1"/>
  <c r="L54" i="3"/>
  <c r="F107" i="8" s="1"/>
  <c r="AE96" i="3"/>
  <c r="M115" i="8" s="1"/>
  <c r="AH97" i="3"/>
  <c r="AH96" i="3" s="1"/>
  <c r="AH16" i="3"/>
  <c r="AH46" i="3"/>
  <c r="AE56" i="3"/>
  <c r="AH56" i="3" s="1"/>
  <c r="AE103" i="3"/>
  <c r="AH103" i="3" s="1"/>
  <c r="AH25" i="3"/>
  <c r="AH24" i="3" s="1"/>
  <c r="AH126" i="3"/>
  <c r="AH130" i="3"/>
  <c r="AH129" i="3" s="1"/>
  <c r="AE129" i="3"/>
  <c r="M122" i="8" s="1"/>
  <c r="L117" i="3"/>
  <c r="F119" i="8" s="1"/>
  <c r="AE106" i="3"/>
  <c r="AH106" i="3" s="1"/>
  <c r="L64" i="3"/>
  <c r="F109" i="8" s="1"/>
  <c r="AE105" i="3"/>
  <c r="AH105" i="3" s="1"/>
  <c r="L101" i="3"/>
  <c r="F117" i="8" s="1"/>
  <c r="L125" i="3"/>
  <c r="F121" i="8" s="1"/>
  <c r="AE123" i="2"/>
  <c r="AH123" i="2" s="1"/>
  <c r="AH122" i="2" s="1"/>
  <c r="AE190" i="2"/>
  <c r="AH190" i="2" s="1"/>
  <c r="L187" i="2"/>
  <c r="F87" i="8" s="1"/>
  <c r="AH188" i="2"/>
  <c r="AE186" i="2"/>
  <c r="AH186" i="2" s="1"/>
  <c r="AE185" i="2"/>
  <c r="AH185" i="2" s="1"/>
  <c r="AH183" i="2"/>
  <c r="AH182" i="2" s="1"/>
  <c r="AE182" i="2"/>
  <c r="M85" i="8" s="1"/>
  <c r="L176" i="2"/>
  <c r="F84" i="8" s="1"/>
  <c r="AH171" i="2"/>
  <c r="AH170" i="2" s="1"/>
  <c r="AE170" i="2"/>
  <c r="M82" i="8" s="1"/>
  <c r="AE165" i="2"/>
  <c r="M81" i="8" s="1"/>
  <c r="AH165" i="2"/>
  <c r="AH105" i="5"/>
  <c r="AH77" i="5" s="1"/>
  <c r="I77" i="5" s="1"/>
  <c r="L37" i="4"/>
  <c r="AE121" i="3"/>
  <c r="AH121" i="3" s="1"/>
  <c r="AE109" i="3"/>
  <c r="AH109" i="3" s="1"/>
  <c r="AH107" i="3" s="1"/>
  <c r="L107" i="3"/>
  <c r="F118" i="8" s="1"/>
  <c r="AE61" i="3"/>
  <c r="AH61" i="3" s="1"/>
  <c r="AE55" i="3"/>
  <c r="AH55" i="3" s="1"/>
  <c r="AE43" i="3"/>
  <c r="M104" i="8" s="1"/>
  <c r="AH44" i="3"/>
  <c r="AH43" i="3" s="1"/>
  <c r="AH205" i="2"/>
  <c r="AH203" i="2" s="1"/>
  <c r="L198" i="2"/>
  <c r="F90" i="8" s="1"/>
  <c r="AE194" i="2"/>
  <c r="AE193" i="2" s="1"/>
  <c r="AE43" i="5"/>
  <c r="M174" i="8" s="1"/>
  <c r="M166" i="8" s="1"/>
  <c r="AE91" i="4"/>
  <c r="M145" i="8" s="1"/>
  <c r="AH92" i="4"/>
  <c r="AH91" i="4" s="1"/>
  <c r="AE127" i="3"/>
  <c r="AH127" i="3" s="1"/>
  <c r="AE65" i="3"/>
  <c r="AH7" i="3"/>
  <c r="L21" i="3"/>
  <c r="F98" i="8" s="1"/>
  <c r="L59" i="3"/>
  <c r="F108" i="8" s="1"/>
  <c r="L46" i="3"/>
  <c r="F106" i="8" s="1"/>
  <c r="L16" i="3"/>
  <c r="F97" i="8" s="1"/>
  <c r="F96" i="8" s="1"/>
  <c r="AH127" i="2"/>
  <c r="AE124" i="2"/>
  <c r="M71" i="8" s="1"/>
  <c r="AH125" i="2"/>
  <c r="AH124" i="2" s="1"/>
  <c r="AB118" i="2"/>
  <c r="AH118" i="2" s="1"/>
  <c r="AB117" i="2"/>
  <c r="AE117" i="2" s="1"/>
  <c r="AH117" i="2" s="1"/>
  <c r="AB116" i="2"/>
  <c r="AH116" i="2" s="1"/>
  <c r="AB115" i="2"/>
  <c r="AE115" i="2" s="1"/>
  <c r="AH115" i="2" s="1"/>
  <c r="AB114" i="2"/>
  <c r="AE114" i="2" s="1"/>
  <c r="AH114" i="2" s="1"/>
  <c r="AB113" i="2"/>
  <c r="AE113" i="2" s="1"/>
  <c r="AH113" i="2" s="1"/>
  <c r="AB112" i="2"/>
  <c r="AH112" i="2" s="1"/>
  <c r="AB111" i="2"/>
  <c r="AE111" i="2" s="1"/>
  <c r="AH111" i="2" s="1"/>
  <c r="AB110" i="2"/>
  <c r="AH110" i="2" s="1"/>
  <c r="AB109" i="2"/>
  <c r="AE109" i="2" s="1"/>
  <c r="AH109" i="2" s="1"/>
  <c r="AB108" i="2"/>
  <c r="AE108" i="2" s="1"/>
  <c r="AH108" i="2" s="1"/>
  <c r="AB107" i="2"/>
  <c r="L117" i="2"/>
  <c r="L115" i="2"/>
  <c r="L114" i="2"/>
  <c r="L113" i="2"/>
  <c r="L111" i="2"/>
  <c r="L108" i="2"/>
  <c r="AM102" i="2"/>
  <c r="M124" i="8" l="1"/>
  <c r="AH133" i="2"/>
  <c r="AH131" i="2" s="1"/>
  <c r="AK133" i="2"/>
  <c r="AH60" i="4"/>
  <c r="I60" i="4" s="1"/>
  <c r="M184" i="8"/>
  <c r="M191" i="8"/>
  <c r="M143" i="8"/>
  <c r="AE77" i="5"/>
  <c r="M136" i="8"/>
  <c r="AH37" i="4"/>
  <c r="I37" i="4" s="1"/>
  <c r="AE4" i="4"/>
  <c r="AH135" i="4"/>
  <c r="I135" i="4" s="1"/>
  <c r="F105" i="8"/>
  <c r="AH187" i="2"/>
  <c r="AH82" i="4"/>
  <c r="I82" i="4" s="1"/>
  <c r="M131" i="8"/>
  <c r="M130" i="8" s="1"/>
  <c r="AE37" i="4"/>
  <c r="AE97" i="4"/>
  <c r="M149" i="8"/>
  <c r="M147" i="8" s="1"/>
  <c r="AE60" i="4"/>
  <c r="M153" i="8"/>
  <c r="AH97" i="4"/>
  <c r="I97" i="4" s="1"/>
  <c r="L33" i="3"/>
  <c r="F102" i="8"/>
  <c r="F101" i="8" s="1"/>
  <c r="AE125" i="3"/>
  <c r="M121" i="8" s="1"/>
  <c r="M120" i="8" s="1"/>
  <c r="F116" i="8"/>
  <c r="L124" i="3"/>
  <c r="F122" i="8"/>
  <c r="F120" i="8" s="1"/>
  <c r="F93" i="8"/>
  <c r="F110" i="8"/>
  <c r="AE184" i="2"/>
  <c r="M86" i="8" s="1"/>
  <c r="AH194" i="2"/>
  <c r="AH193" i="2" s="1"/>
  <c r="AH192" i="2" s="1"/>
  <c r="AH184" i="2"/>
  <c r="AE176" i="2"/>
  <c r="M84" i="8" s="1"/>
  <c r="F80" i="8"/>
  <c r="F88" i="8"/>
  <c r="F73" i="8"/>
  <c r="AH126" i="2"/>
  <c r="AH119" i="2" s="1"/>
  <c r="I119" i="2" s="1"/>
  <c r="L119" i="2"/>
  <c r="F72" i="8"/>
  <c r="F68" i="8" s="1"/>
  <c r="L192" i="2"/>
  <c r="AE82" i="4"/>
  <c r="L3" i="4"/>
  <c r="F123" i="8" s="1"/>
  <c r="F7" i="7" s="1"/>
  <c r="AE135" i="4"/>
  <c r="AE106" i="2"/>
  <c r="M67" i="8" s="1"/>
  <c r="AH33" i="3"/>
  <c r="I33" i="3" s="1"/>
  <c r="L4" i="3"/>
  <c r="AE131" i="2"/>
  <c r="M74" i="8" s="1"/>
  <c r="L130" i="2"/>
  <c r="L3" i="5"/>
  <c r="F161" i="8" s="1"/>
  <c r="F8" i="7" s="1"/>
  <c r="AH117" i="3"/>
  <c r="AH54" i="3"/>
  <c r="AH15" i="3"/>
  <c r="I15" i="3" s="1"/>
  <c r="L164" i="2"/>
  <c r="L106" i="2"/>
  <c r="F67" i="8" s="1"/>
  <c r="AH176" i="2"/>
  <c r="AH107" i="2"/>
  <c r="AH106" i="2" s="1"/>
  <c r="AE198" i="2"/>
  <c r="M90" i="8" s="1"/>
  <c r="AE122" i="2"/>
  <c r="M70" i="8" s="1"/>
  <c r="M89" i="8"/>
  <c r="AE126" i="2"/>
  <c r="M72" i="8" s="1"/>
  <c r="AE17" i="5"/>
  <c r="AE109" i="5"/>
  <c r="AH109" i="5"/>
  <c r="I109" i="5" s="1"/>
  <c r="AH125" i="3"/>
  <c r="AH124" i="3" s="1"/>
  <c r="I124" i="3" s="1"/>
  <c r="L67" i="3"/>
  <c r="AH101" i="3"/>
  <c r="AH67" i="3"/>
  <c r="I67" i="3" s="1"/>
  <c r="L45" i="3"/>
  <c r="AE107" i="3"/>
  <c r="M118" i="8" s="1"/>
  <c r="L100" i="3"/>
  <c r="AH5" i="3"/>
  <c r="AH4" i="3" s="1"/>
  <c r="I4" i="3" s="1"/>
  <c r="AE187" i="2"/>
  <c r="M87" i="8" s="1"/>
  <c r="AH60" i="3"/>
  <c r="AH59" i="3" s="1"/>
  <c r="AE59" i="3"/>
  <c r="M108" i="8" s="1"/>
  <c r="AH65" i="3"/>
  <c r="AH64" i="3" s="1"/>
  <c r="AE64" i="3"/>
  <c r="M109" i="8" s="1"/>
  <c r="L15" i="3"/>
  <c r="AB105" i="2"/>
  <c r="AH105" i="2" s="1"/>
  <c r="AB104" i="2"/>
  <c r="AH104" i="2" s="1"/>
  <c r="AB103" i="2"/>
  <c r="AE103" i="2" s="1"/>
  <c r="AH103" i="2" s="1"/>
  <c r="AB102" i="2"/>
  <c r="L105" i="2"/>
  <c r="L104" i="2"/>
  <c r="L103" i="2"/>
  <c r="L102" i="2"/>
  <c r="AM90" i="2"/>
  <c r="AB100" i="2"/>
  <c r="AE100" i="2" s="1"/>
  <c r="AH100" i="2" s="1"/>
  <c r="AB99" i="2"/>
  <c r="AE99" i="2" s="1"/>
  <c r="AH99" i="2" s="1"/>
  <c r="AB98" i="2"/>
  <c r="AE98" i="2" s="1"/>
  <c r="AH98" i="2" s="1"/>
  <c r="AB97" i="2"/>
  <c r="AB96" i="2"/>
  <c r="AE96" i="2" s="1"/>
  <c r="AH96" i="2" s="1"/>
  <c r="AB95" i="2"/>
  <c r="AB94" i="2"/>
  <c r="AH94" i="2" s="1"/>
  <c r="AB93" i="2"/>
  <c r="AE93" i="2" s="1"/>
  <c r="L97" i="2"/>
  <c r="L93" i="2"/>
  <c r="L100" i="2"/>
  <c r="L99" i="2"/>
  <c r="L98" i="2"/>
  <c r="L96" i="2"/>
  <c r="L94" i="2"/>
  <c r="AE124" i="3" l="1"/>
  <c r="M80" i="8"/>
  <c r="AH3" i="4"/>
  <c r="AE164" i="2"/>
  <c r="AE192" i="2"/>
  <c r="AH164" i="2"/>
  <c r="I164" i="2" s="1"/>
  <c r="AH100" i="3"/>
  <c r="I100" i="3" s="1"/>
  <c r="AE3" i="4"/>
  <c r="M123" i="8" s="1"/>
  <c r="AE97" i="2"/>
  <c r="AH97" i="2" s="1"/>
  <c r="L92" i="2"/>
  <c r="L101" i="2"/>
  <c r="F66" i="8" s="1"/>
  <c r="M88" i="8"/>
  <c r="AH93" i="2"/>
  <c r="AH102" i="2"/>
  <c r="AH101" i="2" s="1"/>
  <c r="AE101" i="2"/>
  <c r="M66" i="8" s="1"/>
  <c r="AE119" i="2"/>
  <c r="M68" i="8"/>
  <c r="AH45" i="3"/>
  <c r="I45" i="3" s="1"/>
  <c r="L3" i="3"/>
  <c r="F92" i="8" s="1"/>
  <c r="F6" i="7" s="1"/>
  <c r="L90" i="2"/>
  <c r="L88" i="2"/>
  <c r="L87" i="2"/>
  <c r="L86" i="2"/>
  <c r="AB90" i="2"/>
  <c r="AE90" i="2" s="1"/>
  <c r="AH90" i="2" s="1"/>
  <c r="AB89" i="2"/>
  <c r="AE89" i="2" s="1"/>
  <c r="AH89" i="2" s="1"/>
  <c r="AB88" i="2"/>
  <c r="AE88" i="2" s="1"/>
  <c r="AH88" i="2" s="1"/>
  <c r="AB87" i="2"/>
  <c r="AE87" i="2" s="1"/>
  <c r="AH87" i="2" s="1"/>
  <c r="AB86" i="2"/>
  <c r="AE86" i="2" s="1"/>
  <c r="AN89" i="2"/>
  <c r="AH82" i="2"/>
  <c r="AH81" i="2"/>
  <c r="AB84" i="2"/>
  <c r="AH84" i="2" s="1"/>
  <c r="AB83" i="2"/>
  <c r="AH83" i="2" s="1"/>
  <c r="AB82" i="2"/>
  <c r="AB81" i="2"/>
  <c r="AB80" i="2"/>
  <c r="AH80" i="2" s="1"/>
  <c r="AB79" i="2"/>
  <c r="AH79" i="2" s="1"/>
  <c r="AB78" i="2"/>
  <c r="L84" i="2"/>
  <c r="L83" i="2"/>
  <c r="L82" i="2"/>
  <c r="L81" i="2"/>
  <c r="L79" i="2"/>
  <c r="L78" i="2"/>
  <c r="L76" i="2"/>
  <c r="L75" i="2"/>
  <c r="L74" i="2"/>
  <c r="L72" i="2"/>
  <c r="L71" i="2"/>
  <c r="L70" i="2"/>
  <c r="L69" i="2"/>
  <c r="AB76" i="2"/>
  <c r="AE76" i="2" s="1"/>
  <c r="AH76" i="2" s="1"/>
  <c r="AB75" i="2"/>
  <c r="AH75" i="2" s="1"/>
  <c r="AB74" i="2"/>
  <c r="AE74" i="2" s="1"/>
  <c r="AH74" i="2" s="1"/>
  <c r="AB72" i="2"/>
  <c r="AE72" i="2" s="1"/>
  <c r="AH72" i="2" s="1"/>
  <c r="AB71" i="2"/>
  <c r="AE71" i="2" s="1"/>
  <c r="AH71" i="2" s="1"/>
  <c r="AB70" i="2"/>
  <c r="AE70" i="2" s="1"/>
  <c r="AH70" i="2" s="1"/>
  <c r="AB69" i="2"/>
  <c r="AE69" i="2" s="1"/>
  <c r="AB67" i="2"/>
  <c r="AE67" i="2" s="1"/>
  <c r="AH67" i="2" s="1"/>
  <c r="AB66" i="2"/>
  <c r="AE66" i="2" s="1"/>
  <c r="AH66" i="2" s="1"/>
  <c r="AB65" i="2"/>
  <c r="AE65" i="2" s="1"/>
  <c r="AH65" i="2" s="1"/>
  <c r="AB64" i="2"/>
  <c r="AE64" i="2" s="1"/>
  <c r="AH64" i="2" s="1"/>
  <c r="AB63" i="2"/>
  <c r="AE63" i="2" s="1"/>
  <c r="AH63" i="2" s="1"/>
  <c r="AB62" i="2"/>
  <c r="AE62" i="2" s="1"/>
  <c r="AH62" i="2" s="1"/>
  <c r="AB61" i="2"/>
  <c r="AE61" i="2" s="1"/>
  <c r="AH61" i="2" s="1"/>
  <c r="AB59" i="2"/>
  <c r="AE59" i="2" s="1"/>
  <c r="AH59" i="2" s="1"/>
  <c r="AB58" i="2"/>
  <c r="AH58" i="2" s="1"/>
  <c r="AB57" i="2"/>
  <c r="AE57" i="2" s="1"/>
  <c r="L67" i="2"/>
  <c r="L66" i="2"/>
  <c r="L65" i="2"/>
  <c r="L64" i="2"/>
  <c r="L63" i="2"/>
  <c r="L62" i="2"/>
  <c r="L61" i="2"/>
  <c r="L59" i="2"/>
  <c r="L57" i="2"/>
  <c r="L55" i="2"/>
  <c r="L53" i="2"/>
  <c r="L50" i="2"/>
  <c r="L51" i="2"/>
  <c r="AB55" i="2"/>
  <c r="AE55" i="2" s="1"/>
  <c r="AH55" i="2" s="1"/>
  <c r="AB54" i="2"/>
  <c r="AH54" i="2" s="1"/>
  <c r="AB53" i="2"/>
  <c r="AB51" i="2"/>
  <c r="AE51" i="2" s="1"/>
  <c r="AH51" i="2" s="1"/>
  <c r="AB50" i="2"/>
  <c r="AE50" i="2" s="1"/>
  <c r="AB48" i="2"/>
  <c r="AE48" i="2" s="1"/>
  <c r="AH48" i="2" s="1"/>
  <c r="AB47" i="2"/>
  <c r="AE47" i="2" s="1"/>
  <c r="AH47" i="2" s="1"/>
  <c r="AB46" i="2"/>
  <c r="AH46" i="2" s="1"/>
  <c r="AB45" i="2"/>
  <c r="AH45" i="2" s="1"/>
  <c r="AB44" i="2"/>
  <c r="L44" i="2"/>
  <c r="L48" i="2"/>
  <c r="L47" i="2"/>
  <c r="L45" i="2"/>
  <c r="L41" i="2"/>
  <c r="AB42" i="2"/>
  <c r="AE42" i="2" s="1"/>
  <c r="AH42" i="2" s="1"/>
  <c r="AB41" i="2"/>
  <c r="AE41" i="2" s="1"/>
  <c r="AH41" i="2" s="1"/>
  <c r="AB40" i="2"/>
  <c r="AE40" i="2" s="1"/>
  <c r="AN40" i="2"/>
  <c r="AN42" i="2"/>
  <c r="AN36" i="2"/>
  <c r="AN35" i="2"/>
  <c r="AH36" i="2"/>
  <c r="AB38" i="2"/>
  <c r="AE38" i="2" s="1"/>
  <c r="AH38" i="2" s="1"/>
  <c r="AB37" i="2"/>
  <c r="AE37" i="2" s="1"/>
  <c r="AH37" i="2" s="1"/>
  <c r="AB36" i="2"/>
  <c r="AB35" i="2"/>
  <c r="AE35" i="2" s="1"/>
  <c r="L38" i="2"/>
  <c r="L37" i="2"/>
  <c r="L34" i="2" s="1"/>
  <c r="F53" i="8" s="1"/>
  <c r="L33" i="2"/>
  <c r="L30" i="2"/>
  <c r="L29" i="2" s="1"/>
  <c r="F52" i="8" s="1"/>
  <c r="AH31" i="2"/>
  <c r="AB33" i="2"/>
  <c r="AH33" i="2" s="1"/>
  <c r="AB32" i="2"/>
  <c r="AB31" i="2"/>
  <c r="AB30" i="2"/>
  <c r="AH30" i="2" s="1"/>
  <c r="AN31" i="2"/>
  <c r="AE25" i="2"/>
  <c r="AH25" i="2" s="1"/>
  <c r="AE24" i="2"/>
  <c r="AH24" i="2" s="1"/>
  <c r="AB22" i="2"/>
  <c r="AB28" i="2"/>
  <c r="AE28" i="2" s="1"/>
  <c r="AH28" i="2" s="1"/>
  <c r="AB27" i="2"/>
  <c r="AE27" i="2" s="1"/>
  <c r="AH27" i="2" s="1"/>
  <c r="AB26" i="2"/>
  <c r="AE26" i="2" s="1"/>
  <c r="AH26" i="2" s="1"/>
  <c r="AB25" i="2"/>
  <c r="AB24" i="2"/>
  <c r="AB23" i="2"/>
  <c r="AH23" i="2" s="1"/>
  <c r="L28" i="2"/>
  <c r="L27" i="2"/>
  <c r="L26" i="2"/>
  <c r="L25" i="2"/>
  <c r="L24" i="2"/>
  <c r="L22" i="2"/>
  <c r="L17" i="2"/>
  <c r="AN17" i="2"/>
  <c r="AB20" i="2"/>
  <c r="AE20" i="2" s="1"/>
  <c r="AH20" i="2" s="1"/>
  <c r="AB19" i="2"/>
  <c r="AE19" i="2" s="1"/>
  <c r="AH19" i="2" s="1"/>
  <c r="AB18" i="2"/>
  <c r="AE18" i="2" s="1"/>
  <c r="AH18" i="2" s="1"/>
  <c r="AB17" i="2"/>
  <c r="AH17" i="2" s="1"/>
  <c r="AB16" i="2"/>
  <c r="AE16" i="2" s="1"/>
  <c r="L20" i="2"/>
  <c r="L19" i="2"/>
  <c r="L18" i="2"/>
  <c r="L16" i="2"/>
  <c r="AB14" i="2"/>
  <c r="AE14" i="2" s="1"/>
  <c r="AH14" i="2" s="1"/>
  <c r="AB13" i="2"/>
  <c r="AE13" i="2" s="1"/>
  <c r="L13" i="2"/>
  <c r="L14" i="2"/>
  <c r="AI205" i="2"/>
  <c r="N205" i="2"/>
  <c r="M205" i="2"/>
  <c r="K205" i="2"/>
  <c r="J205" i="2"/>
  <c r="AI204" i="2"/>
  <c r="N204" i="2"/>
  <c r="M204" i="2"/>
  <c r="K204" i="2"/>
  <c r="J204" i="2"/>
  <c r="AI202" i="2"/>
  <c r="M202" i="2"/>
  <c r="J202" i="2"/>
  <c r="AI201" i="2"/>
  <c r="N201" i="2"/>
  <c r="M201" i="2"/>
  <c r="K201" i="2"/>
  <c r="J201" i="2"/>
  <c r="AI200" i="2"/>
  <c r="N200" i="2"/>
  <c r="M200" i="2"/>
  <c r="K200" i="2"/>
  <c r="J200" i="2"/>
  <c r="AI199" i="2"/>
  <c r="N199" i="2"/>
  <c r="M199" i="2"/>
  <c r="K199" i="2"/>
  <c r="J199" i="2"/>
  <c r="AI197" i="2"/>
  <c r="M197" i="2"/>
  <c r="J197" i="2"/>
  <c r="N196" i="2"/>
  <c r="K196" i="2"/>
  <c r="AI195" i="2"/>
  <c r="N195" i="2"/>
  <c r="M195" i="2"/>
  <c r="K195" i="2"/>
  <c r="J195" i="2"/>
  <c r="AI194" i="2"/>
  <c r="N194" i="2"/>
  <c r="M194" i="2"/>
  <c r="K194" i="2"/>
  <c r="J194" i="2"/>
  <c r="AI191" i="2"/>
  <c r="N191" i="2"/>
  <c r="M191" i="2"/>
  <c r="K191" i="2"/>
  <c r="J191" i="2"/>
  <c r="AI190" i="2"/>
  <c r="N190" i="2"/>
  <c r="M190" i="2"/>
  <c r="K190" i="2"/>
  <c r="J190" i="2"/>
  <c r="AI189" i="2"/>
  <c r="N189" i="2"/>
  <c r="M189" i="2"/>
  <c r="K189" i="2"/>
  <c r="J189" i="2"/>
  <c r="AI188" i="2"/>
  <c r="N188" i="2"/>
  <c r="M188" i="2"/>
  <c r="K188" i="2"/>
  <c r="J188" i="2"/>
  <c r="AI186" i="2"/>
  <c r="N186" i="2"/>
  <c r="M186" i="2"/>
  <c r="K186" i="2"/>
  <c r="J186" i="2"/>
  <c r="AI185" i="2"/>
  <c r="N185" i="2"/>
  <c r="M185" i="2"/>
  <c r="K185" i="2"/>
  <c r="J185" i="2"/>
  <c r="AI183" i="2"/>
  <c r="N183" i="2"/>
  <c r="M183" i="2"/>
  <c r="K183" i="2"/>
  <c r="J183" i="2"/>
  <c r="AI181" i="2"/>
  <c r="N181" i="2"/>
  <c r="M181" i="2"/>
  <c r="K181" i="2"/>
  <c r="J181" i="2"/>
  <c r="AI180" i="2"/>
  <c r="N180" i="2"/>
  <c r="M180" i="2"/>
  <c r="K180" i="2"/>
  <c r="J180" i="2"/>
  <c r="N179" i="2"/>
  <c r="K179" i="2"/>
  <c r="AI178" i="2"/>
  <c r="N178" i="2"/>
  <c r="M178" i="2"/>
  <c r="K178" i="2"/>
  <c r="J178" i="2"/>
  <c r="AI177" i="2"/>
  <c r="N177" i="2"/>
  <c r="M177" i="2"/>
  <c r="K177" i="2"/>
  <c r="J177" i="2"/>
  <c r="AI175" i="2"/>
  <c r="N175" i="2"/>
  <c r="M175" i="2"/>
  <c r="K175" i="2"/>
  <c r="J175" i="2"/>
  <c r="AI174" i="2"/>
  <c r="N174" i="2"/>
  <c r="M174" i="2"/>
  <c r="K174" i="2"/>
  <c r="J174" i="2"/>
  <c r="AI172" i="2"/>
  <c r="N172" i="2"/>
  <c r="M172" i="2"/>
  <c r="K172" i="2"/>
  <c r="J172" i="2"/>
  <c r="AI171" i="2"/>
  <c r="N171" i="2"/>
  <c r="M171" i="2"/>
  <c r="K171" i="2"/>
  <c r="J171" i="2"/>
  <c r="AI169" i="2"/>
  <c r="N169" i="2"/>
  <c r="M169" i="2"/>
  <c r="K169" i="2"/>
  <c r="J169" i="2"/>
  <c r="AI168" i="2"/>
  <c r="N168" i="2"/>
  <c r="M168" i="2"/>
  <c r="K168" i="2"/>
  <c r="J168" i="2"/>
  <c r="AI167" i="2"/>
  <c r="N167" i="2"/>
  <c r="M167" i="2"/>
  <c r="K167" i="2"/>
  <c r="J167" i="2"/>
  <c r="AI166" i="2"/>
  <c r="N166" i="2"/>
  <c r="M166" i="2"/>
  <c r="K166" i="2"/>
  <c r="J166" i="2"/>
  <c r="N163" i="2"/>
  <c r="K163" i="2"/>
  <c r="N161" i="2"/>
  <c r="K161" i="2"/>
  <c r="N159" i="2"/>
  <c r="K159" i="2"/>
  <c r="AI158" i="2"/>
  <c r="N158" i="2"/>
  <c r="M158" i="2"/>
  <c r="K158" i="2"/>
  <c r="J158" i="2"/>
  <c r="AI157" i="2"/>
  <c r="N157" i="2"/>
  <c r="M157" i="2"/>
  <c r="K157" i="2"/>
  <c r="J157" i="2"/>
  <c r="AI156" i="2"/>
  <c r="N156" i="2"/>
  <c r="M156" i="2"/>
  <c r="K156" i="2"/>
  <c r="J156" i="2"/>
  <c r="AI155" i="2"/>
  <c r="N155" i="2"/>
  <c r="M155" i="2"/>
  <c r="K155" i="2"/>
  <c r="J155" i="2"/>
  <c r="N153" i="2"/>
  <c r="K153" i="2"/>
  <c r="N152" i="2"/>
  <c r="K152" i="2"/>
  <c r="AI151" i="2"/>
  <c r="N151" i="2"/>
  <c r="M151" i="2"/>
  <c r="K151" i="2"/>
  <c r="J151" i="2"/>
  <c r="AI150" i="2"/>
  <c r="N150" i="2"/>
  <c r="M150" i="2"/>
  <c r="K150" i="2"/>
  <c r="J150" i="2"/>
  <c r="AI149" i="2"/>
  <c r="N149" i="2"/>
  <c r="M149" i="2"/>
  <c r="K149" i="2"/>
  <c r="J149" i="2"/>
  <c r="AI147" i="2"/>
  <c r="N147" i="2"/>
  <c r="M147" i="2"/>
  <c r="K147" i="2"/>
  <c r="J147" i="2"/>
  <c r="AI146" i="2"/>
  <c r="N146" i="2"/>
  <c r="M146" i="2"/>
  <c r="K146" i="2"/>
  <c r="J146" i="2"/>
  <c r="AI144" i="2"/>
  <c r="N144" i="2"/>
  <c r="M144" i="2"/>
  <c r="K144" i="2"/>
  <c r="J144" i="2"/>
  <c r="AI143" i="2"/>
  <c r="N143" i="2"/>
  <c r="M143" i="2"/>
  <c r="K143" i="2"/>
  <c r="J143" i="2"/>
  <c r="AI142" i="2"/>
  <c r="N142" i="2"/>
  <c r="M142" i="2"/>
  <c r="K142" i="2"/>
  <c r="J142" i="2"/>
  <c r="AI141" i="2"/>
  <c r="N141" i="2"/>
  <c r="M141" i="2"/>
  <c r="K141" i="2"/>
  <c r="J141" i="2"/>
  <c r="AI139" i="2"/>
  <c r="N139" i="2"/>
  <c r="M139" i="2"/>
  <c r="K139" i="2"/>
  <c r="J139" i="2"/>
  <c r="N138" i="2"/>
  <c r="K138" i="2"/>
  <c r="AI137" i="2"/>
  <c r="N137" i="2"/>
  <c r="M137" i="2"/>
  <c r="K137" i="2"/>
  <c r="J137" i="2"/>
  <c r="AI136" i="2"/>
  <c r="N136" i="2"/>
  <c r="M136" i="2"/>
  <c r="K136" i="2"/>
  <c r="J136" i="2"/>
  <c r="AI135" i="2"/>
  <c r="N135" i="2"/>
  <c r="M135" i="2"/>
  <c r="K135" i="2"/>
  <c r="J135" i="2"/>
  <c r="AI134" i="2"/>
  <c r="N134" i="2"/>
  <c r="M134" i="2"/>
  <c r="K134" i="2"/>
  <c r="J134" i="2"/>
  <c r="AI133" i="2"/>
  <c r="N133" i="2"/>
  <c r="M133" i="2"/>
  <c r="K133" i="2"/>
  <c r="J133" i="2"/>
  <c r="AI132" i="2"/>
  <c r="N132" i="2"/>
  <c r="M132" i="2"/>
  <c r="K132" i="2"/>
  <c r="J132" i="2"/>
  <c r="AI129" i="2"/>
  <c r="N129" i="2"/>
  <c r="M129" i="2"/>
  <c r="K129" i="2"/>
  <c r="J129" i="2"/>
  <c r="N128" i="2"/>
  <c r="K128" i="2"/>
  <c r="AI127" i="2"/>
  <c r="N127" i="2"/>
  <c r="M127" i="2"/>
  <c r="K127" i="2"/>
  <c r="J127" i="2"/>
  <c r="AI125" i="2"/>
  <c r="N125" i="2"/>
  <c r="M125" i="2"/>
  <c r="K125" i="2"/>
  <c r="J125" i="2"/>
  <c r="AI123" i="2"/>
  <c r="N123" i="2"/>
  <c r="M123" i="2"/>
  <c r="K123" i="2"/>
  <c r="J123" i="2"/>
  <c r="AI121" i="2"/>
  <c r="N121" i="2"/>
  <c r="M121" i="2"/>
  <c r="K121" i="2"/>
  <c r="J121" i="2"/>
  <c r="N118" i="2"/>
  <c r="K118" i="2"/>
  <c r="N117" i="2"/>
  <c r="K117" i="2"/>
  <c r="N116" i="2"/>
  <c r="K116" i="2"/>
  <c r="N115" i="2"/>
  <c r="K115" i="2"/>
  <c r="N114" i="2"/>
  <c r="K114" i="2"/>
  <c r="AI108" i="2"/>
  <c r="N108" i="2"/>
  <c r="M108" i="2"/>
  <c r="K108" i="2"/>
  <c r="J108" i="2"/>
  <c r="AI107" i="2"/>
  <c r="M107" i="2"/>
  <c r="K107" i="2"/>
  <c r="J107" i="2"/>
  <c r="AI104" i="2"/>
  <c r="N104" i="2"/>
  <c r="M104" i="2"/>
  <c r="K104" i="2"/>
  <c r="J104" i="2"/>
  <c r="AI103" i="2"/>
  <c r="N103" i="2"/>
  <c r="M103" i="2"/>
  <c r="K103" i="2"/>
  <c r="J103" i="2"/>
  <c r="AI102" i="2"/>
  <c r="AL102" i="2" s="1"/>
  <c r="N102" i="2"/>
  <c r="M102" i="2"/>
  <c r="K102" i="2"/>
  <c r="J102" i="2"/>
  <c r="AI100" i="2"/>
  <c r="N100" i="2"/>
  <c r="M100" i="2"/>
  <c r="K100" i="2"/>
  <c r="J100" i="2"/>
  <c r="N99" i="2"/>
  <c r="K99" i="2"/>
  <c r="N98" i="2"/>
  <c r="K98" i="2"/>
  <c r="AI97" i="2"/>
  <c r="N97" i="2"/>
  <c r="M97" i="2"/>
  <c r="K97" i="2"/>
  <c r="J97" i="2"/>
  <c r="AI96" i="2"/>
  <c r="N96" i="2"/>
  <c r="M96" i="2"/>
  <c r="K96" i="2"/>
  <c r="J96" i="2"/>
  <c r="AI95" i="2"/>
  <c r="N95" i="2"/>
  <c r="M95" i="2"/>
  <c r="K95" i="2"/>
  <c r="J95" i="2"/>
  <c r="N94" i="2"/>
  <c r="K94" i="2"/>
  <c r="N93" i="2"/>
  <c r="K93" i="2"/>
  <c r="AI90" i="2"/>
  <c r="N90" i="2"/>
  <c r="M90" i="2"/>
  <c r="K90" i="2"/>
  <c r="J90" i="2"/>
  <c r="AI89" i="2"/>
  <c r="N89" i="2"/>
  <c r="M89" i="2"/>
  <c r="K89" i="2"/>
  <c r="J89" i="2"/>
  <c r="AI88" i="2"/>
  <c r="N88" i="2"/>
  <c r="M88" i="2"/>
  <c r="K88" i="2"/>
  <c r="J88" i="2"/>
  <c r="AI87" i="2"/>
  <c r="N87" i="2"/>
  <c r="M87" i="2"/>
  <c r="K87" i="2"/>
  <c r="J87" i="2"/>
  <c r="AI86" i="2"/>
  <c r="N86" i="2"/>
  <c r="M86" i="2"/>
  <c r="K86" i="2"/>
  <c r="J86" i="2"/>
  <c r="N84" i="2"/>
  <c r="K84" i="2"/>
  <c r="AI81" i="2"/>
  <c r="N81" i="2"/>
  <c r="M81" i="2"/>
  <c r="K81" i="2"/>
  <c r="J81" i="2"/>
  <c r="AI79" i="2"/>
  <c r="M79" i="2"/>
  <c r="J79" i="2"/>
  <c r="N78" i="2"/>
  <c r="K78" i="2"/>
  <c r="AI76" i="2"/>
  <c r="N76" i="2"/>
  <c r="M76" i="2"/>
  <c r="K76" i="2"/>
  <c r="J76" i="2"/>
  <c r="AI75" i="2"/>
  <c r="N75" i="2"/>
  <c r="M75" i="2"/>
  <c r="K75" i="2"/>
  <c r="J75" i="2"/>
  <c r="AI74" i="2"/>
  <c r="N74" i="2"/>
  <c r="M74" i="2"/>
  <c r="K74" i="2"/>
  <c r="J74" i="2"/>
  <c r="AI72" i="2"/>
  <c r="N72" i="2"/>
  <c r="M72" i="2"/>
  <c r="K72" i="2"/>
  <c r="J72" i="2"/>
  <c r="AI71" i="2"/>
  <c r="N71" i="2"/>
  <c r="M71" i="2"/>
  <c r="K71" i="2"/>
  <c r="J71" i="2"/>
  <c r="AI70" i="2"/>
  <c r="N70" i="2"/>
  <c r="M70" i="2"/>
  <c r="K70" i="2"/>
  <c r="J70" i="2"/>
  <c r="AI69" i="2"/>
  <c r="N69" i="2"/>
  <c r="M69" i="2"/>
  <c r="K69" i="2"/>
  <c r="J69" i="2"/>
  <c r="N67" i="2"/>
  <c r="K67" i="2"/>
  <c r="AI66" i="2"/>
  <c r="N66" i="2"/>
  <c r="M66" i="2"/>
  <c r="K66" i="2"/>
  <c r="J66" i="2"/>
  <c r="N65" i="2"/>
  <c r="K65" i="2"/>
  <c r="AI64" i="2"/>
  <c r="N64" i="2"/>
  <c r="M64" i="2"/>
  <c r="K64" i="2"/>
  <c r="J64" i="2"/>
  <c r="AI63" i="2"/>
  <c r="N63" i="2"/>
  <c r="M63" i="2"/>
  <c r="K63" i="2"/>
  <c r="J63" i="2"/>
  <c r="AI62" i="2"/>
  <c r="N62" i="2"/>
  <c r="M62" i="2"/>
  <c r="K62" i="2"/>
  <c r="J62" i="2"/>
  <c r="AI61" i="2"/>
  <c r="N61" i="2"/>
  <c r="M61" i="2"/>
  <c r="K61" i="2"/>
  <c r="J61" i="2"/>
  <c r="AI59" i="2"/>
  <c r="N59" i="2"/>
  <c r="M59" i="2"/>
  <c r="K59" i="2"/>
  <c r="J59" i="2"/>
  <c r="AI58" i="2"/>
  <c r="N58" i="2"/>
  <c r="M58" i="2"/>
  <c r="K58" i="2"/>
  <c r="J58" i="2"/>
  <c r="AI57" i="2"/>
  <c r="N57" i="2"/>
  <c r="M57" i="2"/>
  <c r="K57" i="2"/>
  <c r="J57" i="2"/>
  <c r="AI55" i="2"/>
  <c r="N55" i="2"/>
  <c r="M55" i="2"/>
  <c r="K55" i="2"/>
  <c r="J55" i="2"/>
  <c r="AI54" i="2"/>
  <c r="N54" i="2"/>
  <c r="M54" i="2"/>
  <c r="K54" i="2"/>
  <c r="J54" i="2"/>
  <c r="AI53" i="2"/>
  <c r="N53" i="2"/>
  <c r="M53" i="2"/>
  <c r="K53" i="2"/>
  <c r="J53" i="2"/>
  <c r="N51" i="2"/>
  <c r="K51" i="2"/>
  <c r="N50" i="2"/>
  <c r="K50" i="2"/>
  <c r="AI48" i="2"/>
  <c r="N48" i="2"/>
  <c r="M48" i="2"/>
  <c r="K48" i="2"/>
  <c r="J48" i="2"/>
  <c r="AI47" i="2"/>
  <c r="N47" i="2"/>
  <c r="M47" i="2"/>
  <c r="K47" i="2"/>
  <c r="J47" i="2"/>
  <c r="AI46" i="2"/>
  <c r="N46" i="2"/>
  <c r="M46" i="2"/>
  <c r="K46" i="2"/>
  <c r="J46" i="2"/>
  <c r="AI45" i="2"/>
  <c r="N45" i="2"/>
  <c r="M45" i="2"/>
  <c r="K45" i="2"/>
  <c r="J45" i="2"/>
  <c r="AI44" i="2"/>
  <c r="N44" i="2"/>
  <c r="M44" i="2"/>
  <c r="K44" i="2"/>
  <c r="J44" i="2"/>
  <c r="AI42" i="2"/>
  <c r="N42" i="2"/>
  <c r="M42" i="2"/>
  <c r="K42" i="2"/>
  <c r="J42" i="2"/>
  <c r="AI41" i="2"/>
  <c r="N41" i="2"/>
  <c r="M41" i="2"/>
  <c r="K41" i="2"/>
  <c r="J41" i="2"/>
  <c r="AI40" i="2"/>
  <c r="N40" i="2"/>
  <c r="M40" i="2"/>
  <c r="K40" i="2"/>
  <c r="J40" i="2"/>
  <c r="AI38" i="2"/>
  <c r="N38" i="2"/>
  <c r="M38" i="2"/>
  <c r="K38" i="2"/>
  <c r="J38" i="2"/>
  <c r="AI37" i="2"/>
  <c r="N37" i="2"/>
  <c r="M37" i="2"/>
  <c r="K37" i="2"/>
  <c r="J37" i="2"/>
  <c r="AI36" i="2"/>
  <c r="N36" i="2"/>
  <c r="M36" i="2"/>
  <c r="K36" i="2"/>
  <c r="J36" i="2"/>
  <c r="AI35" i="2"/>
  <c r="N35" i="2"/>
  <c r="M35" i="2"/>
  <c r="K35" i="2"/>
  <c r="J35" i="2"/>
  <c r="AI33" i="2"/>
  <c r="N33" i="2"/>
  <c r="M33" i="2"/>
  <c r="K33" i="2"/>
  <c r="J33" i="2"/>
  <c r="AI32" i="2"/>
  <c r="N32" i="2"/>
  <c r="M32" i="2"/>
  <c r="K32" i="2"/>
  <c r="J32" i="2"/>
  <c r="AI31" i="2"/>
  <c r="N31" i="2"/>
  <c r="M31" i="2"/>
  <c r="K31" i="2"/>
  <c r="J31" i="2"/>
  <c r="AI30" i="2"/>
  <c r="N30" i="2"/>
  <c r="M30" i="2"/>
  <c r="K30" i="2"/>
  <c r="J30" i="2"/>
  <c r="AI28" i="2"/>
  <c r="N28" i="2"/>
  <c r="M28" i="2"/>
  <c r="K28" i="2"/>
  <c r="J28" i="2"/>
  <c r="AI27" i="2"/>
  <c r="N27" i="2"/>
  <c r="M27" i="2"/>
  <c r="K27" i="2"/>
  <c r="J27" i="2"/>
  <c r="AI26" i="2"/>
  <c r="N26" i="2"/>
  <c r="M26" i="2"/>
  <c r="K26" i="2"/>
  <c r="J26" i="2"/>
  <c r="AI25" i="2"/>
  <c r="N25" i="2"/>
  <c r="M25" i="2"/>
  <c r="K25" i="2"/>
  <c r="J25" i="2"/>
  <c r="AI24" i="2"/>
  <c r="N24" i="2"/>
  <c r="M24" i="2"/>
  <c r="K24" i="2"/>
  <c r="J24" i="2"/>
  <c r="AI23" i="2"/>
  <c r="N23" i="2"/>
  <c r="M23" i="2"/>
  <c r="K23" i="2"/>
  <c r="J23" i="2"/>
  <c r="AI22" i="2"/>
  <c r="N22" i="2"/>
  <c r="M22" i="2"/>
  <c r="K22" i="2"/>
  <c r="J22" i="2"/>
  <c r="AI20" i="2"/>
  <c r="N20" i="2"/>
  <c r="M20" i="2"/>
  <c r="K20" i="2"/>
  <c r="J20" i="2"/>
  <c r="AI19" i="2"/>
  <c r="N19" i="2"/>
  <c r="M19" i="2"/>
  <c r="K19" i="2"/>
  <c r="J19" i="2"/>
  <c r="AI18" i="2"/>
  <c r="N18" i="2"/>
  <c r="M18" i="2"/>
  <c r="K18" i="2"/>
  <c r="J18" i="2"/>
  <c r="AI17" i="2"/>
  <c r="N17" i="2"/>
  <c r="M17" i="2"/>
  <c r="K17" i="2"/>
  <c r="J17" i="2"/>
  <c r="N16" i="2"/>
  <c r="K16" i="2"/>
  <c r="AI14" i="2"/>
  <c r="N14" i="2"/>
  <c r="M14" i="2"/>
  <c r="K14" i="2"/>
  <c r="J14" i="2"/>
  <c r="AI13" i="2"/>
  <c r="N13" i="2"/>
  <c r="M13" i="2"/>
  <c r="K13" i="2"/>
  <c r="J13" i="2"/>
  <c r="AI11" i="2"/>
  <c r="N11" i="2"/>
  <c r="M11" i="2"/>
  <c r="L11" i="2"/>
  <c r="K11" i="2"/>
  <c r="J11" i="2"/>
  <c r="AI10" i="2"/>
  <c r="N10" i="2"/>
  <c r="M10" i="2"/>
  <c r="L10" i="2"/>
  <c r="K10" i="2"/>
  <c r="J10" i="2"/>
  <c r="AI9" i="2"/>
  <c r="N9" i="2"/>
  <c r="M9" i="2"/>
  <c r="L9" i="2"/>
  <c r="K9" i="2"/>
  <c r="J9" i="2"/>
  <c r="AI8" i="2"/>
  <c r="N8" i="2"/>
  <c r="M8" i="2"/>
  <c r="L8" i="2"/>
  <c r="K8" i="2"/>
  <c r="J8" i="2"/>
  <c r="AI7" i="2"/>
  <c r="N7" i="2"/>
  <c r="M7" i="2"/>
  <c r="L7" i="2"/>
  <c r="K7" i="2"/>
  <c r="J7" i="2"/>
  <c r="L6" i="2"/>
  <c r="K6" i="2"/>
  <c r="N6" i="2" s="1"/>
  <c r="I192" i="2"/>
  <c r="AB7" i="2"/>
  <c r="AB8" i="2"/>
  <c r="AE8" i="2" s="1"/>
  <c r="AH8" i="2" s="1"/>
  <c r="AB9" i="2"/>
  <c r="AE9" i="2" s="1"/>
  <c r="AH9" i="2" s="1"/>
  <c r="AB10" i="2"/>
  <c r="AE10" i="2" s="1"/>
  <c r="AH10" i="2" s="1"/>
  <c r="AB11" i="2"/>
  <c r="AE11" i="2" s="1"/>
  <c r="AH11" i="2" s="1"/>
  <c r="AB6" i="2"/>
  <c r="AE6" i="2" s="1"/>
  <c r="AH6" i="2" s="1"/>
  <c r="AE32" i="2" l="1"/>
  <c r="AH32" i="2" s="1"/>
  <c r="AH29" i="2" s="1"/>
  <c r="AH3" i="3"/>
  <c r="N5" i="2"/>
  <c r="L12" i="2"/>
  <c r="F49" i="8" s="1"/>
  <c r="O7" i="7"/>
  <c r="L73" i="2"/>
  <c r="F61" i="8" s="1"/>
  <c r="F65" i="8"/>
  <c r="F64" i="8" s="1"/>
  <c r="L91" i="2"/>
  <c r="L43" i="2"/>
  <c r="F55" i="8" s="1"/>
  <c r="L60" i="2"/>
  <c r="F59" i="8" s="1"/>
  <c r="L77" i="2"/>
  <c r="F62" i="8" s="1"/>
  <c r="AE92" i="2"/>
  <c r="M65" i="8" s="1"/>
  <c r="M64" i="8" s="1"/>
  <c r="L68" i="2"/>
  <c r="F60" i="8" s="1"/>
  <c r="AH92" i="2"/>
  <c r="AH91" i="2" s="1"/>
  <c r="I91" i="2" s="1"/>
  <c r="AE73" i="2"/>
  <c r="M61" i="8" s="1"/>
  <c r="L52" i="2"/>
  <c r="F57" i="8" s="1"/>
  <c r="L49" i="2"/>
  <c r="F56" i="8" s="1"/>
  <c r="AE49" i="2"/>
  <c r="M56" i="8" s="1"/>
  <c r="AE43" i="2"/>
  <c r="M55" i="8" s="1"/>
  <c r="AE39" i="2"/>
  <c r="M54" i="8" s="1"/>
  <c r="AE15" i="2"/>
  <c r="M50" i="8" s="1"/>
  <c r="AH13" i="2"/>
  <c r="AH12" i="2" s="1"/>
  <c r="AE12" i="2"/>
  <c r="M49" i="8" s="1"/>
  <c r="L39" i="2"/>
  <c r="F54" i="8" s="1"/>
  <c r="K160" i="2"/>
  <c r="AE60" i="2"/>
  <c r="M59" i="8" s="1"/>
  <c r="L15" i="2"/>
  <c r="F50" i="8" s="1"/>
  <c r="L56" i="2"/>
  <c r="F58" i="8" s="1"/>
  <c r="L85" i="2"/>
  <c r="F63" i="8" s="1"/>
  <c r="AE52" i="2"/>
  <c r="M57" i="8" s="1"/>
  <c r="AH53" i="2"/>
  <c r="AH52" i="2" s="1"/>
  <c r="AH60" i="2"/>
  <c r="AE34" i="2"/>
  <c r="M53" i="8" s="1"/>
  <c r="AH35" i="2"/>
  <c r="AH34" i="2" s="1"/>
  <c r="AE56" i="2"/>
  <c r="M58" i="8" s="1"/>
  <c r="AH57" i="2"/>
  <c r="AH56" i="2" s="1"/>
  <c r="AH78" i="2"/>
  <c r="AH77" i="2" s="1"/>
  <c r="L21" i="2"/>
  <c r="F51" i="8" s="1"/>
  <c r="AH44" i="2"/>
  <c r="AH43" i="2" s="1"/>
  <c r="AH16" i="2"/>
  <c r="AH15" i="2" s="1"/>
  <c r="AH22" i="2"/>
  <c r="AH21" i="2" s="1"/>
  <c r="AE21" i="2"/>
  <c r="M51" i="8" s="1"/>
  <c r="L5" i="2"/>
  <c r="F48" i="8" s="1"/>
  <c r="K5" i="2"/>
  <c r="AE7" i="2"/>
  <c r="AH7" i="2" s="1"/>
  <c r="AH5" i="2" s="1"/>
  <c r="AH86" i="2"/>
  <c r="AH85" i="2" s="1"/>
  <c r="AE85" i="2"/>
  <c r="M63" i="8" s="1"/>
  <c r="AH69" i="2"/>
  <c r="AH68" i="2" s="1"/>
  <c r="AE68" i="2"/>
  <c r="M60" i="8" s="1"/>
  <c r="AH73" i="2"/>
  <c r="AH50" i="2"/>
  <c r="AH49" i="2" s="1"/>
  <c r="AH40" i="2"/>
  <c r="AH39" i="2" s="1"/>
  <c r="AN210" i="1"/>
  <c r="AG209" i="1"/>
  <c r="AM194" i="1"/>
  <c r="AH188" i="1"/>
  <c r="AE168" i="1"/>
  <c r="AH168" i="1" s="1"/>
  <c r="AH163" i="1"/>
  <c r="AM157" i="1"/>
  <c r="AN150" i="1"/>
  <c r="AB165" i="1"/>
  <c r="L157" i="1"/>
  <c r="L152" i="1"/>
  <c r="L146" i="1"/>
  <c r="L144" i="1"/>
  <c r="AB211" i="1"/>
  <c r="AB210" i="1"/>
  <c r="AE210" i="1" s="1"/>
  <c r="AB208" i="1"/>
  <c r="AE208" i="1" s="1"/>
  <c r="AH208" i="1" s="1"/>
  <c r="AB207" i="1"/>
  <c r="AB205" i="1"/>
  <c r="AB204" i="1"/>
  <c r="AE204" i="1" s="1"/>
  <c r="AB202" i="1"/>
  <c r="AE202" i="1" s="1"/>
  <c r="AH202" i="1" s="1"/>
  <c r="AB201" i="1"/>
  <c r="AE201" i="1" s="1"/>
  <c r="AH201" i="1" s="1"/>
  <c r="AB200" i="1"/>
  <c r="AE200" i="1" s="1"/>
  <c r="AB198" i="1"/>
  <c r="AE198" i="1" s="1"/>
  <c r="AH198" i="1" s="1"/>
  <c r="AB197" i="1"/>
  <c r="AE197" i="1" s="1"/>
  <c r="AH197" i="1" s="1"/>
  <c r="AB196" i="1"/>
  <c r="AB194" i="1"/>
  <c r="AB193" i="1"/>
  <c r="AE193" i="1" s="1"/>
  <c r="AB191" i="1"/>
  <c r="AE191" i="1" s="1"/>
  <c r="AH191" i="1" s="1"/>
  <c r="AB190" i="1"/>
  <c r="AE190" i="1" s="1"/>
  <c r="AH190" i="1" s="1"/>
  <c r="AB189" i="1"/>
  <c r="AB188" i="1"/>
  <c r="AB187" i="1"/>
  <c r="AE187" i="1" s="1"/>
  <c r="AB185" i="1"/>
  <c r="AE185" i="1" s="1"/>
  <c r="AB183" i="1"/>
  <c r="AE183" i="1" s="1"/>
  <c r="AH183" i="1" s="1"/>
  <c r="AB182" i="1"/>
  <c r="AE182" i="1" s="1"/>
  <c r="AH182" i="1" s="1"/>
  <c r="AB181" i="1"/>
  <c r="AE181" i="1" s="1"/>
  <c r="AH181" i="1" s="1"/>
  <c r="AB180" i="1"/>
  <c r="AE180" i="1" s="1"/>
  <c r="AB178" i="1"/>
  <c r="AB177" i="1"/>
  <c r="AE177" i="1" s="1"/>
  <c r="AB176" i="1"/>
  <c r="AE176" i="1" s="1"/>
  <c r="AH176" i="1" s="1"/>
  <c r="AB174" i="1"/>
  <c r="AE174" i="1" s="1"/>
  <c r="AH174" i="1" s="1"/>
  <c r="AB173" i="1"/>
  <c r="AE173" i="1" s="1"/>
  <c r="AH173" i="1" s="1"/>
  <c r="AB170" i="1"/>
  <c r="AB169" i="1"/>
  <c r="AB168" i="1"/>
  <c r="AB167" i="1"/>
  <c r="AE167" i="1" s="1"/>
  <c r="AH167" i="1" s="1"/>
  <c r="AB164" i="1"/>
  <c r="AE164" i="1" s="1"/>
  <c r="AH164" i="1" s="1"/>
  <c r="AB163" i="1"/>
  <c r="AB162" i="1"/>
  <c r="AB161" i="1"/>
  <c r="AE161" i="1" s="1"/>
  <c r="AH161" i="1" s="1"/>
  <c r="AB159" i="1"/>
  <c r="AH159" i="1" s="1"/>
  <c r="AB158" i="1"/>
  <c r="AB157" i="1"/>
  <c r="AB156" i="1"/>
  <c r="AE156" i="1" s="1"/>
  <c r="AH156" i="1" s="1"/>
  <c r="AB155" i="1"/>
  <c r="AB154" i="1"/>
  <c r="AE154" i="1" s="1"/>
  <c r="AH154" i="1" s="1"/>
  <c r="AB152" i="1"/>
  <c r="AB151" i="1"/>
  <c r="AE151" i="1" s="1"/>
  <c r="AH151" i="1" s="1"/>
  <c r="AB150" i="1"/>
  <c r="AB149" i="1"/>
  <c r="AE149" i="1" s="1"/>
  <c r="AH149" i="1" s="1"/>
  <c r="AB147" i="1"/>
  <c r="AB146" i="1"/>
  <c r="AE146" i="1" s="1"/>
  <c r="AH146" i="1" s="1"/>
  <c r="AB145" i="1"/>
  <c r="AE145" i="1" s="1"/>
  <c r="AH145" i="1" s="1"/>
  <c r="AB144" i="1"/>
  <c r="AE144" i="1" s="1"/>
  <c r="AH144" i="1" s="1"/>
  <c r="AB142" i="1"/>
  <c r="AB141" i="1"/>
  <c r="AE141" i="1" s="1"/>
  <c r="AB139" i="1"/>
  <c r="W139" i="1" s="1"/>
  <c r="AK139" i="1" s="1"/>
  <c r="AB138" i="1"/>
  <c r="W138" i="1" s="1"/>
  <c r="AK138" i="1" s="1"/>
  <c r="AB137" i="1"/>
  <c r="W137" i="1" s="1"/>
  <c r="AK137" i="1" s="1"/>
  <c r="AB136" i="1"/>
  <c r="W136" i="1" s="1"/>
  <c r="AK136" i="1" s="1"/>
  <c r="AB135" i="1"/>
  <c r="W135" i="1" s="1"/>
  <c r="AK135" i="1" s="1"/>
  <c r="AB134" i="1"/>
  <c r="AB133" i="1"/>
  <c r="AB132" i="1"/>
  <c r="W132" i="1" s="1"/>
  <c r="L169" i="1"/>
  <c r="L168" i="1"/>
  <c r="L167" i="1"/>
  <c r="L165" i="1"/>
  <c r="L164" i="1"/>
  <c r="L162" i="1"/>
  <c r="L161" i="1"/>
  <c r="L159" i="1"/>
  <c r="L156" i="1"/>
  <c r="L151" i="1"/>
  <c r="L149" i="1"/>
  <c r="L147" i="1"/>
  <c r="L145" i="1"/>
  <c r="L142" i="1"/>
  <c r="L141" i="1"/>
  <c r="L135" i="1"/>
  <c r="L137" i="1"/>
  <c r="L134" i="1"/>
  <c r="L133" i="1"/>
  <c r="L132" i="1"/>
  <c r="L127" i="1"/>
  <c r="L124" i="1"/>
  <c r="L125" i="1"/>
  <c r="F25" i="8" s="1"/>
  <c r="AE125" i="1"/>
  <c r="M25" i="8" s="1"/>
  <c r="AB129" i="1"/>
  <c r="AB128" i="1"/>
  <c r="AB127" i="1"/>
  <c r="AE127" i="1" s="1"/>
  <c r="AH127" i="1" s="1"/>
  <c r="AH125" i="1" s="1"/>
  <c r="AB126" i="1"/>
  <c r="AN120" i="1"/>
  <c r="L118" i="1"/>
  <c r="L106" i="1"/>
  <c r="AB124" i="1"/>
  <c r="AE124" i="1" s="1"/>
  <c r="AH124" i="1" s="1"/>
  <c r="AB123" i="1"/>
  <c r="AE123" i="1" s="1"/>
  <c r="AH123" i="1" s="1"/>
  <c r="AB122" i="1"/>
  <c r="AE122" i="1" s="1"/>
  <c r="AH122" i="1" s="1"/>
  <c r="AB121" i="1"/>
  <c r="AE121" i="1" s="1"/>
  <c r="AH121" i="1" s="1"/>
  <c r="AB120" i="1"/>
  <c r="AE120" i="1" s="1"/>
  <c r="AH120" i="1" s="1"/>
  <c r="AB119" i="1"/>
  <c r="AE119" i="1" s="1"/>
  <c r="AH119" i="1" s="1"/>
  <c r="AB118" i="1"/>
  <c r="AE118" i="1" s="1"/>
  <c r="AH118" i="1" s="1"/>
  <c r="AB117" i="1"/>
  <c r="AE117" i="1" s="1"/>
  <c r="AH117" i="1" s="1"/>
  <c r="AB116" i="1"/>
  <c r="AB115" i="1"/>
  <c r="AB114" i="1"/>
  <c r="AE114" i="1" s="1"/>
  <c r="AH114" i="1" s="1"/>
  <c r="AB113" i="1"/>
  <c r="AB112" i="1"/>
  <c r="AE112" i="1" s="1"/>
  <c r="AH112" i="1" s="1"/>
  <c r="AB111" i="1"/>
  <c r="AE111" i="1" s="1"/>
  <c r="AK111" i="1" s="1"/>
  <c r="AB110" i="1"/>
  <c r="AB109" i="1"/>
  <c r="AE109" i="1" s="1"/>
  <c r="AH109" i="1" s="1"/>
  <c r="AB108" i="1"/>
  <c r="AE108" i="1" s="1"/>
  <c r="AH108" i="1" s="1"/>
  <c r="AB107" i="1"/>
  <c r="AE107" i="1" s="1"/>
  <c r="AH107" i="1" s="1"/>
  <c r="AB106" i="1"/>
  <c r="AB104" i="1"/>
  <c r="AB103" i="1"/>
  <c r="AE103" i="1" s="1"/>
  <c r="L123" i="1"/>
  <c r="L122" i="1"/>
  <c r="L121" i="1"/>
  <c r="L120" i="1"/>
  <c r="L119" i="1"/>
  <c r="L116" i="1"/>
  <c r="L115" i="1"/>
  <c r="L114" i="1"/>
  <c r="L113" i="1"/>
  <c r="L112" i="1"/>
  <c r="L111" i="1"/>
  <c r="L110" i="1"/>
  <c r="L109" i="1"/>
  <c r="L108" i="1"/>
  <c r="L107" i="1"/>
  <c r="L101" i="1"/>
  <c r="L103" i="1"/>
  <c r="L102" i="1" s="1"/>
  <c r="F23" i="8" s="1"/>
  <c r="L209" i="1"/>
  <c r="F45" i="8" s="1"/>
  <c r="L206" i="1"/>
  <c r="F44" i="8" s="1"/>
  <c r="L203" i="1"/>
  <c r="F43" i="8" s="1"/>
  <c r="L199" i="1"/>
  <c r="F42" i="8" s="1"/>
  <c r="L195" i="1"/>
  <c r="F41" i="8" s="1"/>
  <c r="L192" i="1"/>
  <c r="F40" i="8" s="1"/>
  <c r="L184" i="1"/>
  <c r="F38" i="8" s="1"/>
  <c r="L175" i="1"/>
  <c r="F36" i="8" s="1"/>
  <c r="L172" i="1"/>
  <c r="AB101" i="1"/>
  <c r="AB100" i="1"/>
  <c r="AE100" i="1" s="1"/>
  <c r="L100" i="1"/>
  <c r="AH96" i="1"/>
  <c r="AB95" i="1"/>
  <c r="AE95" i="1" s="1"/>
  <c r="AB98" i="1"/>
  <c r="AE98" i="1" s="1"/>
  <c r="AH98" i="1" s="1"/>
  <c r="AB97" i="1"/>
  <c r="AE97" i="1" s="1"/>
  <c r="AH97" i="1" s="1"/>
  <c r="AB96" i="1"/>
  <c r="AB94" i="1"/>
  <c r="AB93" i="1"/>
  <c r="AE93" i="1" s="1"/>
  <c r="AK93" i="1" s="1"/>
  <c r="L95" i="1"/>
  <c r="L98" i="1"/>
  <c r="L97" i="1"/>
  <c r="L96" i="1"/>
  <c r="L94" i="1"/>
  <c r="L93" i="1"/>
  <c r="AB89" i="1"/>
  <c r="AB90" i="1"/>
  <c r="AE90" i="1" s="1"/>
  <c r="AH90" i="1" s="1"/>
  <c r="AB88" i="1"/>
  <c r="L90" i="1"/>
  <c r="L89" i="1"/>
  <c r="AB86" i="1"/>
  <c r="AB85" i="1"/>
  <c r="AB84" i="1"/>
  <c r="AH84" i="1" s="1"/>
  <c r="AB83" i="1"/>
  <c r="AB82" i="1"/>
  <c r="AB81" i="1"/>
  <c r="AB80" i="1"/>
  <c r="AB79" i="1"/>
  <c r="AB78" i="1"/>
  <c r="AH78" i="1" s="1"/>
  <c r="L86" i="1"/>
  <c r="L85" i="1"/>
  <c r="L84" i="1"/>
  <c r="L83" i="1"/>
  <c r="L82" i="1"/>
  <c r="L80" i="1"/>
  <c r="L79" i="1"/>
  <c r="L78" i="1"/>
  <c r="AE73" i="1"/>
  <c r="AH73" i="1" s="1"/>
  <c r="AE59" i="1"/>
  <c r="AH59" i="1" s="1"/>
  <c r="AB73" i="1"/>
  <c r="AB76" i="1"/>
  <c r="AH76" i="1" s="1"/>
  <c r="AB75" i="1"/>
  <c r="AB74" i="1"/>
  <c r="AB72" i="1"/>
  <c r="AB71" i="1"/>
  <c r="AB70" i="1"/>
  <c r="AE70" i="1" s="1"/>
  <c r="AH70" i="1" s="1"/>
  <c r="AB69" i="1"/>
  <c r="AB68" i="1"/>
  <c r="AB67" i="1"/>
  <c r="AE67" i="1" s="1"/>
  <c r="AH67" i="1" s="1"/>
  <c r="AB66" i="1"/>
  <c r="AB65" i="1"/>
  <c r="AB64" i="1"/>
  <c r="AB63" i="1"/>
  <c r="AB62" i="1"/>
  <c r="AE62" i="1" s="1"/>
  <c r="AH62" i="1" s="1"/>
  <c r="AB61" i="1"/>
  <c r="AB60" i="1"/>
  <c r="AE60" i="1" s="1"/>
  <c r="AH60" i="1" s="1"/>
  <c r="AB59" i="1"/>
  <c r="AB58" i="1"/>
  <c r="W58" i="1" s="1"/>
  <c r="AK58" i="1" s="1"/>
  <c r="L66" i="1"/>
  <c r="L76" i="1"/>
  <c r="L74" i="1"/>
  <c r="L73" i="1"/>
  <c r="L72" i="1"/>
  <c r="L70" i="1"/>
  <c r="L69" i="1"/>
  <c r="L68" i="1"/>
  <c r="L67" i="1"/>
  <c r="L62" i="1"/>
  <c r="L61" i="1"/>
  <c r="L60" i="1"/>
  <c r="L59" i="1"/>
  <c r="AB56" i="1"/>
  <c r="AE56" i="1" s="1"/>
  <c r="AH56" i="1" s="1"/>
  <c r="AB55" i="1"/>
  <c r="AE55" i="1" s="1"/>
  <c r="AH55" i="1" s="1"/>
  <c r="AB54" i="1"/>
  <c r="AB53" i="1"/>
  <c r="L53" i="1"/>
  <c r="L56" i="1"/>
  <c r="L55" i="1"/>
  <c r="L54" i="1"/>
  <c r="AB51" i="1"/>
  <c r="AH51" i="1" s="1"/>
  <c r="AB50" i="1"/>
  <c r="AB49" i="1"/>
  <c r="AB48" i="1"/>
  <c r="AB47" i="1"/>
  <c r="AB46" i="1"/>
  <c r="AE46" i="1" s="1"/>
  <c r="AB45" i="1"/>
  <c r="AE45" i="1" s="1"/>
  <c r="AH45" i="1" s="1"/>
  <c r="L51" i="1"/>
  <c r="L49" i="1"/>
  <c r="L47" i="1"/>
  <c r="AN43" i="1"/>
  <c r="AB43" i="1"/>
  <c r="AB42" i="1"/>
  <c r="AB41" i="1"/>
  <c r="AE41" i="1" s="1"/>
  <c r="AH41" i="1" s="1"/>
  <c r="AB40" i="1"/>
  <c r="L40" i="1"/>
  <c r="L42" i="1"/>
  <c r="L41" i="1"/>
  <c r="AB38" i="1"/>
  <c r="AB37" i="1"/>
  <c r="V21" i="1"/>
  <c r="W21" i="1" s="1"/>
  <c r="AK21" i="1" s="1"/>
  <c r="V27" i="1"/>
  <c r="V33" i="1"/>
  <c r="L38" i="1"/>
  <c r="L37" i="1"/>
  <c r="L36" i="1" s="1"/>
  <c r="F13" i="8" s="1"/>
  <c r="AB34" i="1"/>
  <c r="AH34" i="1"/>
  <c r="AB35" i="1"/>
  <c r="AE35" i="1" s="1"/>
  <c r="AH35" i="1" s="1"/>
  <c r="AB33" i="1"/>
  <c r="L35" i="1"/>
  <c r="L33" i="1"/>
  <c r="AB27" i="1"/>
  <c r="AE27" i="1" s="1"/>
  <c r="AB30" i="1"/>
  <c r="AE30" i="1" s="1"/>
  <c r="AH30" i="1" s="1"/>
  <c r="AB29" i="1"/>
  <c r="AE29" i="1" s="1"/>
  <c r="AH29" i="1" s="1"/>
  <c r="AB28" i="1"/>
  <c r="AE28" i="1" s="1"/>
  <c r="AH28" i="1" s="1"/>
  <c r="L30" i="1"/>
  <c r="L28" i="1"/>
  <c r="L27" i="1"/>
  <c r="AN25" i="1"/>
  <c r="AE24" i="1"/>
  <c r="AB25" i="1"/>
  <c r="AB24" i="1"/>
  <c r="L24" i="1"/>
  <c r="L23" i="1" s="1"/>
  <c r="F9" i="8" s="1"/>
  <c r="AN22" i="1"/>
  <c r="AN20" i="1"/>
  <c r="AI17" i="1"/>
  <c r="AH20" i="1"/>
  <c r="L17" i="1"/>
  <c r="AB17" i="1"/>
  <c r="AB22" i="1"/>
  <c r="AB21" i="1"/>
  <c r="AE21" i="1" s="1"/>
  <c r="AH21" i="1" s="1"/>
  <c r="AB20" i="1"/>
  <c r="AB19" i="1"/>
  <c r="AE19" i="1" s="1"/>
  <c r="AH19" i="1" s="1"/>
  <c r="AB18" i="1"/>
  <c r="AE18" i="1" s="1"/>
  <c r="AH18" i="1" s="1"/>
  <c r="L18" i="1"/>
  <c r="L19" i="1"/>
  <c r="L21" i="1"/>
  <c r="AB13" i="1"/>
  <c r="AE13" i="1" s="1"/>
  <c r="AH13" i="1" s="1"/>
  <c r="L13" i="1"/>
  <c r="L12" i="1" s="1"/>
  <c r="F7" i="8" s="1"/>
  <c r="AN15" i="1"/>
  <c r="AB15" i="1"/>
  <c r="AB14" i="1"/>
  <c r="AH83" i="1" l="1"/>
  <c r="AE47" i="1"/>
  <c r="AH47" i="1" s="1"/>
  <c r="AE29" i="2"/>
  <c r="M52" i="8" s="1"/>
  <c r="W33" i="1"/>
  <c r="AK33" i="1" s="1"/>
  <c r="L16" i="1"/>
  <c r="F8" i="8" s="1"/>
  <c r="L99" i="1"/>
  <c r="F22" i="8" s="1"/>
  <c r="L143" i="1"/>
  <c r="F29" i="8" s="1"/>
  <c r="AE199" i="1"/>
  <c r="M42" i="8" s="1"/>
  <c r="L32" i="1"/>
  <c r="F12" i="8" s="1"/>
  <c r="L148" i="1"/>
  <c r="F30" i="8" s="1"/>
  <c r="AN21" i="1"/>
  <c r="AN139" i="1"/>
  <c r="L140" i="1"/>
  <c r="F28" i="8" s="1"/>
  <c r="AE14" i="1"/>
  <c r="AH14" i="1" s="1"/>
  <c r="AN58" i="1"/>
  <c r="F35" i="8"/>
  <c r="AH46" i="1"/>
  <c r="AE80" i="1"/>
  <c r="AH80" i="1" s="1"/>
  <c r="AE33" i="1"/>
  <c r="AH33" i="1" s="1"/>
  <c r="AH32" i="1" s="1"/>
  <c r="L44" i="1"/>
  <c r="F15" i="8" s="1"/>
  <c r="AE61" i="1"/>
  <c r="AH61" i="1" s="1"/>
  <c r="L87" i="1"/>
  <c r="F19" i="8" s="1"/>
  <c r="AH82" i="1"/>
  <c r="AE116" i="1"/>
  <c r="AH116" i="1" s="1"/>
  <c r="AN138" i="1"/>
  <c r="AE142" i="1"/>
  <c r="AH142" i="1" s="1"/>
  <c r="AE170" i="1"/>
  <c r="AH170" i="1" s="1"/>
  <c r="AH152" i="1"/>
  <c r="AE150" i="1"/>
  <c r="AN137" i="1"/>
  <c r="AN136" i="1"/>
  <c r="AN135" i="1"/>
  <c r="AE135" i="1"/>
  <c r="AH135" i="1" s="1"/>
  <c r="W134" i="1"/>
  <c r="AE38" i="1"/>
  <c r="AH38" i="1" s="1"/>
  <c r="AE115" i="1"/>
  <c r="AH115" i="1" s="1"/>
  <c r="AE106" i="1"/>
  <c r="AH106" i="1" s="1"/>
  <c r="AE101" i="1"/>
  <c r="AH101" i="1" s="1"/>
  <c r="AK95" i="1"/>
  <c r="AE94" i="1"/>
  <c r="AH94" i="1" s="1"/>
  <c r="F47" i="8"/>
  <c r="AE91" i="2"/>
  <c r="AE211" i="1"/>
  <c r="AH210" i="1"/>
  <c r="L153" i="1"/>
  <c r="F31" i="8" s="1"/>
  <c r="AN79" i="1"/>
  <c r="AE85" i="1"/>
  <c r="AH85" i="1" s="1"/>
  <c r="AE86" i="1"/>
  <c r="AH86" i="1" s="1"/>
  <c r="AE79" i="1"/>
  <c r="AH79" i="1" s="1"/>
  <c r="L77" i="1"/>
  <c r="F18" i="8" s="1"/>
  <c r="AH74" i="1"/>
  <c r="AE72" i="1"/>
  <c r="AH72" i="1" s="1"/>
  <c r="AE69" i="1"/>
  <c r="AH69" i="1" s="1"/>
  <c r="AE68" i="1"/>
  <c r="AH68" i="1" s="1"/>
  <c r="AE66" i="1"/>
  <c r="AH66" i="1" s="1"/>
  <c r="L57" i="1"/>
  <c r="F17" i="8" s="1"/>
  <c r="AE54" i="1"/>
  <c r="AH54" i="1" s="1"/>
  <c r="L52" i="1"/>
  <c r="F16" i="8" s="1"/>
  <c r="AE49" i="1"/>
  <c r="AH49" i="1" s="1"/>
  <c r="AH42" i="1"/>
  <c r="AE40" i="1"/>
  <c r="L39" i="1"/>
  <c r="F14" i="8" s="1"/>
  <c r="AE15" i="1"/>
  <c r="L4" i="2"/>
  <c r="L3" i="2" s="1"/>
  <c r="F46" i="8" s="1"/>
  <c r="F5" i="7" s="1"/>
  <c r="AE5" i="2"/>
  <c r="AE43" i="1"/>
  <c r="AH43" i="1" s="1"/>
  <c r="AH25" i="1"/>
  <c r="AH24" i="1"/>
  <c r="AE22" i="1"/>
  <c r="AH22" i="1" s="1"/>
  <c r="AE17" i="1"/>
  <c r="W114" i="1"/>
  <c r="AK114" i="1" s="1"/>
  <c r="AE113" i="1"/>
  <c r="AH113" i="1" s="1"/>
  <c r="AE110" i="1"/>
  <c r="AH110" i="1" s="1"/>
  <c r="L105" i="1"/>
  <c r="F24" i="8" s="1"/>
  <c r="AH103" i="1"/>
  <c r="AH102" i="1" s="1"/>
  <c r="AE102" i="1"/>
  <c r="M23" i="8" s="1"/>
  <c r="AH100" i="1"/>
  <c r="AH99" i="1" s="1"/>
  <c r="AE99" i="1"/>
  <c r="M22" i="8" s="1"/>
  <c r="AH93" i="1"/>
  <c r="AH95" i="1"/>
  <c r="L92" i="1"/>
  <c r="F21" i="8" s="1"/>
  <c r="AE207" i="1"/>
  <c r="AE205" i="1"/>
  <c r="AH205" i="1" s="1"/>
  <c r="AE203" i="1"/>
  <c r="M43" i="8" s="1"/>
  <c r="AH204" i="1"/>
  <c r="AH203" i="1" s="1"/>
  <c r="AH200" i="1"/>
  <c r="AH199" i="1" s="1"/>
  <c r="AH196" i="1"/>
  <c r="AH195" i="1" s="1"/>
  <c r="AE195" i="1"/>
  <c r="M41" i="8" s="1"/>
  <c r="AE194" i="1"/>
  <c r="AH193" i="1"/>
  <c r="AE189" i="1"/>
  <c r="AH189" i="1" s="1"/>
  <c r="AH187" i="1"/>
  <c r="AE186" i="1"/>
  <c r="M39" i="8" s="1"/>
  <c r="AE184" i="1"/>
  <c r="M38" i="8" s="1"/>
  <c r="AH185" i="1"/>
  <c r="AH184" i="1" s="1"/>
  <c r="AE179" i="1"/>
  <c r="M37" i="8" s="1"/>
  <c r="AH180" i="1"/>
  <c r="AH179" i="1" s="1"/>
  <c r="AE175" i="1"/>
  <c r="M36" i="8" s="1"/>
  <c r="AH177" i="1"/>
  <c r="AH175" i="1" s="1"/>
  <c r="AH172" i="1"/>
  <c r="AE172" i="1"/>
  <c r="M35" i="8" s="1"/>
  <c r="AE169" i="1"/>
  <c r="L166" i="1"/>
  <c r="F33" i="8" s="1"/>
  <c r="AE162" i="1"/>
  <c r="AH162" i="1" s="1"/>
  <c r="AE165" i="1"/>
  <c r="AH165" i="1" s="1"/>
  <c r="L160" i="1"/>
  <c r="F32" i="8" s="1"/>
  <c r="AE157" i="1"/>
  <c r="AH157" i="1" s="1"/>
  <c r="AE147" i="1"/>
  <c r="AH147" i="1" s="1"/>
  <c r="AH143" i="1" s="1"/>
  <c r="AE140" i="1"/>
  <c r="M28" i="8" s="1"/>
  <c r="AH141" i="1"/>
  <c r="AH140" i="1" s="1"/>
  <c r="AE37" i="1"/>
  <c r="AE137" i="1"/>
  <c r="AH137" i="1" s="1"/>
  <c r="AH134" i="1"/>
  <c r="W133" i="1"/>
  <c r="AH132" i="1"/>
  <c r="L131" i="1"/>
  <c r="F27" i="8" s="1"/>
  <c r="AE26" i="1"/>
  <c r="M10" i="8" s="1"/>
  <c r="W27" i="1"/>
  <c r="AK27" i="1" s="1"/>
  <c r="L26" i="1"/>
  <c r="F10" i="8" s="1"/>
  <c r="AH27" i="1"/>
  <c r="AH26" i="1" s="1"/>
  <c r="L179" i="1"/>
  <c r="F37" i="8" s="1"/>
  <c r="L186" i="1"/>
  <c r="F39" i="8" s="1"/>
  <c r="AH4" i="2"/>
  <c r="I4" i="2" s="1"/>
  <c r="AB8" i="1"/>
  <c r="AE8" i="1" s="1"/>
  <c r="AH8" i="1" s="1"/>
  <c r="AB9" i="1"/>
  <c r="AB10" i="1"/>
  <c r="AB11" i="1"/>
  <c r="L7" i="1"/>
  <c r="L8" i="1"/>
  <c r="F20" i="8" l="1"/>
  <c r="AH160" i="1"/>
  <c r="AN33" i="1"/>
  <c r="AH211" i="1"/>
  <c r="AH209" i="1" s="1"/>
  <c r="AE209" i="1"/>
  <c r="M45" i="8" s="1"/>
  <c r="AH150" i="1"/>
  <c r="AH148" i="1" s="1"/>
  <c r="AE148" i="1"/>
  <c r="M30" i="8" s="1"/>
  <c r="AE32" i="1"/>
  <c r="M12" i="8" s="1"/>
  <c r="AH15" i="1"/>
  <c r="AH12" i="1" s="1"/>
  <c r="AE12" i="1"/>
  <c r="M7" i="8" s="1"/>
  <c r="AH194" i="1"/>
  <c r="AH192" i="1" s="1"/>
  <c r="AE192" i="1"/>
  <c r="M40" i="8" s="1"/>
  <c r="F11" i="8"/>
  <c r="AN27" i="1"/>
  <c r="F26" i="8"/>
  <c r="AH186" i="1"/>
  <c r="AE57" i="1"/>
  <c r="AE131" i="1"/>
  <c r="M27" i="8" s="1"/>
  <c r="AE77" i="1"/>
  <c r="F34" i="8"/>
  <c r="AE52" i="1"/>
  <c r="M16" i="8" s="1"/>
  <c r="AH77" i="1"/>
  <c r="L171" i="1"/>
  <c r="AE16" i="1"/>
  <c r="M8" i="8" s="1"/>
  <c r="AN164" i="1"/>
  <c r="AE160" i="1"/>
  <c r="M32" i="8" s="1"/>
  <c r="AE143" i="1"/>
  <c r="M29" i="8" s="1"/>
  <c r="AN134" i="1"/>
  <c r="AH133" i="1"/>
  <c r="AH131" i="1" s="1"/>
  <c r="AN133" i="1"/>
  <c r="AN132" i="1"/>
  <c r="AN114" i="1"/>
  <c r="AH111" i="1"/>
  <c r="AH105" i="1" s="1"/>
  <c r="AN111" i="1"/>
  <c r="AN95" i="1"/>
  <c r="AE92" i="1"/>
  <c r="M21" i="8" s="1"/>
  <c r="AN93" i="1"/>
  <c r="AH17" i="1"/>
  <c r="AH16" i="1" s="1"/>
  <c r="AE4" i="2"/>
  <c r="M48" i="8"/>
  <c r="M47" i="8" s="1"/>
  <c r="L130" i="1"/>
  <c r="AH155" i="1"/>
  <c r="AH153" i="1" s="1"/>
  <c r="AE153" i="1"/>
  <c r="M31" i="8" s="1"/>
  <c r="AH89" i="1"/>
  <c r="AH87" i="1" s="1"/>
  <c r="AE87" i="1"/>
  <c r="M19" i="8" s="1"/>
  <c r="AH57" i="1"/>
  <c r="L31" i="1"/>
  <c r="AH53" i="1"/>
  <c r="AH52" i="1" s="1"/>
  <c r="AE44" i="1"/>
  <c r="AH44" i="1"/>
  <c r="AH40" i="1"/>
  <c r="AH39" i="1" s="1"/>
  <c r="AE39" i="1"/>
  <c r="L5" i="1"/>
  <c r="AE23" i="1"/>
  <c r="M9" i="8" s="1"/>
  <c r="AH23" i="1"/>
  <c r="AE105" i="1"/>
  <c r="M24" i="8" s="1"/>
  <c r="L91" i="1"/>
  <c r="AH92" i="1"/>
  <c r="AH207" i="1"/>
  <c r="AH206" i="1" s="1"/>
  <c r="AE206" i="1"/>
  <c r="M44" i="8" s="1"/>
  <c r="AH169" i="1"/>
  <c r="AH166" i="1" s="1"/>
  <c r="AE166" i="1"/>
  <c r="M33" i="8" s="1"/>
  <c r="AH37" i="1"/>
  <c r="AH36" i="1" s="1"/>
  <c r="AE36" i="1"/>
  <c r="M13" i="8" s="1"/>
  <c r="AK131" i="1"/>
  <c r="AE5" i="1"/>
  <c r="AH7" i="1"/>
  <c r="K7" i="1"/>
  <c r="N9" i="1"/>
  <c r="L4" i="1" l="1"/>
  <c r="L3" i="1" s="1"/>
  <c r="F4" i="8" s="1"/>
  <c r="F6" i="8"/>
  <c r="F5" i="8" s="1"/>
  <c r="AE171" i="1"/>
  <c r="M34" i="8"/>
  <c r="M11" i="8"/>
  <c r="AH171" i="1"/>
  <c r="I171" i="1" s="1"/>
  <c r="M26" i="8"/>
  <c r="AN131" i="1"/>
  <c r="P27" i="8"/>
  <c r="AH31" i="1"/>
  <c r="I31" i="1" s="1"/>
  <c r="AH91" i="1"/>
  <c r="I91" i="1" s="1"/>
  <c r="M20" i="8"/>
  <c r="AE91" i="1"/>
  <c r="AE130" i="1"/>
  <c r="AH5" i="1"/>
  <c r="AH4" i="1" s="1"/>
  <c r="I4" i="1" s="1"/>
  <c r="AE31" i="1"/>
  <c r="AE4" i="1"/>
  <c r="M5" i="8"/>
  <c r="AH130" i="1"/>
  <c r="I130" i="1" s="1"/>
  <c r="AI137" i="4"/>
  <c r="V51" i="4"/>
  <c r="W51" i="4" s="1"/>
  <c r="S27" i="8" l="1"/>
  <c r="AH3" i="1"/>
  <c r="F3" i="8"/>
  <c r="F3" i="7" s="1"/>
  <c r="F4" i="7"/>
  <c r="H4" i="8"/>
  <c r="AE3" i="1"/>
  <c r="M4" i="8" s="1"/>
  <c r="V41" i="2"/>
  <c r="W41" i="2" s="1"/>
  <c r="AK41" i="2" s="1"/>
  <c r="V38" i="2"/>
  <c r="W38" i="2" s="1"/>
  <c r="AK38" i="2" s="1"/>
  <c r="O4" i="7" l="1"/>
  <c r="AN38" i="2"/>
  <c r="K29" i="20"/>
  <c r="AK39" i="2"/>
  <c r="P54" i="8" s="1"/>
  <c r="AN41" i="2"/>
  <c r="AN39" i="2" s="1"/>
  <c r="S54" i="8" s="1"/>
  <c r="V44" i="3"/>
  <c r="W44" i="3" s="1"/>
  <c r="AK44" i="3" s="1"/>
  <c r="L29" i="20" l="1"/>
  <c r="F23" i="20" s="1"/>
  <c r="H32" i="20"/>
  <c r="H37" i="20" s="1"/>
  <c r="AN44" i="3"/>
  <c r="AN43" i="3" s="1"/>
  <c r="S104" i="8" s="1"/>
  <c r="AK43" i="3"/>
  <c r="P104" i="8" s="1"/>
  <c r="U94" i="1"/>
  <c r="V133" i="1" l="1"/>
  <c r="AD132" i="1"/>
  <c r="AD133" i="1"/>
  <c r="U202" i="2"/>
  <c r="V202" i="2" s="1"/>
  <c r="W202" i="2" s="1"/>
  <c r="AK202" i="2" s="1"/>
  <c r="AN202" i="2" l="1"/>
  <c r="V134" i="4"/>
  <c r="W134" i="4" s="1"/>
  <c r="AK134" i="4" s="1"/>
  <c r="AN134" i="4" l="1"/>
  <c r="AD134" i="4"/>
  <c r="U142" i="4"/>
  <c r="U141" i="4"/>
  <c r="V100" i="2" l="1"/>
  <c r="W100" i="2" s="1"/>
  <c r="AK100" i="2" s="1"/>
  <c r="AN100" i="2" l="1"/>
  <c r="V70" i="2"/>
  <c r="W70" i="2" s="1"/>
  <c r="AK70" i="2" s="1"/>
  <c r="V72" i="2"/>
  <c r="W72" i="2" s="1"/>
  <c r="AK72" i="2" s="1"/>
  <c r="V20" i="2"/>
  <c r="W20" i="2" s="1"/>
  <c r="AK20" i="2" s="1"/>
  <c r="V18" i="2"/>
  <c r="W18" i="2" s="1"/>
  <c r="AK18" i="2" s="1"/>
  <c r="AD17" i="2"/>
  <c r="AN18" i="2" l="1"/>
  <c r="AN20" i="2"/>
  <c r="AN72" i="2"/>
  <c r="AN70" i="2"/>
  <c r="U53" i="5"/>
  <c r="U52" i="5"/>
  <c r="U51" i="5"/>
  <c r="U50" i="5"/>
  <c r="V63" i="5" l="1"/>
  <c r="W63" i="5" s="1"/>
  <c r="AK63" i="5" s="1"/>
  <c r="AN63" i="5" l="1"/>
  <c r="V83" i="5"/>
  <c r="AD83" i="5" l="1"/>
  <c r="W83" i="5"/>
  <c r="U121" i="1"/>
  <c r="U132" i="2" l="1"/>
  <c r="AG120" i="3" l="1"/>
  <c r="U205" i="2"/>
  <c r="AD134" i="1"/>
  <c r="V22" i="2" l="1"/>
  <c r="W22" i="2" s="1"/>
  <c r="V19" i="2"/>
  <c r="W19" i="2" s="1"/>
  <c r="AK19" i="2" s="1"/>
  <c r="V17" i="2"/>
  <c r="W17" i="2" s="1"/>
  <c r="V16" i="2"/>
  <c r="W16" i="2" s="1"/>
  <c r="AK16" i="2" s="1"/>
  <c r="V6" i="1"/>
  <c r="W6" i="1" s="1"/>
  <c r="AK6" i="1" s="1"/>
  <c r="V56" i="1"/>
  <c r="W56" i="1" s="1"/>
  <c r="AK56" i="1" s="1"/>
  <c r="AN56" i="1" l="1"/>
  <c r="AN6" i="1"/>
  <c r="AN19" i="2"/>
  <c r="AN22" i="2"/>
  <c r="AK15" i="2"/>
  <c r="P50" i="8" s="1"/>
  <c r="AN16" i="2"/>
  <c r="V52" i="6"/>
  <c r="W52" i="6" s="1"/>
  <c r="AK52" i="6" s="1"/>
  <c r="V51" i="6"/>
  <c r="W51" i="6" s="1"/>
  <c r="AK51" i="6" s="1"/>
  <c r="V50" i="6"/>
  <c r="W50" i="6" s="1"/>
  <c r="AK50" i="6" s="1"/>
  <c r="V49" i="6"/>
  <c r="W49" i="6" s="1"/>
  <c r="AK49" i="6" s="1"/>
  <c r="V48" i="6"/>
  <c r="W48" i="6" s="1"/>
  <c r="AK48" i="6" s="1"/>
  <c r="V46" i="6"/>
  <c r="W46" i="6" s="1"/>
  <c r="AK46" i="6" s="1"/>
  <c r="V45" i="6"/>
  <c r="W45" i="6" s="1"/>
  <c r="AN45" i="6" s="1"/>
  <c r="V44" i="6"/>
  <c r="W44" i="6" s="1"/>
  <c r="AK44" i="6" s="1"/>
  <c r="V43" i="6"/>
  <c r="W43" i="6" s="1"/>
  <c r="AK43" i="6" s="1"/>
  <c r="V42" i="6"/>
  <c r="W42" i="6" s="1"/>
  <c r="AK42" i="6" s="1"/>
  <c r="V41" i="6"/>
  <c r="W41" i="6" s="1"/>
  <c r="AK41" i="6" s="1"/>
  <c r="V38" i="6"/>
  <c r="W38" i="6" s="1"/>
  <c r="AK38" i="6" s="1"/>
  <c r="V37" i="6"/>
  <c r="W37" i="6" s="1"/>
  <c r="AK37" i="6" s="1"/>
  <c r="V36" i="6"/>
  <c r="W36" i="6" s="1"/>
  <c r="AK36" i="6" s="1"/>
  <c r="V35" i="6"/>
  <c r="W35" i="6" s="1"/>
  <c r="AK35" i="6" s="1"/>
  <c r="V34" i="6"/>
  <c r="W34" i="6" s="1"/>
  <c r="AK34" i="6" s="1"/>
  <c r="V33" i="6"/>
  <c r="W33" i="6" s="1"/>
  <c r="AK33" i="6" s="1"/>
  <c r="V32" i="6"/>
  <c r="W32" i="6" s="1"/>
  <c r="AK32" i="6" s="1"/>
  <c r="V29" i="6"/>
  <c r="W29" i="6" s="1"/>
  <c r="AK29" i="6" s="1"/>
  <c r="V28" i="6"/>
  <c r="W28" i="6" s="1"/>
  <c r="AK28" i="6" s="1"/>
  <c r="V27" i="6"/>
  <c r="W27" i="6" s="1"/>
  <c r="AK27" i="6" s="1"/>
  <c r="V26" i="6"/>
  <c r="W26" i="6" s="1"/>
  <c r="AK26" i="6" s="1"/>
  <c r="V25" i="6"/>
  <c r="W25" i="6" s="1"/>
  <c r="AK25" i="6" s="1"/>
  <c r="V24" i="6"/>
  <c r="W24" i="6" s="1"/>
  <c r="AK24" i="6" s="1"/>
  <c r="V23" i="6"/>
  <c r="W23" i="6" s="1"/>
  <c r="AK23" i="6" s="1"/>
  <c r="V21" i="6"/>
  <c r="W21" i="6" s="1"/>
  <c r="AK21" i="6" s="1"/>
  <c r="V20" i="6"/>
  <c r="W20" i="6" s="1"/>
  <c r="AK20" i="6" s="1"/>
  <c r="W19" i="6"/>
  <c r="AK19" i="6" s="1"/>
  <c r="V18" i="6"/>
  <c r="W18" i="6" s="1"/>
  <c r="AK18" i="6" s="1"/>
  <c r="V17" i="6"/>
  <c r="W17" i="6" s="1"/>
  <c r="AK17" i="6" s="1"/>
  <c r="V16" i="6"/>
  <c r="W16" i="6" s="1"/>
  <c r="AK16" i="6" s="1"/>
  <c r="V15" i="6"/>
  <c r="V12" i="6"/>
  <c r="W12" i="6" s="1"/>
  <c r="AK12" i="6" s="1"/>
  <c r="V11" i="6"/>
  <c r="W11" i="6" s="1"/>
  <c r="AK11" i="6" s="1"/>
  <c r="V10" i="6"/>
  <c r="W10" i="6" s="1"/>
  <c r="AK10" i="6" s="1"/>
  <c r="V9" i="6"/>
  <c r="W9" i="6" s="1"/>
  <c r="AK9" i="6" s="1"/>
  <c r="V8" i="6"/>
  <c r="W8" i="6" s="1"/>
  <c r="AK8" i="6" s="1"/>
  <c r="V7" i="6"/>
  <c r="W7" i="6" s="1"/>
  <c r="AK7" i="6" s="1"/>
  <c r="V6" i="6"/>
  <c r="W6" i="6" s="1"/>
  <c r="AK6" i="6" s="1"/>
  <c r="V86" i="5"/>
  <c r="V141" i="5"/>
  <c r="V140" i="5"/>
  <c r="W140" i="5" s="1"/>
  <c r="AK140" i="5" s="1"/>
  <c r="V138" i="5"/>
  <c r="V137" i="5"/>
  <c r="V136" i="5"/>
  <c r="W136" i="5" s="1"/>
  <c r="AK136" i="5" s="1"/>
  <c r="V135" i="5"/>
  <c r="W135" i="5" s="1"/>
  <c r="AK135" i="5" s="1"/>
  <c r="V133" i="5"/>
  <c r="W133" i="5" s="1"/>
  <c r="V132" i="5"/>
  <c r="W132" i="5" s="1"/>
  <c r="AK132" i="5" s="1"/>
  <c r="V130" i="5"/>
  <c r="W130" i="5" s="1"/>
  <c r="AK130" i="5" s="1"/>
  <c r="V129" i="5"/>
  <c r="W129" i="5" s="1"/>
  <c r="AK129" i="5" s="1"/>
  <c r="V128" i="5"/>
  <c r="W128" i="5" s="1"/>
  <c r="V127" i="5"/>
  <c r="W127" i="5" s="1"/>
  <c r="AK127" i="5" s="1"/>
  <c r="V126" i="5"/>
  <c r="W126" i="5" s="1"/>
  <c r="V125" i="5"/>
  <c r="W125" i="5" s="1"/>
  <c r="V124" i="5"/>
  <c r="W124" i="5" s="1"/>
  <c r="AK124" i="5" s="1"/>
  <c r="V122" i="5"/>
  <c r="W122" i="5" s="1"/>
  <c r="AK122" i="5" s="1"/>
  <c r="V121" i="5"/>
  <c r="V120" i="5"/>
  <c r="W120" i="5" s="1"/>
  <c r="AK120" i="5" s="1"/>
  <c r="V119" i="5"/>
  <c r="V118" i="5"/>
  <c r="W118" i="5" s="1"/>
  <c r="AK118" i="5" s="1"/>
  <c r="V117" i="5"/>
  <c r="W117" i="5" s="1"/>
  <c r="AK117" i="5" s="1"/>
  <c r="V115" i="5"/>
  <c r="W115" i="5" s="1"/>
  <c r="AK115" i="5" s="1"/>
  <c r="V114" i="5"/>
  <c r="W114" i="5" s="1"/>
  <c r="V113" i="5"/>
  <c r="W113" i="5" s="1"/>
  <c r="AN113" i="5" s="1"/>
  <c r="V112" i="5"/>
  <c r="W112" i="5" s="1"/>
  <c r="V111" i="5"/>
  <c r="W111" i="5" s="1"/>
  <c r="V108" i="5"/>
  <c r="W108" i="5" s="1"/>
  <c r="AK108" i="5" s="1"/>
  <c r="V107" i="5"/>
  <c r="W107" i="5" s="1"/>
  <c r="AK107" i="5" s="1"/>
  <c r="V106" i="5"/>
  <c r="W106" i="5" s="1"/>
  <c r="AK106" i="5" s="1"/>
  <c r="V104" i="5"/>
  <c r="W104" i="5" s="1"/>
  <c r="AK104" i="5" s="1"/>
  <c r="V103" i="5"/>
  <c r="W103" i="5" s="1"/>
  <c r="AK103" i="5" s="1"/>
  <c r="V102" i="5"/>
  <c r="W102" i="5" s="1"/>
  <c r="AK102" i="5" s="1"/>
  <c r="V101" i="5"/>
  <c r="W101" i="5" s="1"/>
  <c r="AN101" i="5" s="1"/>
  <c r="V100" i="5"/>
  <c r="W100" i="5" s="1"/>
  <c r="V98" i="5"/>
  <c r="W98" i="5" s="1"/>
  <c r="AK98" i="5" s="1"/>
  <c r="V97" i="5"/>
  <c r="W97" i="5" s="1"/>
  <c r="AK97" i="5" s="1"/>
  <c r="V96" i="5"/>
  <c r="W96" i="5" s="1"/>
  <c r="AK96" i="5" s="1"/>
  <c r="V95" i="5"/>
  <c r="W95" i="5" s="1"/>
  <c r="AK95" i="5" s="1"/>
  <c r="V93" i="5"/>
  <c r="W93" i="5" s="1"/>
  <c r="AK93" i="5" s="1"/>
  <c r="V91" i="5"/>
  <c r="W91" i="5" s="1"/>
  <c r="AK91" i="5" s="1"/>
  <c r="V90" i="5"/>
  <c r="W90" i="5" s="1"/>
  <c r="AK90" i="5" s="1"/>
  <c r="V89" i="5"/>
  <c r="W89" i="5" s="1"/>
  <c r="AK89" i="5" s="1"/>
  <c r="V88" i="5"/>
  <c r="W88" i="5" s="1"/>
  <c r="AK88" i="5" s="1"/>
  <c r="V87" i="5"/>
  <c r="W87" i="5" s="1"/>
  <c r="AK87" i="5" s="1"/>
  <c r="V84" i="5"/>
  <c r="W84" i="5" s="1"/>
  <c r="V82" i="5"/>
  <c r="W82" i="5" s="1"/>
  <c r="V81" i="5"/>
  <c r="W81" i="5" s="1"/>
  <c r="V80" i="5"/>
  <c r="W80" i="5" s="1"/>
  <c r="V79" i="5"/>
  <c r="W79" i="5" s="1"/>
  <c r="AK79" i="5" s="1"/>
  <c r="V76" i="5"/>
  <c r="V75" i="5"/>
  <c r="W75" i="5" s="1"/>
  <c r="AK75" i="5" s="1"/>
  <c r="V72" i="5"/>
  <c r="W72" i="5" s="1"/>
  <c r="AK72" i="5" s="1"/>
  <c r="V71" i="5"/>
  <c r="W71" i="5" s="1"/>
  <c r="AK71" i="5" s="1"/>
  <c r="V70" i="5"/>
  <c r="W70" i="5" s="1"/>
  <c r="AK70" i="5" s="1"/>
  <c r="V69" i="5"/>
  <c r="W69" i="5" s="1"/>
  <c r="AK69" i="5" s="1"/>
  <c r="V67" i="5"/>
  <c r="W67" i="5" s="1"/>
  <c r="AK67" i="5" s="1"/>
  <c r="V65" i="5"/>
  <c r="W65" i="5" s="1"/>
  <c r="AK65" i="5" s="1"/>
  <c r="V64" i="5"/>
  <c r="W64" i="5" s="1"/>
  <c r="AK64" i="5" s="1"/>
  <c r="V62" i="5"/>
  <c r="W62" i="5" s="1"/>
  <c r="AK62" i="5" s="1"/>
  <c r="V60" i="5"/>
  <c r="W60" i="5" s="1"/>
  <c r="AK60" i="5" s="1"/>
  <c r="V59" i="5"/>
  <c r="W59" i="5" s="1"/>
  <c r="AK59" i="5" s="1"/>
  <c r="V56" i="5"/>
  <c r="W56" i="5" s="1"/>
  <c r="V54" i="5"/>
  <c r="W54" i="5" s="1"/>
  <c r="AK54" i="5" s="1"/>
  <c r="V53" i="5"/>
  <c r="W53" i="5" s="1"/>
  <c r="AK53" i="5" s="1"/>
  <c r="V52" i="5"/>
  <c r="W52" i="5" s="1"/>
  <c r="AK52" i="5" s="1"/>
  <c r="V51" i="5"/>
  <c r="W51" i="5" s="1"/>
  <c r="AK51" i="5" s="1"/>
  <c r="V50" i="5"/>
  <c r="V47" i="5"/>
  <c r="W47" i="5" s="1"/>
  <c r="AK47" i="5" s="1"/>
  <c r="V46" i="5"/>
  <c r="W46" i="5" s="1"/>
  <c r="AK46" i="5" s="1"/>
  <c r="V45" i="5"/>
  <c r="W45" i="5" s="1"/>
  <c r="AK45" i="5" s="1"/>
  <c r="V44" i="5"/>
  <c r="W44" i="5" s="1"/>
  <c r="AK44" i="5" s="1"/>
  <c r="V42" i="5"/>
  <c r="W42" i="5" s="1"/>
  <c r="AK42" i="5" s="1"/>
  <c r="V41" i="5"/>
  <c r="W41" i="5" s="1"/>
  <c r="AK41" i="5" s="1"/>
  <c r="V39" i="5"/>
  <c r="W39" i="5" s="1"/>
  <c r="AK39" i="5" s="1"/>
  <c r="V38" i="5"/>
  <c r="W38" i="5" s="1"/>
  <c r="AK38" i="5" s="1"/>
  <c r="V37" i="5"/>
  <c r="W37" i="5" s="1"/>
  <c r="AK37" i="5" s="1"/>
  <c r="V35" i="5"/>
  <c r="W35" i="5" s="1"/>
  <c r="AK35" i="5" s="1"/>
  <c r="V34" i="5"/>
  <c r="W34" i="5" s="1"/>
  <c r="V33" i="5"/>
  <c r="W33" i="5" s="1"/>
  <c r="V31" i="5"/>
  <c r="W31" i="5" s="1"/>
  <c r="AK31" i="5" s="1"/>
  <c r="V29" i="5"/>
  <c r="W29" i="5" s="1"/>
  <c r="AN29" i="5" s="1"/>
  <c r="V28" i="5"/>
  <c r="W28" i="5" s="1"/>
  <c r="AK28" i="5" s="1"/>
  <c r="V27" i="5"/>
  <c r="W27" i="5" s="1"/>
  <c r="AK27" i="5" s="1"/>
  <c r="V25" i="5"/>
  <c r="W25" i="5" s="1"/>
  <c r="AK25" i="5" s="1"/>
  <c r="V24" i="5"/>
  <c r="W24" i="5" s="1"/>
  <c r="AK24" i="5" s="1"/>
  <c r="V22" i="5"/>
  <c r="W22" i="5" s="1"/>
  <c r="AK22" i="5" s="1"/>
  <c r="V21" i="5"/>
  <c r="W21" i="5" s="1"/>
  <c r="AN21" i="5" s="1"/>
  <c r="V20" i="5"/>
  <c r="W20" i="5" s="1"/>
  <c r="V19" i="5"/>
  <c r="W19" i="5" s="1"/>
  <c r="AK19" i="5" s="1"/>
  <c r="V16" i="5"/>
  <c r="W16" i="5" s="1"/>
  <c r="V15" i="5"/>
  <c r="W15" i="5" s="1"/>
  <c r="AK15" i="5" s="1"/>
  <c r="V14" i="5"/>
  <c r="W14" i="5" s="1"/>
  <c r="AK14" i="5" s="1"/>
  <c r="V13" i="5"/>
  <c r="W13" i="5" s="1"/>
  <c r="AK13" i="5" s="1"/>
  <c r="V11" i="5"/>
  <c r="W11" i="5" s="1"/>
  <c r="AK11" i="5" s="1"/>
  <c r="V10" i="5"/>
  <c r="W10" i="5" s="1"/>
  <c r="AK10" i="5" s="1"/>
  <c r="V8" i="5"/>
  <c r="W8" i="5" s="1"/>
  <c r="AK8" i="5" s="1"/>
  <c r="V7" i="5"/>
  <c r="W7" i="5" s="1"/>
  <c r="AK7" i="5" s="1"/>
  <c r="V6" i="5"/>
  <c r="W6" i="5" s="1"/>
  <c r="AK6" i="5" s="1"/>
  <c r="V137" i="4"/>
  <c r="W137" i="4" s="1"/>
  <c r="AK137" i="4" s="1"/>
  <c r="V110" i="4"/>
  <c r="W110" i="4" s="1"/>
  <c r="AK110" i="4" s="1"/>
  <c r="V107" i="4"/>
  <c r="W107" i="4" s="1"/>
  <c r="AK107" i="4" s="1"/>
  <c r="V171" i="4"/>
  <c r="W171" i="4" s="1"/>
  <c r="AK171" i="4" s="1"/>
  <c r="AN171" i="4" s="1"/>
  <c r="V170" i="4"/>
  <c r="W170" i="4" s="1"/>
  <c r="AK170" i="4" s="1"/>
  <c r="AN170" i="4" s="1"/>
  <c r="V169" i="4"/>
  <c r="W169" i="4" s="1"/>
  <c r="AK169" i="4" s="1"/>
  <c r="V166" i="4"/>
  <c r="W166" i="4" s="1"/>
  <c r="AK166" i="4" s="1"/>
  <c r="V165" i="4"/>
  <c r="W165" i="4" s="1"/>
  <c r="AK165" i="4" s="1"/>
  <c r="V164" i="4"/>
  <c r="W164" i="4" s="1"/>
  <c r="AK164" i="4" s="1"/>
  <c r="V163" i="4"/>
  <c r="W163" i="4" s="1"/>
  <c r="AK163" i="4" s="1"/>
  <c r="V162" i="4"/>
  <c r="W162" i="4" s="1"/>
  <c r="AK162" i="4" s="1"/>
  <c r="V161" i="4"/>
  <c r="W161" i="4" s="1"/>
  <c r="AK161" i="4" s="1"/>
  <c r="V160" i="4"/>
  <c r="W160" i="4" s="1"/>
  <c r="AK160" i="4" s="1"/>
  <c r="V158" i="4"/>
  <c r="W158" i="4" s="1"/>
  <c r="V157" i="4"/>
  <c r="W157" i="4" s="1"/>
  <c r="AK157" i="4" s="1"/>
  <c r="V156" i="4"/>
  <c r="V155" i="4"/>
  <c r="W155" i="4" s="1"/>
  <c r="V154" i="4"/>
  <c r="V153" i="4"/>
  <c r="W153" i="4" s="1"/>
  <c r="AK153" i="4" s="1"/>
  <c r="V152" i="4"/>
  <c r="W152" i="4" s="1"/>
  <c r="AK152" i="4" s="1"/>
  <c r="V151" i="4"/>
  <c r="W151" i="4" s="1"/>
  <c r="AK151" i="4" s="1"/>
  <c r="V149" i="4"/>
  <c r="W149" i="4" s="1"/>
  <c r="AK149" i="4" s="1"/>
  <c r="V148" i="4"/>
  <c r="V147" i="4"/>
  <c r="W147" i="4" s="1"/>
  <c r="V146" i="4"/>
  <c r="W146" i="4" s="1"/>
  <c r="V145" i="4"/>
  <c r="W145" i="4" s="1"/>
  <c r="AK145" i="4" s="1"/>
  <c r="V141" i="4"/>
  <c r="W141" i="4" s="1"/>
  <c r="V139" i="4"/>
  <c r="W139" i="4" s="1"/>
  <c r="AK139" i="4" s="1"/>
  <c r="V138" i="4"/>
  <c r="W138" i="4" s="1"/>
  <c r="AK138" i="4" s="1"/>
  <c r="V133" i="4"/>
  <c r="W133" i="4" s="1"/>
  <c r="V132" i="4"/>
  <c r="W132" i="4" s="1"/>
  <c r="V131" i="4"/>
  <c r="W131" i="4" s="1"/>
  <c r="AK131" i="4" s="1"/>
  <c r="V130" i="4"/>
  <c r="W130" i="4" s="1"/>
  <c r="V129" i="4"/>
  <c r="W129" i="4" s="1"/>
  <c r="AK129" i="4" s="1"/>
  <c r="V128" i="4"/>
  <c r="W128" i="4" s="1"/>
  <c r="AK128" i="4" s="1"/>
  <c r="V127" i="4"/>
  <c r="W127" i="4" s="1"/>
  <c r="V126" i="4"/>
  <c r="W126" i="4" s="1"/>
  <c r="V125" i="4"/>
  <c r="W125" i="4" s="1"/>
  <c r="AN125" i="4" s="1"/>
  <c r="V124" i="4"/>
  <c r="W124" i="4" s="1"/>
  <c r="AK124" i="4" s="1"/>
  <c r="V123" i="4"/>
  <c r="W123" i="4" s="1"/>
  <c r="AN123" i="4" s="1"/>
  <c r="V122" i="4"/>
  <c r="W122" i="4" s="1"/>
  <c r="AK122" i="4" s="1"/>
  <c r="V120" i="4"/>
  <c r="W120" i="4" s="1"/>
  <c r="AK120" i="4" s="1"/>
  <c r="V119" i="4"/>
  <c r="W119" i="4" s="1"/>
  <c r="AK119" i="4" s="1"/>
  <c r="V118" i="4"/>
  <c r="W118" i="4" s="1"/>
  <c r="AK118" i="4" s="1"/>
  <c r="V117" i="4"/>
  <c r="W117" i="4" s="1"/>
  <c r="AK117" i="4" s="1"/>
  <c r="V116" i="4"/>
  <c r="W116" i="4" s="1"/>
  <c r="AK116" i="4" s="1"/>
  <c r="V115" i="4"/>
  <c r="W115" i="4" s="1"/>
  <c r="AK115" i="4" s="1"/>
  <c r="V114" i="4"/>
  <c r="W114" i="4" s="1"/>
  <c r="AK114" i="4" s="1"/>
  <c r="V113" i="4"/>
  <c r="W113" i="4" s="1"/>
  <c r="AK113" i="4" s="1"/>
  <c r="V112" i="4"/>
  <c r="W112" i="4" s="1"/>
  <c r="AK112" i="4" s="1"/>
  <c r="V111" i="4"/>
  <c r="W111" i="4" s="1"/>
  <c r="AK111" i="4" s="1"/>
  <c r="V108" i="4"/>
  <c r="W108" i="4" s="1"/>
  <c r="AK108" i="4" s="1"/>
  <c r="V106" i="4"/>
  <c r="W106" i="4" s="1"/>
  <c r="AK106" i="4" s="1"/>
  <c r="V9" i="4"/>
  <c r="W9" i="4" s="1"/>
  <c r="V103" i="4"/>
  <c r="W103" i="4" s="1"/>
  <c r="V102" i="4"/>
  <c r="W102" i="4" s="1"/>
  <c r="V101" i="4"/>
  <c r="W101" i="4" s="1"/>
  <c r="V99" i="4"/>
  <c r="W99" i="4" s="1"/>
  <c r="AK99" i="4" s="1"/>
  <c r="V96" i="4"/>
  <c r="W96" i="4" s="1"/>
  <c r="AK96" i="4" s="1"/>
  <c r="V94" i="4"/>
  <c r="W94" i="4" s="1"/>
  <c r="AK94" i="4" s="1"/>
  <c r="V93" i="4"/>
  <c r="W93" i="4" s="1"/>
  <c r="AK93" i="4" s="1"/>
  <c r="V92" i="4"/>
  <c r="W92" i="4" s="1"/>
  <c r="AK92" i="4" s="1"/>
  <c r="V90" i="4"/>
  <c r="W90" i="4" s="1"/>
  <c r="V89" i="4"/>
  <c r="W89" i="4" s="1"/>
  <c r="AK89" i="4" s="1"/>
  <c r="V88" i="4"/>
  <c r="W88" i="4" s="1"/>
  <c r="AK88" i="4" s="1"/>
  <c r="V87" i="4"/>
  <c r="W87" i="4" s="1"/>
  <c r="AK87" i="4" s="1"/>
  <c r="V86" i="4"/>
  <c r="W86" i="4" s="1"/>
  <c r="AK86" i="4" s="1"/>
  <c r="V85" i="4"/>
  <c r="W85" i="4" s="1"/>
  <c r="AK85" i="4" s="1"/>
  <c r="V84" i="4"/>
  <c r="W84" i="4" s="1"/>
  <c r="AK84" i="4" s="1"/>
  <c r="V81" i="4"/>
  <c r="W81" i="4" s="1"/>
  <c r="V80" i="4"/>
  <c r="W80" i="4" s="1"/>
  <c r="AK80" i="4" s="1"/>
  <c r="V78" i="4"/>
  <c r="W78" i="4" s="1"/>
  <c r="AK78" i="4" s="1"/>
  <c r="V76" i="4"/>
  <c r="W76" i="4" s="1"/>
  <c r="AN76" i="4" s="1"/>
  <c r="V75" i="4"/>
  <c r="W75" i="4" s="1"/>
  <c r="AK75" i="4" s="1"/>
  <c r="V74" i="4"/>
  <c r="W74" i="4" s="1"/>
  <c r="V72" i="4"/>
  <c r="W72" i="4" s="1"/>
  <c r="AK72" i="4" s="1"/>
  <c r="V71" i="4"/>
  <c r="W71" i="4" s="1"/>
  <c r="V70" i="4"/>
  <c r="W70" i="4" s="1"/>
  <c r="AK70" i="4" s="1"/>
  <c r="V68" i="4"/>
  <c r="W68" i="4" s="1"/>
  <c r="AK68" i="4" s="1"/>
  <c r="V67" i="4"/>
  <c r="W67" i="4" s="1"/>
  <c r="AK67" i="4" s="1"/>
  <c r="V66" i="4"/>
  <c r="W66" i="4" s="1"/>
  <c r="AK66" i="4" s="1"/>
  <c r="V65" i="4"/>
  <c r="W65" i="4" s="1"/>
  <c r="V63" i="4"/>
  <c r="W63" i="4" s="1"/>
  <c r="AK63" i="4" s="1"/>
  <c r="V62" i="4"/>
  <c r="W62" i="4" s="1"/>
  <c r="AK62" i="4" s="1"/>
  <c r="V59" i="4"/>
  <c r="W59" i="4" s="1"/>
  <c r="AK59" i="4" s="1"/>
  <c r="V58" i="4"/>
  <c r="W58" i="4" s="1"/>
  <c r="AK58" i="4" s="1"/>
  <c r="V56" i="4"/>
  <c r="W56" i="4" s="1"/>
  <c r="V55" i="4"/>
  <c r="W55" i="4" s="1"/>
  <c r="AK55" i="4" s="1"/>
  <c r="V54" i="4"/>
  <c r="W54" i="4" s="1"/>
  <c r="AK54" i="4" s="1"/>
  <c r="V52" i="4"/>
  <c r="W52" i="4" s="1"/>
  <c r="AK52" i="4" s="1"/>
  <c r="V49" i="4"/>
  <c r="W49" i="4" s="1"/>
  <c r="AK49" i="4" s="1"/>
  <c r="V48" i="4"/>
  <c r="W48" i="4" s="1"/>
  <c r="V47" i="4"/>
  <c r="W47" i="4" s="1"/>
  <c r="AK47" i="4" s="1"/>
  <c r="V45" i="4"/>
  <c r="W45" i="4" s="1"/>
  <c r="AK45" i="4" s="1"/>
  <c r="V44" i="4"/>
  <c r="W44" i="4" s="1"/>
  <c r="AK44" i="4" s="1"/>
  <c r="V43" i="4"/>
  <c r="V42" i="4"/>
  <c r="W42" i="4" s="1"/>
  <c r="AK42" i="4" s="1"/>
  <c r="V41" i="4"/>
  <c r="W41" i="4" s="1"/>
  <c r="AK41" i="4" s="1"/>
  <c r="V40" i="4"/>
  <c r="W40" i="4" s="1"/>
  <c r="AK40" i="4" s="1"/>
  <c r="V39" i="4"/>
  <c r="W39" i="4" s="1"/>
  <c r="AK39" i="4" s="1"/>
  <c r="V36" i="4"/>
  <c r="W36" i="4" s="1"/>
  <c r="V35" i="4"/>
  <c r="W35" i="4" s="1"/>
  <c r="AK35" i="4" s="1"/>
  <c r="V34" i="4"/>
  <c r="W34" i="4" s="1"/>
  <c r="AK34" i="4" s="1"/>
  <c r="V32" i="4"/>
  <c r="W32" i="4" s="1"/>
  <c r="AK32" i="4" s="1"/>
  <c r="V31" i="4"/>
  <c r="W31" i="4" s="1"/>
  <c r="AN31" i="4" s="1"/>
  <c r="V30" i="4"/>
  <c r="W30" i="4" s="1"/>
  <c r="AK30" i="4" s="1"/>
  <c r="V29" i="4"/>
  <c r="W29" i="4" s="1"/>
  <c r="AK29" i="4" s="1"/>
  <c r="V28" i="4"/>
  <c r="W28" i="4" s="1"/>
  <c r="AK28" i="4" s="1"/>
  <c r="V25" i="4"/>
  <c r="W25" i="4" s="1"/>
  <c r="AK25" i="4" s="1"/>
  <c r="V24" i="4"/>
  <c r="W24" i="4" s="1"/>
  <c r="AK24" i="4" s="1"/>
  <c r="V23" i="4"/>
  <c r="W23" i="4" s="1"/>
  <c r="V21" i="4"/>
  <c r="W21" i="4" s="1"/>
  <c r="V20" i="4"/>
  <c r="W20" i="4" s="1"/>
  <c r="AK20" i="4" s="1"/>
  <c r="V18" i="4"/>
  <c r="W18" i="4" s="1"/>
  <c r="AK18" i="4" s="1"/>
  <c r="V17" i="4"/>
  <c r="W17" i="4" s="1"/>
  <c r="AK17" i="4" s="1"/>
  <c r="V16" i="4"/>
  <c r="W16" i="4" s="1"/>
  <c r="AK16" i="4" s="1"/>
  <c r="V15" i="4"/>
  <c r="W15" i="4" s="1"/>
  <c r="AK15" i="4" s="1"/>
  <c r="V14" i="4"/>
  <c r="W14" i="4" s="1"/>
  <c r="AK14" i="4" s="1"/>
  <c r="V13" i="4"/>
  <c r="W13" i="4" s="1"/>
  <c r="AK13" i="4" s="1"/>
  <c r="V12" i="4"/>
  <c r="W12" i="4" s="1"/>
  <c r="AK12" i="4" s="1"/>
  <c r="V11" i="4"/>
  <c r="W11" i="4" s="1"/>
  <c r="V10" i="4"/>
  <c r="W10" i="4" s="1"/>
  <c r="V8" i="4"/>
  <c r="W8" i="4" s="1"/>
  <c r="AK8" i="4" s="1"/>
  <c r="V7" i="4"/>
  <c r="V6" i="4"/>
  <c r="V42" i="3"/>
  <c r="W42" i="3" s="1"/>
  <c r="AK42" i="3" s="1"/>
  <c r="V116" i="3"/>
  <c r="W116" i="3" s="1"/>
  <c r="AK116" i="3" s="1"/>
  <c r="V115" i="3"/>
  <c r="W115" i="3" s="1"/>
  <c r="AK115" i="3" s="1"/>
  <c r="V35" i="3"/>
  <c r="W35" i="3" s="1"/>
  <c r="V132" i="3"/>
  <c r="W132" i="3" s="1"/>
  <c r="AK132" i="3" s="1"/>
  <c r="V131" i="3"/>
  <c r="W131" i="3" s="1"/>
  <c r="AK131" i="3" s="1"/>
  <c r="V130" i="3"/>
  <c r="W130" i="3" s="1"/>
  <c r="AK130" i="3" s="1"/>
  <c r="V128" i="3"/>
  <c r="W128" i="3" s="1"/>
  <c r="AK128" i="3" s="1"/>
  <c r="V127" i="3"/>
  <c r="W127" i="3" s="1"/>
  <c r="AK127" i="3" s="1"/>
  <c r="V126" i="3"/>
  <c r="W126" i="3" s="1"/>
  <c r="AK126" i="3" s="1"/>
  <c r="V123" i="3"/>
  <c r="W123" i="3" s="1"/>
  <c r="AK123" i="3" s="1"/>
  <c r="V122" i="3"/>
  <c r="W122" i="3" s="1"/>
  <c r="AK122" i="3" s="1"/>
  <c r="V121" i="3"/>
  <c r="W121" i="3" s="1"/>
  <c r="V120" i="3"/>
  <c r="W120" i="3" s="1"/>
  <c r="AK120" i="3" s="1"/>
  <c r="V119" i="3"/>
  <c r="W119" i="3" s="1"/>
  <c r="AK119" i="3" s="1"/>
  <c r="V118" i="3"/>
  <c r="W118" i="3" s="1"/>
  <c r="AK118" i="3" s="1"/>
  <c r="V114" i="3"/>
  <c r="W114" i="3" s="1"/>
  <c r="AK114" i="3" s="1"/>
  <c r="V113" i="3"/>
  <c r="W113" i="3" s="1"/>
  <c r="AK113" i="3" s="1"/>
  <c r="V112" i="3"/>
  <c r="W112" i="3" s="1"/>
  <c r="V111" i="3"/>
  <c r="W111" i="3" s="1"/>
  <c r="AK111" i="3" s="1"/>
  <c r="V110" i="3"/>
  <c r="W110" i="3" s="1"/>
  <c r="AK110" i="3" s="1"/>
  <c r="V109" i="3"/>
  <c r="W109" i="3" s="1"/>
  <c r="AK109" i="3" s="1"/>
  <c r="V108" i="3"/>
  <c r="W108" i="3" s="1"/>
  <c r="AK108" i="3" s="1"/>
  <c r="V106" i="3"/>
  <c r="W106" i="3" s="1"/>
  <c r="AK106" i="3" s="1"/>
  <c r="V105" i="3"/>
  <c r="W105" i="3" s="1"/>
  <c r="AK105" i="3" s="1"/>
  <c r="V104" i="3"/>
  <c r="W104" i="3" s="1"/>
  <c r="AK104" i="3" s="1"/>
  <c r="V103" i="3"/>
  <c r="W103" i="3" s="1"/>
  <c r="AK103" i="3" s="1"/>
  <c r="V102" i="3"/>
  <c r="W102" i="3" s="1"/>
  <c r="AK102" i="3" s="1"/>
  <c r="V99" i="3"/>
  <c r="W99" i="3" s="1"/>
  <c r="AK99" i="3" s="1"/>
  <c r="V98" i="3"/>
  <c r="W98" i="3" s="1"/>
  <c r="AK98" i="3" s="1"/>
  <c r="V97" i="3"/>
  <c r="W97" i="3" s="1"/>
  <c r="V95" i="3"/>
  <c r="W95" i="3" s="1"/>
  <c r="AK95" i="3" s="1"/>
  <c r="V94" i="3"/>
  <c r="W94" i="3" s="1"/>
  <c r="AK94" i="3" s="1"/>
  <c r="V93" i="3"/>
  <c r="W93" i="3" s="1"/>
  <c r="V92" i="3"/>
  <c r="W92" i="3" s="1"/>
  <c r="AK92" i="3" s="1"/>
  <c r="V90" i="3"/>
  <c r="W90" i="3" s="1"/>
  <c r="V89" i="3"/>
  <c r="W89" i="3" s="1"/>
  <c r="AK89" i="3" s="1"/>
  <c r="V88" i="3"/>
  <c r="V87" i="3"/>
  <c r="W87" i="3" s="1"/>
  <c r="AK87" i="3" s="1"/>
  <c r="V85" i="3"/>
  <c r="W85" i="3" s="1"/>
  <c r="AK85" i="3" s="1"/>
  <c r="V84" i="3"/>
  <c r="W84" i="3" s="1"/>
  <c r="AK84" i="3" s="1"/>
  <c r="V83" i="3"/>
  <c r="W83" i="3" s="1"/>
  <c r="V82" i="3"/>
  <c r="W82" i="3" s="1"/>
  <c r="V81" i="3"/>
  <c r="W81" i="3" s="1"/>
  <c r="AK81" i="3" s="1"/>
  <c r="V80" i="3"/>
  <c r="W80" i="3" s="1"/>
  <c r="AK80" i="3" s="1"/>
  <c r="V79" i="3"/>
  <c r="W79" i="3" s="1"/>
  <c r="AK79" i="3" s="1"/>
  <c r="V78" i="3"/>
  <c r="W78" i="3" s="1"/>
  <c r="AK78" i="3" s="1"/>
  <c r="V77" i="3"/>
  <c r="W77" i="3" s="1"/>
  <c r="AK77" i="3" s="1"/>
  <c r="V76" i="3"/>
  <c r="W76" i="3" s="1"/>
  <c r="AK76" i="3" s="1"/>
  <c r="V75" i="3"/>
  <c r="W75" i="3" s="1"/>
  <c r="AK75" i="3" s="1"/>
  <c r="V74" i="3"/>
  <c r="W74" i="3" s="1"/>
  <c r="AK74" i="3" s="1"/>
  <c r="V72" i="3"/>
  <c r="W72" i="3" s="1"/>
  <c r="AK72" i="3" s="1"/>
  <c r="V71" i="3"/>
  <c r="W71" i="3" s="1"/>
  <c r="AK71" i="3" s="1"/>
  <c r="V70" i="3"/>
  <c r="W70" i="3" s="1"/>
  <c r="AK70" i="3" s="1"/>
  <c r="V69" i="3"/>
  <c r="W69" i="3" s="1"/>
  <c r="AK69" i="3" s="1"/>
  <c r="V66" i="3"/>
  <c r="W66" i="3" s="1"/>
  <c r="AK66" i="3" s="1"/>
  <c r="V65" i="3"/>
  <c r="W65" i="3" s="1"/>
  <c r="AK65" i="3" s="1"/>
  <c r="V63" i="3"/>
  <c r="W63" i="3" s="1"/>
  <c r="AK63" i="3" s="1"/>
  <c r="V62" i="3"/>
  <c r="W62" i="3" s="1"/>
  <c r="AK62" i="3" s="1"/>
  <c r="V61" i="3"/>
  <c r="V60" i="3"/>
  <c r="W60" i="3" s="1"/>
  <c r="V58" i="3"/>
  <c r="W58" i="3" s="1"/>
  <c r="AK58" i="3" s="1"/>
  <c r="V57" i="3"/>
  <c r="W57" i="3" s="1"/>
  <c r="AK57" i="3" s="1"/>
  <c r="V56" i="3"/>
  <c r="W56" i="3" s="1"/>
  <c r="V55" i="3"/>
  <c r="W55" i="3" s="1"/>
  <c r="AK55" i="3" s="1"/>
  <c r="V53" i="3"/>
  <c r="W53" i="3" s="1"/>
  <c r="AN53" i="3" s="1"/>
  <c r="V52" i="3"/>
  <c r="W52" i="3" s="1"/>
  <c r="AK52" i="3" s="1"/>
  <c r="V51" i="3"/>
  <c r="W51" i="3" s="1"/>
  <c r="AK51" i="3" s="1"/>
  <c r="V50" i="3"/>
  <c r="W50" i="3" s="1"/>
  <c r="AK50" i="3" s="1"/>
  <c r="V49" i="3"/>
  <c r="W49" i="3" s="1"/>
  <c r="AK49" i="3" s="1"/>
  <c r="V48" i="3"/>
  <c r="W48" i="3" s="1"/>
  <c r="AK48" i="3" s="1"/>
  <c r="V47" i="3"/>
  <c r="W47" i="3" s="1"/>
  <c r="AK47" i="3" s="1"/>
  <c r="V41" i="3"/>
  <c r="W41" i="3" s="1"/>
  <c r="AK41" i="3" s="1"/>
  <c r="V39" i="3"/>
  <c r="W39" i="3" s="1"/>
  <c r="AK39" i="3" s="1"/>
  <c r="V38" i="3"/>
  <c r="W38" i="3" s="1"/>
  <c r="AK38" i="3" s="1"/>
  <c r="V37" i="3"/>
  <c r="W37" i="3" s="1"/>
  <c r="AK37" i="3" s="1"/>
  <c r="V36" i="3"/>
  <c r="W36" i="3" s="1"/>
  <c r="V32" i="3"/>
  <c r="W32" i="3" s="1"/>
  <c r="AK32" i="3" s="1"/>
  <c r="V29" i="3"/>
  <c r="W29" i="3" s="1"/>
  <c r="AK29" i="3" s="1"/>
  <c r="V23" i="3"/>
  <c r="W23" i="3" s="1"/>
  <c r="AK23" i="3" s="1"/>
  <c r="V6" i="3"/>
  <c r="W6" i="3" s="1"/>
  <c r="AK6" i="3" s="1"/>
  <c r="V31" i="3"/>
  <c r="W31" i="3" s="1"/>
  <c r="V30" i="3"/>
  <c r="W30" i="3" s="1"/>
  <c r="AK30" i="3" s="1"/>
  <c r="V27" i="3"/>
  <c r="W27" i="3" s="1"/>
  <c r="AK27" i="3" s="1"/>
  <c r="V26" i="3"/>
  <c r="W26" i="3" s="1"/>
  <c r="AK26" i="3" s="1"/>
  <c r="V25" i="3"/>
  <c r="W25" i="3" s="1"/>
  <c r="V22" i="3"/>
  <c r="W22" i="3" s="1"/>
  <c r="AK22" i="3" s="1"/>
  <c r="V20" i="3"/>
  <c r="W20" i="3" s="1"/>
  <c r="V19" i="3"/>
  <c r="W19" i="3" s="1"/>
  <c r="V18" i="3"/>
  <c r="W18" i="3" s="1"/>
  <c r="AK18" i="3" s="1"/>
  <c r="V17" i="3"/>
  <c r="W17" i="3" s="1"/>
  <c r="AK17" i="3" s="1"/>
  <c r="V12" i="3"/>
  <c r="W12" i="3" s="1"/>
  <c r="AK12" i="3" s="1"/>
  <c r="V14" i="3"/>
  <c r="W14" i="3" s="1"/>
  <c r="AK14" i="3" s="1"/>
  <c r="V13" i="3"/>
  <c r="W13" i="3" s="1"/>
  <c r="AK13" i="3" s="1"/>
  <c r="V10" i="3"/>
  <c r="W10" i="3" s="1"/>
  <c r="AK10" i="3" s="1"/>
  <c r="V9" i="3"/>
  <c r="W9" i="3" s="1"/>
  <c r="AK9" i="3" s="1"/>
  <c r="V8" i="3"/>
  <c r="V7" i="3"/>
  <c r="V6" i="2"/>
  <c r="W6" i="2" s="1"/>
  <c r="AK6" i="2" s="1"/>
  <c r="W156" i="4" l="1"/>
  <c r="AK156" i="4" s="1"/>
  <c r="W154" i="4"/>
  <c r="AK154" i="4" s="1"/>
  <c r="W148" i="4"/>
  <c r="AK148" i="4" s="1"/>
  <c r="W7" i="4"/>
  <c r="AK7" i="4" s="1"/>
  <c r="AN11" i="5"/>
  <c r="AN136" i="5"/>
  <c r="AN14" i="5"/>
  <c r="AN47" i="5"/>
  <c r="W138" i="5"/>
  <c r="AK138" i="5" s="1"/>
  <c r="AN28" i="5"/>
  <c r="AN39" i="5"/>
  <c r="AN51" i="5"/>
  <c r="W76" i="5"/>
  <c r="AK76" i="5" s="1"/>
  <c r="AN34" i="5"/>
  <c r="AN35" i="5"/>
  <c r="AN25" i="5"/>
  <c r="W137" i="5"/>
  <c r="AK137" i="5" s="1"/>
  <c r="AN7" i="5"/>
  <c r="AN52" i="5"/>
  <c r="W141" i="5"/>
  <c r="AK141" i="5" s="1"/>
  <c r="AN54" i="5"/>
  <c r="AN22" i="5"/>
  <c r="AN45" i="5"/>
  <c r="AN46" i="5"/>
  <c r="AN37" i="5"/>
  <c r="AN15" i="5"/>
  <c r="AN8" i="5"/>
  <c r="AN20" i="5"/>
  <c r="AN42" i="5"/>
  <c r="AN53" i="5"/>
  <c r="W86" i="5"/>
  <c r="AK86" i="5" s="1"/>
  <c r="AN135" i="5"/>
  <c r="AN130" i="5"/>
  <c r="AN129" i="5"/>
  <c r="AN127" i="5"/>
  <c r="AN124" i="5"/>
  <c r="AN120" i="5"/>
  <c r="AN118" i="5"/>
  <c r="AN117" i="5"/>
  <c r="AN115" i="5"/>
  <c r="AN96" i="5"/>
  <c r="AN97" i="5"/>
  <c r="AN98" i="5"/>
  <c r="AN88" i="5"/>
  <c r="AN89" i="5"/>
  <c r="AN87" i="5"/>
  <c r="AN90" i="5"/>
  <c r="AN91" i="5"/>
  <c r="AN72" i="5"/>
  <c r="AN71" i="5"/>
  <c r="AN70" i="5"/>
  <c r="AN65" i="5"/>
  <c r="AN64" i="5"/>
  <c r="AN60" i="5"/>
  <c r="AN108" i="5"/>
  <c r="AN107" i="5"/>
  <c r="AN104" i="5"/>
  <c r="AN103" i="5"/>
  <c r="AN102" i="5"/>
  <c r="AN29" i="6"/>
  <c r="AN32" i="6"/>
  <c r="AN43" i="6"/>
  <c r="AN35" i="6"/>
  <c r="AN7" i="6"/>
  <c r="AN17" i="6"/>
  <c r="AN26" i="6"/>
  <c r="AN36" i="6"/>
  <c r="AN46" i="6"/>
  <c r="AN10" i="6"/>
  <c r="AN41" i="6"/>
  <c r="AN11" i="6"/>
  <c r="AN42" i="6"/>
  <c r="AN34" i="6"/>
  <c r="AN25" i="6"/>
  <c r="AN8" i="6"/>
  <c r="AN18" i="6"/>
  <c r="AN27" i="6"/>
  <c r="AN37" i="6"/>
  <c r="AN20" i="6"/>
  <c r="AN50" i="6"/>
  <c r="AN21" i="6"/>
  <c r="AN51" i="6"/>
  <c r="AN12" i="6"/>
  <c r="AN52" i="6"/>
  <c r="AN24" i="6"/>
  <c r="AN9" i="6"/>
  <c r="AN19" i="6"/>
  <c r="AN28" i="6"/>
  <c r="AN38" i="6"/>
  <c r="AN49" i="6"/>
  <c r="AN42" i="4"/>
  <c r="AK53" i="4"/>
  <c r="P134" i="8" s="1"/>
  <c r="AN54" i="4"/>
  <c r="AN66" i="4"/>
  <c r="AN88" i="4"/>
  <c r="AN113" i="4"/>
  <c r="AN122" i="4"/>
  <c r="AN164" i="4"/>
  <c r="AK136" i="4"/>
  <c r="P154" i="8" s="1"/>
  <c r="AN137" i="4"/>
  <c r="AN12" i="4"/>
  <c r="AN32" i="4"/>
  <c r="AD43" i="4"/>
  <c r="W43" i="4"/>
  <c r="AK43" i="4" s="1"/>
  <c r="AN55" i="4"/>
  <c r="AN67" i="4"/>
  <c r="AK77" i="4"/>
  <c r="P141" i="8" s="1"/>
  <c r="AN78" i="4"/>
  <c r="AN77" i="4" s="1"/>
  <c r="S141" i="8" s="1"/>
  <c r="AN89" i="4"/>
  <c r="AN114" i="4"/>
  <c r="AN131" i="4"/>
  <c r="AN165" i="4"/>
  <c r="AN20" i="4"/>
  <c r="AN34" i="4"/>
  <c r="AK33" i="4"/>
  <c r="P129" i="8" s="1"/>
  <c r="AK90" i="4"/>
  <c r="AN115" i="4"/>
  <c r="AN124" i="4"/>
  <c r="AN157" i="4"/>
  <c r="AN166" i="4"/>
  <c r="AN14" i="4"/>
  <c r="AN24" i="4"/>
  <c r="AK22" i="4"/>
  <c r="AN35" i="4"/>
  <c r="AN45" i="4"/>
  <c r="AN58" i="4"/>
  <c r="AK57" i="4"/>
  <c r="P135" i="8" s="1"/>
  <c r="AK69" i="4"/>
  <c r="AN70" i="4"/>
  <c r="AN92" i="4"/>
  <c r="AK91" i="4"/>
  <c r="P145" i="8" s="1"/>
  <c r="AN116" i="4"/>
  <c r="AN149" i="4"/>
  <c r="AN169" i="4"/>
  <c r="AN168" i="4" s="1"/>
  <c r="AK168" i="4"/>
  <c r="AN93" i="4"/>
  <c r="AN106" i="4"/>
  <c r="AK105" i="4"/>
  <c r="P150" i="8" s="1"/>
  <c r="AN117" i="4"/>
  <c r="AN138" i="4"/>
  <c r="AN151" i="4"/>
  <c r="AK159" i="4"/>
  <c r="AN160" i="4"/>
  <c r="AN16" i="4"/>
  <c r="AN72" i="4"/>
  <c r="AN108" i="4"/>
  <c r="AN118" i="4"/>
  <c r="AN139" i="4"/>
  <c r="AN152" i="4"/>
  <c r="AN161" i="4"/>
  <c r="AN13" i="4"/>
  <c r="AN44" i="4"/>
  <c r="AK79" i="4"/>
  <c r="P142" i="8" s="1"/>
  <c r="AN80" i="4"/>
  <c r="AN79" i="4" s="1"/>
  <c r="S142" i="8" s="1"/>
  <c r="AD6" i="4"/>
  <c r="W6" i="4"/>
  <c r="AK6" i="4" s="1"/>
  <c r="AN25" i="4"/>
  <c r="AN47" i="4"/>
  <c r="AK46" i="4"/>
  <c r="AN84" i="4"/>
  <c r="AN39" i="4"/>
  <c r="AK61" i="4"/>
  <c r="P137" i="8" s="1"/>
  <c r="AN62" i="4"/>
  <c r="AN94" i="4"/>
  <c r="AN8" i="4"/>
  <c r="AN17" i="4"/>
  <c r="AN29" i="4"/>
  <c r="AN40" i="4"/>
  <c r="AN49" i="4"/>
  <c r="AN63" i="4"/>
  <c r="AN86" i="4"/>
  <c r="AN96" i="4"/>
  <c r="AN95" i="4" s="1"/>
  <c r="S146" i="8" s="1"/>
  <c r="AK95" i="4"/>
  <c r="P146" i="8" s="1"/>
  <c r="AN111" i="4"/>
  <c r="AN119" i="4"/>
  <c r="AN128" i="4"/>
  <c r="AN162" i="4"/>
  <c r="AN107" i="4"/>
  <c r="AN68" i="4"/>
  <c r="AN15" i="4"/>
  <c r="AN36" i="4"/>
  <c r="AN59" i="4"/>
  <c r="AN48" i="4"/>
  <c r="AN85" i="4"/>
  <c r="AN18" i="4"/>
  <c r="AN30" i="4"/>
  <c r="AN41" i="4"/>
  <c r="AN52" i="4"/>
  <c r="AN50" i="4" s="1"/>
  <c r="S133" i="8" s="1"/>
  <c r="AK50" i="4"/>
  <c r="P133" i="8" s="1"/>
  <c r="AN75" i="4"/>
  <c r="AN73" i="4" s="1"/>
  <c r="S140" i="8" s="1"/>
  <c r="AK73" i="4"/>
  <c r="P140" i="8" s="1"/>
  <c r="AN87" i="4"/>
  <c r="AK98" i="4"/>
  <c r="P148" i="8" s="1"/>
  <c r="AN99" i="4"/>
  <c r="AN98" i="4" s="1"/>
  <c r="S148" i="8" s="1"/>
  <c r="AN112" i="4"/>
  <c r="AN120" i="4"/>
  <c r="AN145" i="4"/>
  <c r="AN163" i="4"/>
  <c r="AN110" i="4"/>
  <c r="AK109" i="4"/>
  <c r="P151" i="8" s="1"/>
  <c r="AN27" i="3"/>
  <c r="AN51" i="3"/>
  <c r="AN72" i="3"/>
  <c r="AN81" i="3"/>
  <c r="AN90" i="3"/>
  <c r="AN111" i="3"/>
  <c r="AN122" i="3"/>
  <c r="AN30" i="3"/>
  <c r="AN38" i="3"/>
  <c r="AN52" i="3"/>
  <c r="AN62" i="3"/>
  <c r="AN82" i="3"/>
  <c r="AN92" i="3"/>
  <c r="AN103" i="3"/>
  <c r="AN112" i="3"/>
  <c r="AN123" i="3"/>
  <c r="AN115" i="3"/>
  <c r="AN39" i="3"/>
  <c r="AN83" i="3"/>
  <c r="AN104" i="3"/>
  <c r="AN6" i="3"/>
  <c r="AN84" i="3"/>
  <c r="AN127" i="3"/>
  <c r="AN9" i="3"/>
  <c r="AN56" i="3"/>
  <c r="AN66" i="3"/>
  <c r="AN77" i="3"/>
  <c r="AN85" i="3"/>
  <c r="AN95" i="3"/>
  <c r="AN106" i="3"/>
  <c r="AN128" i="3"/>
  <c r="AN76" i="3"/>
  <c r="AN105" i="3"/>
  <c r="AN10" i="3"/>
  <c r="AN22" i="3"/>
  <c r="AN48" i="3"/>
  <c r="AN57" i="3"/>
  <c r="AN78" i="3"/>
  <c r="AN108" i="3"/>
  <c r="AN119" i="3"/>
  <c r="AN18" i="3"/>
  <c r="AN75" i="3"/>
  <c r="AN113" i="3"/>
  <c r="AN42" i="3"/>
  <c r="AN13" i="3"/>
  <c r="AN49" i="3"/>
  <c r="AN58" i="3"/>
  <c r="AN70" i="3"/>
  <c r="AN79" i="3"/>
  <c r="W88" i="3"/>
  <c r="AK88" i="3" s="1"/>
  <c r="AK86" i="3" s="1"/>
  <c r="P113" i="8" s="1"/>
  <c r="AK107" i="3"/>
  <c r="P118" i="8" s="1"/>
  <c r="AN120" i="3"/>
  <c r="AN131" i="3"/>
  <c r="AN63" i="3"/>
  <c r="AN116" i="3"/>
  <c r="AN94" i="3"/>
  <c r="AN114" i="3"/>
  <c r="AN32" i="3"/>
  <c r="AN14" i="3"/>
  <c r="AN50" i="3"/>
  <c r="AN71" i="3"/>
  <c r="AN80" i="3"/>
  <c r="AN89" i="3"/>
  <c r="AN99" i="3"/>
  <c r="AN110" i="3"/>
  <c r="AN121" i="3"/>
  <c r="AN132" i="3"/>
  <c r="AN129" i="4"/>
  <c r="AK121" i="4"/>
  <c r="AN153" i="4"/>
  <c r="AK64" i="4"/>
  <c r="P138" i="8" s="1"/>
  <c r="AN65" i="4"/>
  <c r="AK46" i="3"/>
  <c r="P106" i="8" s="1"/>
  <c r="AN6" i="2"/>
  <c r="AN110" i="5"/>
  <c r="S192" i="8" s="1"/>
  <c r="AK9" i="5"/>
  <c r="P164" i="8" s="1"/>
  <c r="AN10" i="5"/>
  <c r="AK32" i="5"/>
  <c r="P171" i="8" s="1"/>
  <c r="AN33" i="5"/>
  <c r="AN13" i="5"/>
  <c r="AK12" i="5"/>
  <c r="P165" i="8" s="1"/>
  <c r="AN95" i="5"/>
  <c r="AK94" i="5"/>
  <c r="P188" i="8" s="1"/>
  <c r="AK26" i="5"/>
  <c r="P169" i="8" s="1"/>
  <c r="AN27" i="5"/>
  <c r="AN26" i="5" s="1"/>
  <c r="S169" i="8" s="1"/>
  <c r="AK36" i="5"/>
  <c r="P172" i="8" s="1"/>
  <c r="AN38" i="5"/>
  <c r="AN36" i="5" s="1"/>
  <c r="S172" i="8" s="1"/>
  <c r="AK61" i="5"/>
  <c r="P180" i="8" s="1"/>
  <c r="AN62" i="5"/>
  <c r="AN6" i="5"/>
  <c r="AK5" i="5"/>
  <c r="P163" i="8" s="1"/>
  <c r="AN75" i="5"/>
  <c r="AK128" i="5"/>
  <c r="AD128" i="5"/>
  <c r="AN19" i="5"/>
  <c r="AK18" i="5"/>
  <c r="P167" i="8" s="1"/>
  <c r="AK40" i="5"/>
  <c r="P173" i="8" s="1"/>
  <c r="AN41" i="5"/>
  <c r="AN40" i="5" s="1"/>
  <c r="S173" i="8" s="1"/>
  <c r="AK99" i="5"/>
  <c r="P189" i="8" s="1"/>
  <c r="AN100" i="5"/>
  <c r="AK139" i="5"/>
  <c r="P197" i="8" s="1"/>
  <c r="AN140" i="5"/>
  <c r="AN44" i="5"/>
  <c r="AK43" i="5"/>
  <c r="P174" i="8" s="1"/>
  <c r="AN69" i="5"/>
  <c r="AN132" i="5"/>
  <c r="AN131" i="5" s="1"/>
  <c r="S195" i="8" s="1"/>
  <c r="AK131" i="5"/>
  <c r="P195" i="8" s="1"/>
  <c r="AK92" i="5"/>
  <c r="P187" i="8" s="1"/>
  <c r="AN93" i="5"/>
  <c r="AN92" i="5" s="1"/>
  <c r="S187" i="8" s="1"/>
  <c r="AN24" i="5"/>
  <c r="AK23" i="5"/>
  <c r="P168" i="8" s="1"/>
  <c r="AN59" i="5"/>
  <c r="AK58" i="5"/>
  <c r="P179" i="8" s="1"/>
  <c r="AN106" i="5"/>
  <c r="AN105" i="5" s="1"/>
  <c r="S190" i="8" s="1"/>
  <c r="AK105" i="5"/>
  <c r="P190" i="8" s="1"/>
  <c r="AK30" i="5"/>
  <c r="P170" i="8" s="1"/>
  <c r="AN31" i="5"/>
  <c r="AN30" i="5" s="1"/>
  <c r="S170" i="8" s="1"/>
  <c r="AK66" i="5"/>
  <c r="P181" i="8" s="1"/>
  <c r="AN67" i="5"/>
  <c r="AN66" i="5" s="1"/>
  <c r="S181" i="8" s="1"/>
  <c r="AN112" i="5"/>
  <c r="AK110" i="5"/>
  <c r="P192" i="8" s="1"/>
  <c r="W121" i="5"/>
  <c r="AK121" i="5" s="1"/>
  <c r="AN125" i="5"/>
  <c r="AN28" i="4"/>
  <c r="AK27" i="4"/>
  <c r="AN122" i="5"/>
  <c r="AN109" i="3"/>
  <c r="AN26" i="3"/>
  <c r="AK24" i="3"/>
  <c r="P99" i="8" s="1"/>
  <c r="AN60" i="3"/>
  <c r="AN65" i="3"/>
  <c r="AK64" i="3"/>
  <c r="P109" i="8" s="1"/>
  <c r="AN98" i="3"/>
  <c r="AK96" i="3"/>
  <c r="P115" i="8" s="1"/>
  <c r="AN37" i="3"/>
  <c r="AN34" i="3" s="1"/>
  <c r="S102" i="8" s="1"/>
  <c r="AK34" i="3"/>
  <c r="P102" i="8" s="1"/>
  <c r="AN17" i="3"/>
  <c r="AN16" i="3" s="1"/>
  <c r="S97" i="8" s="1"/>
  <c r="AK16" i="3"/>
  <c r="P97" i="8" s="1"/>
  <c r="AK73" i="3"/>
  <c r="P112" i="8" s="1"/>
  <c r="AN74" i="3"/>
  <c r="AK91" i="3"/>
  <c r="P114" i="8" s="1"/>
  <c r="AN93" i="3"/>
  <c r="AN55" i="3"/>
  <c r="AN54" i="3" s="1"/>
  <c r="S107" i="8" s="1"/>
  <c r="AK54" i="3"/>
  <c r="P107" i="8" s="1"/>
  <c r="AK21" i="3"/>
  <c r="P98" i="8" s="1"/>
  <c r="AN23" i="3"/>
  <c r="AN47" i="3"/>
  <c r="AK117" i="3"/>
  <c r="P119" i="8" s="1"/>
  <c r="AN118" i="3"/>
  <c r="AN12" i="3"/>
  <c r="AN11" i="3" s="1"/>
  <c r="S95" i="8" s="1"/>
  <c r="AK11" i="3"/>
  <c r="P95" i="8" s="1"/>
  <c r="AD61" i="3"/>
  <c r="W61" i="3"/>
  <c r="AK61" i="3" s="1"/>
  <c r="AN102" i="3"/>
  <c r="AK101" i="3"/>
  <c r="P117" i="8" s="1"/>
  <c r="AN126" i="3"/>
  <c r="AK125" i="3"/>
  <c r="P121" i="8" s="1"/>
  <c r="AN41" i="3"/>
  <c r="AN40" i="3" s="1"/>
  <c r="S103" i="8" s="1"/>
  <c r="AK40" i="3"/>
  <c r="P103" i="8" s="1"/>
  <c r="AK28" i="3"/>
  <c r="P100" i="8" s="1"/>
  <c r="AN29" i="3"/>
  <c r="AN69" i="3"/>
  <c r="AK68" i="3"/>
  <c r="P111" i="8" s="1"/>
  <c r="AN87" i="3"/>
  <c r="AN130" i="3"/>
  <c r="AN129" i="3" s="1"/>
  <c r="S122" i="8" s="1"/>
  <c r="AK129" i="3"/>
  <c r="P122" i="8" s="1"/>
  <c r="AN6" i="6"/>
  <c r="AN16" i="6"/>
  <c r="AK14" i="6"/>
  <c r="P201" i="8" s="1"/>
  <c r="AK40" i="6"/>
  <c r="P205" i="8" s="1"/>
  <c r="AN44" i="6"/>
  <c r="AN48" i="6"/>
  <c r="AK47" i="6"/>
  <c r="P206" i="8" s="1"/>
  <c r="AK22" i="6"/>
  <c r="P202" i="8" s="1"/>
  <c r="AN23" i="6"/>
  <c r="AN33" i="6"/>
  <c r="W7" i="3"/>
  <c r="AK7" i="3" s="1"/>
  <c r="AD7" i="3"/>
  <c r="AD8" i="3"/>
  <c r="W8" i="3"/>
  <c r="AK8" i="3" s="1"/>
  <c r="V205" i="2"/>
  <c r="W205" i="2" s="1"/>
  <c r="AK205" i="2" s="1"/>
  <c r="V204" i="2"/>
  <c r="W204" i="2" s="1"/>
  <c r="V201" i="2"/>
  <c r="W201" i="2" s="1"/>
  <c r="V200" i="2"/>
  <c r="W200" i="2" s="1"/>
  <c r="AK200" i="2" s="1"/>
  <c r="V199" i="2"/>
  <c r="W199" i="2" s="1"/>
  <c r="AK199" i="2" s="1"/>
  <c r="V197" i="2"/>
  <c r="W197" i="2" s="1"/>
  <c r="AK197" i="2" s="1"/>
  <c r="V196" i="2"/>
  <c r="W196" i="2" s="1"/>
  <c r="AN196" i="2" s="1"/>
  <c r="V195" i="2"/>
  <c r="W195" i="2" s="1"/>
  <c r="AK195" i="2" s="1"/>
  <c r="V194" i="2"/>
  <c r="W194" i="2" s="1"/>
  <c r="AK194" i="2" s="1"/>
  <c r="V190" i="2"/>
  <c r="W190" i="2" s="1"/>
  <c r="AK190" i="2" s="1"/>
  <c r="V188" i="2"/>
  <c r="W188" i="2" s="1"/>
  <c r="AK188" i="2" s="1"/>
  <c r="V178" i="2"/>
  <c r="W178" i="2" s="1"/>
  <c r="AK178" i="2" s="1"/>
  <c r="V179" i="2"/>
  <c r="W179" i="2" s="1"/>
  <c r="AK179" i="2" s="1"/>
  <c r="V181" i="2"/>
  <c r="W181" i="2" s="1"/>
  <c r="AK181" i="2" s="1"/>
  <c r="V177" i="2"/>
  <c r="W177" i="2" s="1"/>
  <c r="AK177" i="2" s="1"/>
  <c r="V175" i="2"/>
  <c r="W175" i="2" s="1"/>
  <c r="AK175" i="2" s="1"/>
  <c r="V174" i="2"/>
  <c r="W174" i="2" s="1"/>
  <c r="AK174" i="2" s="1"/>
  <c r="V172" i="2"/>
  <c r="W172" i="2" s="1"/>
  <c r="AK172" i="2" s="1"/>
  <c r="V171" i="2"/>
  <c r="W171" i="2" s="1"/>
  <c r="AK171" i="2" s="1"/>
  <c r="V167" i="2"/>
  <c r="W167" i="2" s="1"/>
  <c r="AK167" i="2" s="1"/>
  <c r="V168" i="2"/>
  <c r="W168" i="2" s="1"/>
  <c r="AK168" i="2" s="1"/>
  <c r="V169" i="2"/>
  <c r="W169" i="2" s="1"/>
  <c r="V166" i="2"/>
  <c r="W166" i="2" s="1"/>
  <c r="AK166" i="2" s="1"/>
  <c r="V162" i="2"/>
  <c r="W162" i="2" s="1"/>
  <c r="AK162" i="2" s="1"/>
  <c r="V163" i="2"/>
  <c r="W163" i="2" s="1"/>
  <c r="AK163" i="2" s="1"/>
  <c r="V161" i="2"/>
  <c r="W161" i="2" s="1"/>
  <c r="AK161" i="2" s="1"/>
  <c r="V156" i="2"/>
  <c r="W156" i="2" s="1"/>
  <c r="AK156" i="2" s="1"/>
  <c r="V157" i="2"/>
  <c r="W157" i="2" s="1"/>
  <c r="AK157" i="2" s="1"/>
  <c r="V158" i="2"/>
  <c r="W158" i="2" s="1"/>
  <c r="AK158" i="2" s="1"/>
  <c r="V159" i="2"/>
  <c r="W159" i="2" s="1"/>
  <c r="AK159" i="2" s="1"/>
  <c r="V155" i="2"/>
  <c r="W155" i="2" s="1"/>
  <c r="V150" i="2"/>
  <c r="W150" i="2" s="1"/>
  <c r="AK150" i="2" s="1"/>
  <c r="V151" i="2"/>
  <c r="W151" i="2" s="1"/>
  <c r="AN151" i="2" s="1"/>
  <c r="V152" i="2"/>
  <c r="W152" i="2" s="1"/>
  <c r="AK152" i="2" s="1"/>
  <c r="V153" i="2"/>
  <c r="W153" i="2" s="1"/>
  <c r="AK153" i="2" s="1"/>
  <c r="V149" i="2"/>
  <c r="W149" i="2" s="1"/>
  <c r="AK149" i="2" s="1"/>
  <c r="V147" i="2"/>
  <c r="W147" i="2" s="1"/>
  <c r="AK147" i="2" s="1"/>
  <c r="V146" i="2"/>
  <c r="V142" i="2"/>
  <c r="W142" i="2" s="1"/>
  <c r="AK142" i="2" s="1"/>
  <c r="V143" i="2"/>
  <c r="W143" i="2" s="1"/>
  <c r="V144" i="2"/>
  <c r="W144" i="2" s="1"/>
  <c r="V141" i="2"/>
  <c r="W141" i="2" s="1"/>
  <c r="V139" i="2"/>
  <c r="V133" i="2"/>
  <c r="V138" i="2"/>
  <c r="W138" i="2" s="1"/>
  <c r="AK138" i="2" s="1"/>
  <c r="V137" i="2"/>
  <c r="W137" i="2" s="1"/>
  <c r="AK137" i="2" s="1"/>
  <c r="V136" i="2"/>
  <c r="W136" i="2" s="1"/>
  <c r="V134" i="2"/>
  <c r="W134" i="2" s="1"/>
  <c r="V132" i="2"/>
  <c r="W132" i="2" s="1"/>
  <c r="AK132" i="2" s="1"/>
  <c r="V127" i="2"/>
  <c r="W127" i="2" s="1"/>
  <c r="AK127" i="2" s="1"/>
  <c r="V129" i="2"/>
  <c r="W129" i="2" s="1"/>
  <c r="AK129" i="2" s="1"/>
  <c r="AK128" i="2"/>
  <c r="V125" i="2"/>
  <c r="W125" i="2" s="1"/>
  <c r="AK125" i="2" s="1"/>
  <c r="V121" i="2"/>
  <c r="W121" i="2" s="1"/>
  <c r="AK121" i="2" s="1"/>
  <c r="V108" i="2"/>
  <c r="W108" i="2" s="1"/>
  <c r="V109" i="2"/>
  <c r="W109" i="2" s="1"/>
  <c r="AN109" i="2" s="1"/>
  <c r="V110" i="2"/>
  <c r="W110" i="2" s="1"/>
  <c r="AK110" i="2" s="1"/>
  <c r="V111" i="2"/>
  <c r="W111" i="2" s="1"/>
  <c r="AK111" i="2" s="1"/>
  <c r="V112" i="2"/>
  <c r="W112" i="2" s="1"/>
  <c r="AN112" i="2" s="1"/>
  <c r="V113" i="2"/>
  <c r="W113" i="2" s="1"/>
  <c r="AK113" i="2" s="1"/>
  <c r="V114" i="2"/>
  <c r="W114" i="2" s="1"/>
  <c r="AK114" i="2" s="1"/>
  <c r="V115" i="2"/>
  <c r="W115" i="2" s="1"/>
  <c r="AK115" i="2" s="1"/>
  <c r="V116" i="2"/>
  <c r="W116" i="2" s="1"/>
  <c r="AK116" i="2" s="1"/>
  <c r="V117" i="2"/>
  <c r="W117" i="2" s="1"/>
  <c r="AK117" i="2" s="1"/>
  <c r="V118" i="2"/>
  <c r="W118" i="2" s="1"/>
  <c r="AK118" i="2" s="1"/>
  <c r="V107" i="2"/>
  <c r="W107" i="2" s="1"/>
  <c r="V103" i="2"/>
  <c r="W103" i="2" s="1"/>
  <c r="AK103" i="2" s="1"/>
  <c r="V104" i="2"/>
  <c r="W104" i="2" s="1"/>
  <c r="AK104" i="2" s="1"/>
  <c r="V105" i="2"/>
  <c r="W105" i="2" s="1"/>
  <c r="AN105" i="2" s="1"/>
  <c r="V102" i="2"/>
  <c r="W102" i="2" s="1"/>
  <c r="V98" i="2"/>
  <c r="W98" i="2" s="1"/>
  <c r="AK98" i="2" s="1"/>
  <c r="V99" i="2"/>
  <c r="W99" i="2" s="1"/>
  <c r="AN99" i="2" s="1"/>
  <c r="V94" i="2"/>
  <c r="W94" i="2" s="1"/>
  <c r="AK94" i="2" s="1"/>
  <c r="V95" i="2"/>
  <c r="V96" i="2"/>
  <c r="W96" i="2" s="1"/>
  <c r="AK96" i="2" s="1"/>
  <c r="V97" i="2"/>
  <c r="V93" i="2"/>
  <c r="W93" i="2" s="1"/>
  <c r="AK93" i="2" s="1"/>
  <c r="V90" i="2"/>
  <c r="W90" i="2" s="1"/>
  <c r="AK90" i="2" s="1"/>
  <c r="V87" i="2"/>
  <c r="W87" i="2" s="1"/>
  <c r="AK87" i="2" s="1"/>
  <c r="V88" i="2"/>
  <c r="W88" i="2" s="1"/>
  <c r="AN88" i="2" s="1"/>
  <c r="V89" i="2"/>
  <c r="W89" i="2" s="1"/>
  <c r="V86" i="2"/>
  <c r="W86" i="2" s="1"/>
  <c r="AK86" i="2" s="1"/>
  <c r="V79" i="2"/>
  <c r="W79" i="2" s="1"/>
  <c r="AK79" i="2" s="1"/>
  <c r="V80" i="2"/>
  <c r="W80" i="2" s="1"/>
  <c r="AN80" i="2" s="1"/>
  <c r="V81" i="2"/>
  <c r="W81" i="2" s="1"/>
  <c r="AK81" i="2" s="1"/>
  <c r="V82" i="2"/>
  <c r="W82" i="2" s="1"/>
  <c r="AK82" i="2" s="1"/>
  <c r="V83" i="2"/>
  <c r="W83" i="2" s="1"/>
  <c r="AK83" i="2" s="1"/>
  <c r="V84" i="2"/>
  <c r="W84" i="2" s="1"/>
  <c r="AK84" i="2" s="1"/>
  <c r="V78" i="2"/>
  <c r="W78" i="2" s="1"/>
  <c r="AK78" i="2" s="1"/>
  <c r="V75" i="2"/>
  <c r="W75" i="2" s="1"/>
  <c r="V76" i="2"/>
  <c r="W76" i="2" s="1"/>
  <c r="AK76" i="2" s="1"/>
  <c r="V74" i="2"/>
  <c r="W74" i="2" s="1"/>
  <c r="V71" i="2"/>
  <c r="W71" i="2" s="1"/>
  <c r="AK71" i="2" s="1"/>
  <c r="V69" i="2"/>
  <c r="W69" i="2" s="1"/>
  <c r="AK69" i="2" s="1"/>
  <c r="V62" i="2"/>
  <c r="W62" i="2" s="1"/>
  <c r="AK62" i="2" s="1"/>
  <c r="V63" i="2"/>
  <c r="W63" i="2" s="1"/>
  <c r="AK63" i="2" s="1"/>
  <c r="V64" i="2"/>
  <c r="W64" i="2" s="1"/>
  <c r="AK64" i="2" s="1"/>
  <c r="V65" i="2"/>
  <c r="W65" i="2" s="1"/>
  <c r="AK65" i="2" s="1"/>
  <c r="V66" i="2"/>
  <c r="W66" i="2" s="1"/>
  <c r="AK66" i="2" s="1"/>
  <c r="V67" i="2"/>
  <c r="W67" i="2" s="1"/>
  <c r="AK67" i="2" s="1"/>
  <c r="V61" i="2"/>
  <c r="W61" i="2" s="1"/>
  <c r="AK61" i="2" s="1"/>
  <c r="W57" i="2"/>
  <c r="AK57" i="2" s="1"/>
  <c r="V58" i="2"/>
  <c r="W58" i="2" s="1"/>
  <c r="AK58" i="2" s="1"/>
  <c r="W59" i="2"/>
  <c r="AK59" i="2" s="1"/>
  <c r="V54" i="2"/>
  <c r="W54" i="2" s="1"/>
  <c r="V55" i="2"/>
  <c r="W55" i="2" s="1"/>
  <c r="AK55" i="2" s="1"/>
  <c r="V53" i="2"/>
  <c r="W53" i="2" s="1"/>
  <c r="V51" i="2"/>
  <c r="W51" i="2" s="1"/>
  <c r="AK51" i="2" s="1"/>
  <c r="V50" i="2"/>
  <c r="W50" i="2" s="1"/>
  <c r="AK50" i="2" s="1"/>
  <c r="V45" i="2"/>
  <c r="W45" i="2" s="1"/>
  <c r="AK45" i="2" s="1"/>
  <c r="V46" i="2"/>
  <c r="AK46" i="2" s="1"/>
  <c r="V47" i="2"/>
  <c r="W47" i="2" s="1"/>
  <c r="AK47" i="2" s="1"/>
  <c r="V48" i="2"/>
  <c r="W48" i="2" s="1"/>
  <c r="AK48" i="2" s="1"/>
  <c r="V44" i="2"/>
  <c r="W44" i="2" s="1"/>
  <c r="AK44" i="2" s="1"/>
  <c r="V42" i="2"/>
  <c r="W42" i="2" s="1"/>
  <c r="V40" i="2"/>
  <c r="W40" i="2" s="1"/>
  <c r="V36" i="2"/>
  <c r="W36" i="2" s="1"/>
  <c r="V37" i="2"/>
  <c r="W37" i="2" s="1"/>
  <c r="AK37" i="2" s="1"/>
  <c r="V35" i="2"/>
  <c r="W35" i="2" s="1"/>
  <c r="V31" i="2"/>
  <c r="W31" i="2" s="1"/>
  <c r="V32" i="2"/>
  <c r="V33" i="2"/>
  <c r="W33" i="2" s="1"/>
  <c r="AK33" i="2" s="1"/>
  <c r="V30" i="2"/>
  <c r="W30" i="2" s="1"/>
  <c r="AK30" i="2" s="1"/>
  <c r="V23" i="2"/>
  <c r="W23" i="2" s="1"/>
  <c r="V24" i="2"/>
  <c r="W24" i="2" s="1"/>
  <c r="AK24" i="2" s="1"/>
  <c r="V25" i="2"/>
  <c r="V26" i="2"/>
  <c r="V27" i="2"/>
  <c r="V28" i="2"/>
  <c r="W28" i="2" s="1"/>
  <c r="AK28" i="2" s="1"/>
  <c r="V14" i="2"/>
  <c r="W14" i="2" s="1"/>
  <c r="AK14" i="2" s="1"/>
  <c r="V13" i="2"/>
  <c r="W7" i="2"/>
  <c r="AK7" i="2" s="1"/>
  <c r="V8" i="2"/>
  <c r="W8" i="2" s="1"/>
  <c r="AK8" i="2" s="1"/>
  <c r="V9" i="2"/>
  <c r="W9" i="2" s="1"/>
  <c r="AK9" i="2" s="1"/>
  <c r="V10" i="2"/>
  <c r="W10" i="2" s="1"/>
  <c r="AK10" i="2" s="1"/>
  <c r="V11" i="2"/>
  <c r="W11" i="2" s="1"/>
  <c r="AK11" i="2" s="1"/>
  <c r="V211" i="1"/>
  <c r="W211" i="1" s="1"/>
  <c r="AK211" i="1" s="1"/>
  <c r="V210" i="1"/>
  <c r="W210" i="1" s="1"/>
  <c r="V208" i="1"/>
  <c r="W208" i="1" s="1"/>
  <c r="AK208" i="1" s="1"/>
  <c r="V207" i="1"/>
  <c r="W207" i="1" s="1"/>
  <c r="AK207" i="1" s="1"/>
  <c r="V205" i="1"/>
  <c r="W205" i="1" s="1"/>
  <c r="AK205" i="1" s="1"/>
  <c r="V204" i="1"/>
  <c r="W204" i="1" s="1"/>
  <c r="AK204" i="1" s="1"/>
  <c r="V201" i="1"/>
  <c r="W201" i="1" s="1"/>
  <c r="AK201" i="1" s="1"/>
  <c r="V202" i="1"/>
  <c r="W202" i="1" s="1"/>
  <c r="AK202" i="1" s="1"/>
  <c r="V200" i="1"/>
  <c r="W200" i="1" s="1"/>
  <c r="AK200" i="1" s="1"/>
  <c r="V197" i="1"/>
  <c r="W197" i="1" s="1"/>
  <c r="AK197" i="1" s="1"/>
  <c r="V198" i="1"/>
  <c r="W198" i="1" s="1"/>
  <c r="AK198" i="1" s="1"/>
  <c r="V196" i="1"/>
  <c r="W196" i="1" s="1"/>
  <c r="AK196" i="1" s="1"/>
  <c r="V194" i="1"/>
  <c r="W194" i="1" s="1"/>
  <c r="AK194" i="1" s="1"/>
  <c r="V193" i="1"/>
  <c r="W193" i="1" s="1"/>
  <c r="AK193" i="1" s="1"/>
  <c r="V188" i="1"/>
  <c r="W188" i="1" s="1"/>
  <c r="AK188" i="1" s="1"/>
  <c r="V189" i="1"/>
  <c r="W189" i="1" s="1"/>
  <c r="AK189" i="1" s="1"/>
  <c r="V190" i="1"/>
  <c r="W190" i="1" s="1"/>
  <c r="AK190" i="1" s="1"/>
  <c r="V191" i="1"/>
  <c r="W191" i="1" s="1"/>
  <c r="AK191" i="1" s="1"/>
  <c r="V187" i="1"/>
  <c r="W187" i="1" s="1"/>
  <c r="AK187" i="1" s="1"/>
  <c r="V185" i="1"/>
  <c r="W185" i="1" s="1"/>
  <c r="AK185" i="1" s="1"/>
  <c r="V181" i="1"/>
  <c r="W181" i="1" s="1"/>
  <c r="AK181" i="1" s="1"/>
  <c r="V182" i="1"/>
  <c r="W182" i="1" s="1"/>
  <c r="AK182" i="1" s="1"/>
  <c r="V183" i="1"/>
  <c r="W183" i="1" s="1"/>
  <c r="AK183" i="1" s="1"/>
  <c r="V180" i="1"/>
  <c r="W180" i="1" s="1"/>
  <c r="AK180" i="1" s="1"/>
  <c r="V177" i="1"/>
  <c r="W177" i="1" s="1"/>
  <c r="AK177" i="1" s="1"/>
  <c r="V178" i="1"/>
  <c r="W178" i="1" s="1"/>
  <c r="AK178" i="1" s="1"/>
  <c r="V176" i="1"/>
  <c r="W176" i="1" s="1"/>
  <c r="AK176" i="1" s="1"/>
  <c r="V174" i="1"/>
  <c r="W174" i="1" s="1"/>
  <c r="AK174" i="1" s="1"/>
  <c r="V173" i="1"/>
  <c r="W173" i="1" s="1"/>
  <c r="AK173" i="1" s="1"/>
  <c r="V168" i="1"/>
  <c r="W168" i="1" s="1"/>
  <c r="AK168" i="1" s="1"/>
  <c r="V169" i="1"/>
  <c r="W169" i="1" s="1"/>
  <c r="AK169" i="1" s="1"/>
  <c r="V170" i="1"/>
  <c r="W170" i="1" s="1"/>
  <c r="AK170" i="1" s="1"/>
  <c r="V167" i="1"/>
  <c r="W167" i="1" s="1"/>
  <c r="AK167" i="1" s="1"/>
  <c r="V165" i="1"/>
  <c r="W165" i="1" s="1"/>
  <c r="AK165" i="1" s="1"/>
  <c r="V162" i="1"/>
  <c r="W162" i="1" s="1"/>
  <c r="AK162" i="1" s="1"/>
  <c r="V163" i="1"/>
  <c r="W163" i="1" s="1"/>
  <c r="AK163" i="1" s="1"/>
  <c r="V164" i="1"/>
  <c r="W164" i="1" s="1"/>
  <c r="V161" i="1"/>
  <c r="W161" i="1" s="1"/>
  <c r="AK161" i="1" s="1"/>
  <c r="V155" i="1"/>
  <c r="W155" i="1" s="1"/>
  <c r="AN155" i="1" s="1"/>
  <c r="V156" i="1"/>
  <c r="W156" i="1" s="1"/>
  <c r="AK156" i="1" s="1"/>
  <c r="V157" i="1"/>
  <c r="W157" i="1" s="1"/>
  <c r="AK157" i="1" s="1"/>
  <c r="V158" i="1"/>
  <c r="W158" i="1" s="1"/>
  <c r="AK158" i="1" s="1"/>
  <c r="V159" i="1"/>
  <c r="W159" i="1" s="1"/>
  <c r="AN159" i="1" s="1"/>
  <c r="V154" i="1"/>
  <c r="W154" i="1" s="1"/>
  <c r="AN154" i="1" s="1"/>
  <c r="V150" i="1"/>
  <c r="W150" i="1" s="1"/>
  <c r="V151" i="1"/>
  <c r="W151" i="1" s="1"/>
  <c r="AK151" i="1" s="1"/>
  <c r="V152" i="1"/>
  <c r="W152" i="1" s="1"/>
  <c r="AK152" i="1" s="1"/>
  <c r="V149" i="1"/>
  <c r="W149" i="1" s="1"/>
  <c r="AK149" i="1" s="1"/>
  <c r="V145" i="1"/>
  <c r="W145" i="1" s="1"/>
  <c r="AK145" i="1" s="1"/>
  <c r="V146" i="1"/>
  <c r="W146" i="1" s="1"/>
  <c r="AK146" i="1" s="1"/>
  <c r="V147" i="1"/>
  <c r="W147" i="1" s="1"/>
  <c r="AK147" i="1" s="1"/>
  <c r="V144" i="1"/>
  <c r="W144" i="1" s="1"/>
  <c r="AK144" i="1" s="1"/>
  <c r="V142" i="1"/>
  <c r="W142" i="1" s="1"/>
  <c r="AK142" i="1" s="1"/>
  <c r="V141" i="1"/>
  <c r="W141" i="1" s="1"/>
  <c r="AK141" i="1" s="1"/>
  <c r="V135" i="1"/>
  <c r="V136" i="1"/>
  <c r="V127" i="1"/>
  <c r="W127" i="1" s="1"/>
  <c r="AK127" i="1" s="1"/>
  <c r="V128" i="1"/>
  <c r="W128" i="1" s="1"/>
  <c r="AK128" i="1" s="1"/>
  <c r="V129" i="1"/>
  <c r="W129" i="1" s="1"/>
  <c r="AK129" i="1" s="1"/>
  <c r="V126" i="1"/>
  <c r="W126" i="1" s="1"/>
  <c r="AK126" i="1" s="1"/>
  <c r="V107" i="1"/>
  <c r="W107" i="1" s="1"/>
  <c r="AK107" i="1" s="1"/>
  <c r="V108" i="1"/>
  <c r="W108" i="1" s="1"/>
  <c r="AK108" i="1" s="1"/>
  <c r="V109" i="1"/>
  <c r="W109" i="1" s="1"/>
  <c r="AK109" i="1" s="1"/>
  <c r="V110" i="1"/>
  <c r="W110" i="1" s="1"/>
  <c r="AK110" i="1" s="1"/>
  <c r="V111" i="1"/>
  <c r="W111" i="1" s="1"/>
  <c r="V112" i="1"/>
  <c r="W112" i="1" s="1"/>
  <c r="AK112" i="1" s="1"/>
  <c r="V113" i="1"/>
  <c r="W113" i="1" s="1"/>
  <c r="AK113" i="1" s="1"/>
  <c r="V115" i="1"/>
  <c r="W115" i="1" s="1"/>
  <c r="AK115" i="1" s="1"/>
  <c r="V116" i="1"/>
  <c r="W116" i="1" s="1"/>
  <c r="AK116" i="1" s="1"/>
  <c r="V117" i="1"/>
  <c r="W117" i="1" s="1"/>
  <c r="AK117" i="1" s="1"/>
  <c r="V118" i="1"/>
  <c r="W118" i="1" s="1"/>
  <c r="AK118" i="1" s="1"/>
  <c r="V119" i="1"/>
  <c r="W119" i="1" s="1"/>
  <c r="AK119" i="1" s="1"/>
  <c r="V120" i="1"/>
  <c r="W120" i="1" s="1"/>
  <c r="V121" i="1"/>
  <c r="W121" i="1" s="1"/>
  <c r="AK121" i="1" s="1"/>
  <c r="V122" i="1"/>
  <c r="W122" i="1" s="1"/>
  <c r="AK122" i="1" s="1"/>
  <c r="V123" i="1"/>
  <c r="W123" i="1" s="1"/>
  <c r="AK123" i="1" s="1"/>
  <c r="V124" i="1"/>
  <c r="W124" i="1" s="1"/>
  <c r="AK124" i="1" s="1"/>
  <c r="V106" i="1"/>
  <c r="W106" i="1" s="1"/>
  <c r="AK106" i="1" s="1"/>
  <c r="V104" i="1"/>
  <c r="W104" i="1" s="1"/>
  <c r="AK104" i="1" s="1"/>
  <c r="V103" i="1"/>
  <c r="W103" i="1" s="1"/>
  <c r="AK103" i="1" s="1"/>
  <c r="V101" i="1"/>
  <c r="W101" i="1" s="1"/>
  <c r="AK101" i="1" s="1"/>
  <c r="V100" i="1"/>
  <c r="W100" i="1" s="1"/>
  <c r="AK100" i="1" s="1"/>
  <c r="V97" i="1"/>
  <c r="W97" i="1" s="1"/>
  <c r="AK97" i="1" s="1"/>
  <c r="V95" i="1"/>
  <c r="W95" i="1" s="1"/>
  <c r="V93" i="1"/>
  <c r="W93" i="1" s="1"/>
  <c r="V94" i="1"/>
  <c r="V96" i="1"/>
  <c r="W96" i="1" s="1"/>
  <c r="AN96" i="1" s="1"/>
  <c r="V98" i="1"/>
  <c r="W98" i="1" s="1"/>
  <c r="AK98" i="1" s="1"/>
  <c r="V89" i="1"/>
  <c r="W89" i="1" s="1"/>
  <c r="AK89" i="1" s="1"/>
  <c r="V90" i="1"/>
  <c r="W90" i="1" s="1"/>
  <c r="AK90" i="1" s="1"/>
  <c r="V88" i="1"/>
  <c r="W88" i="1" s="1"/>
  <c r="AK88" i="1" s="1"/>
  <c r="V86" i="1"/>
  <c r="W86" i="1" s="1"/>
  <c r="AN86" i="1" s="1"/>
  <c r="V79" i="1"/>
  <c r="W79" i="1" s="1"/>
  <c r="V80" i="1"/>
  <c r="W80" i="1" s="1"/>
  <c r="AK80" i="1" s="1"/>
  <c r="V81" i="1"/>
  <c r="W81" i="1" s="1"/>
  <c r="V82" i="1"/>
  <c r="W82" i="1" s="1"/>
  <c r="AK82" i="1" s="1"/>
  <c r="V83" i="1"/>
  <c r="W83" i="1" s="1"/>
  <c r="AK83" i="1" s="1"/>
  <c r="V84" i="1"/>
  <c r="W84" i="1" s="1"/>
  <c r="AN84" i="1" s="1"/>
  <c r="V85" i="1"/>
  <c r="W85" i="1" s="1"/>
  <c r="AK85" i="1" s="1"/>
  <c r="V78" i="1"/>
  <c r="W78" i="1" s="1"/>
  <c r="AK78" i="1" s="1"/>
  <c r="V66" i="1"/>
  <c r="W66" i="1" s="1"/>
  <c r="V67" i="1"/>
  <c r="W67" i="1" s="1"/>
  <c r="AK67" i="1" s="1"/>
  <c r="V68" i="1"/>
  <c r="W68" i="1" s="1"/>
  <c r="AK68" i="1" s="1"/>
  <c r="V69" i="1"/>
  <c r="W69" i="1" s="1"/>
  <c r="V70" i="1"/>
  <c r="W70" i="1" s="1"/>
  <c r="AK70" i="1" s="1"/>
  <c r="V71" i="1"/>
  <c r="W71" i="1" s="1"/>
  <c r="AK71" i="1" s="1"/>
  <c r="V72" i="1"/>
  <c r="W72" i="1" s="1"/>
  <c r="AK72" i="1" s="1"/>
  <c r="V73" i="1"/>
  <c r="W73" i="1" s="1"/>
  <c r="AK73" i="1" s="1"/>
  <c r="V74" i="1"/>
  <c r="W74" i="1" s="1"/>
  <c r="V75" i="1"/>
  <c r="W75" i="1" s="1"/>
  <c r="AK75" i="1" s="1"/>
  <c r="V76" i="1"/>
  <c r="W76" i="1" s="1"/>
  <c r="V60" i="1"/>
  <c r="W60" i="1" s="1"/>
  <c r="AK60" i="1" s="1"/>
  <c r="V61" i="1"/>
  <c r="W61" i="1" s="1"/>
  <c r="AK61" i="1" s="1"/>
  <c r="V62" i="1"/>
  <c r="W62" i="1" s="1"/>
  <c r="AK62" i="1" s="1"/>
  <c r="V63" i="1"/>
  <c r="W63" i="1" s="1"/>
  <c r="AK63" i="1" s="1"/>
  <c r="V64" i="1"/>
  <c r="W64" i="1" s="1"/>
  <c r="AK64" i="1" s="1"/>
  <c r="V65" i="1"/>
  <c r="W65" i="1" s="1"/>
  <c r="AK65" i="1" s="1"/>
  <c r="V59" i="1"/>
  <c r="W59" i="1" s="1"/>
  <c r="AK59" i="1" s="1"/>
  <c r="V53" i="1"/>
  <c r="W53" i="1" s="1"/>
  <c r="V46" i="1"/>
  <c r="W46" i="1" s="1"/>
  <c r="V40" i="1"/>
  <c r="W40" i="1" s="1"/>
  <c r="AK40" i="1" s="1"/>
  <c r="V17" i="1"/>
  <c r="W17" i="1" s="1"/>
  <c r="AK17" i="1" s="1"/>
  <c r="V13" i="1"/>
  <c r="W13" i="1" s="1"/>
  <c r="AK13" i="1" s="1"/>
  <c r="V54" i="1"/>
  <c r="W54" i="1" s="1"/>
  <c r="AK54" i="1" s="1"/>
  <c r="V55" i="1"/>
  <c r="W55" i="1" s="1"/>
  <c r="AK55" i="1" s="1"/>
  <c r="V51" i="1"/>
  <c r="W51" i="1" s="1"/>
  <c r="AK51" i="1" s="1"/>
  <c r="V47" i="1"/>
  <c r="W47" i="1" s="1"/>
  <c r="AK47" i="1" s="1"/>
  <c r="V48" i="1"/>
  <c r="W48" i="1" s="1"/>
  <c r="AK48" i="1" s="1"/>
  <c r="V49" i="1"/>
  <c r="W49" i="1" s="1"/>
  <c r="AK49" i="1" s="1"/>
  <c r="V50" i="1"/>
  <c r="W50" i="1" s="1"/>
  <c r="AK50" i="1" s="1"/>
  <c r="V45" i="1"/>
  <c r="W45" i="1" s="1"/>
  <c r="AK45" i="1" s="1"/>
  <c r="V43" i="1"/>
  <c r="W43" i="1" s="1"/>
  <c r="V42" i="1"/>
  <c r="W42" i="1" s="1"/>
  <c r="AK42" i="1" s="1"/>
  <c r="V41" i="1"/>
  <c r="W41" i="1" s="1"/>
  <c r="AK41" i="1" s="1"/>
  <c r="V38" i="1"/>
  <c r="W38" i="1" s="1"/>
  <c r="AK38" i="1" s="1"/>
  <c r="V37" i="1"/>
  <c r="W37" i="1" s="1"/>
  <c r="AK37" i="1" s="1"/>
  <c r="V35" i="1"/>
  <c r="W35" i="1" s="1"/>
  <c r="AK35" i="1" s="1"/>
  <c r="V34" i="1"/>
  <c r="W34" i="1" s="1"/>
  <c r="AN34" i="1" s="1"/>
  <c r="V28" i="1"/>
  <c r="W28" i="1" s="1"/>
  <c r="AK28" i="1" s="1"/>
  <c r="V29" i="1"/>
  <c r="W29" i="1" s="1"/>
  <c r="AK29" i="1" s="1"/>
  <c r="V30" i="1"/>
  <c r="W30" i="1" s="1"/>
  <c r="AK30" i="1" s="1"/>
  <c r="V25" i="1"/>
  <c r="W25" i="1" s="1"/>
  <c r="V24" i="1"/>
  <c r="W24" i="1" s="1"/>
  <c r="AK24" i="1" s="1"/>
  <c r="V22" i="1"/>
  <c r="W22" i="1" s="1"/>
  <c r="V18" i="1"/>
  <c r="W18" i="1" s="1"/>
  <c r="AK18" i="1" s="1"/>
  <c r="V19" i="1"/>
  <c r="W19" i="1" s="1"/>
  <c r="AK19" i="1" s="1"/>
  <c r="V20" i="1"/>
  <c r="W20" i="1" s="1"/>
  <c r="V14" i="1"/>
  <c r="W14" i="1" s="1"/>
  <c r="AK14" i="1" s="1"/>
  <c r="V15" i="1"/>
  <c r="W15" i="1" s="1"/>
  <c r="V7" i="1"/>
  <c r="V8" i="1"/>
  <c r="W8" i="1" s="1"/>
  <c r="V9" i="1"/>
  <c r="W9" i="1" s="1"/>
  <c r="AK9" i="1" s="1"/>
  <c r="V10" i="1"/>
  <c r="W10" i="1" s="1"/>
  <c r="V11" i="1"/>
  <c r="W11" i="1" s="1"/>
  <c r="AK11" i="1" s="1"/>
  <c r="AN9" i="5" l="1"/>
  <c r="S164" i="8" s="1"/>
  <c r="AN156" i="4"/>
  <c r="AK144" i="4"/>
  <c r="P156" i="8" s="1"/>
  <c r="AN148" i="4"/>
  <c r="AN144" i="4" s="1"/>
  <c r="S156" i="8" s="1"/>
  <c r="AK150" i="4"/>
  <c r="P157" i="8" s="1"/>
  <c r="AN154" i="4"/>
  <c r="AN150" i="4" s="1"/>
  <c r="S157" i="8" s="1"/>
  <c r="AN7" i="4"/>
  <c r="AK169" i="2"/>
  <c r="AN32" i="2"/>
  <c r="W32" i="2"/>
  <c r="AN91" i="3"/>
  <c r="S114" i="8" s="1"/>
  <c r="AN12" i="5"/>
  <c r="S165" i="8" s="1"/>
  <c r="AN141" i="5"/>
  <c r="AN5" i="5"/>
  <c r="S163" i="8" s="1"/>
  <c r="AN43" i="5"/>
  <c r="S174" i="8" s="1"/>
  <c r="AN76" i="5"/>
  <c r="AK74" i="5"/>
  <c r="P183" i="8" s="1"/>
  <c r="AN137" i="5"/>
  <c r="AK134" i="5"/>
  <c r="P196" i="8" s="1"/>
  <c r="AK85" i="5"/>
  <c r="P186" i="8" s="1"/>
  <c r="AN86" i="5"/>
  <c r="AN138" i="5"/>
  <c r="AN58" i="5"/>
  <c r="S179" i="8" s="1"/>
  <c r="AN18" i="5"/>
  <c r="S167" i="8" s="1"/>
  <c r="AN23" i="5"/>
  <c r="S168" i="8" s="1"/>
  <c r="AN139" i="5"/>
  <c r="S197" i="8" s="1"/>
  <c r="AN61" i="5"/>
  <c r="S180" i="8" s="1"/>
  <c r="AN32" i="5"/>
  <c r="S171" i="8" s="1"/>
  <c r="AN94" i="5"/>
  <c r="S188" i="8" s="1"/>
  <c r="P162" i="8"/>
  <c r="P166" i="8"/>
  <c r="AN99" i="5"/>
  <c r="S189" i="8" s="1"/>
  <c r="AN74" i="5"/>
  <c r="S183" i="8" s="1"/>
  <c r="AN128" i="5"/>
  <c r="AN123" i="5" s="1"/>
  <c r="S194" i="8" s="1"/>
  <c r="AN121" i="5"/>
  <c r="AN28" i="3"/>
  <c r="S100" i="8" s="1"/>
  <c r="AN85" i="5"/>
  <c r="S186" i="8" s="1"/>
  <c r="AN53" i="4"/>
  <c r="S134" i="8" s="1"/>
  <c r="AN178" i="1"/>
  <c r="AN18" i="1"/>
  <c r="AN49" i="1"/>
  <c r="AN70" i="1"/>
  <c r="AN83" i="1"/>
  <c r="AN167" i="1"/>
  <c r="AK166" i="1"/>
  <c r="P33" i="8" s="1"/>
  <c r="AK199" i="1"/>
  <c r="P42" i="8" s="1"/>
  <c r="AN200" i="1"/>
  <c r="AD7" i="1"/>
  <c r="AN41" i="1"/>
  <c r="AN51" i="1"/>
  <c r="AN59" i="1"/>
  <c r="AK57" i="1"/>
  <c r="P17" i="8" s="1"/>
  <c r="AN75" i="1"/>
  <c r="AN30" i="1"/>
  <c r="AN42" i="1"/>
  <c r="AN55" i="1"/>
  <c r="AN65" i="1"/>
  <c r="AN74" i="1"/>
  <c r="AN66" i="1"/>
  <c r="AN124" i="1"/>
  <c r="AN116" i="1"/>
  <c r="AN107" i="1"/>
  <c r="AN142" i="1"/>
  <c r="AN173" i="1"/>
  <c r="AK172" i="1"/>
  <c r="AN181" i="1"/>
  <c r="AN194" i="1"/>
  <c r="AN205" i="1"/>
  <c r="AN14" i="1"/>
  <c r="AN29" i="1"/>
  <c r="AN54" i="1"/>
  <c r="AN64" i="1"/>
  <c r="AN73" i="1"/>
  <c r="AN123" i="1"/>
  <c r="AN115" i="1"/>
  <c r="AN126" i="1"/>
  <c r="AN144" i="1"/>
  <c r="AK143" i="1"/>
  <c r="P29" i="8" s="1"/>
  <c r="AN163" i="1"/>
  <c r="AN174" i="1"/>
  <c r="AK184" i="1"/>
  <c r="P38" i="8" s="1"/>
  <c r="AN185" i="1"/>
  <c r="AN184" i="1" s="1"/>
  <c r="S38" i="8" s="1"/>
  <c r="AN196" i="1"/>
  <c r="AK195" i="1"/>
  <c r="P41" i="8" s="1"/>
  <c r="AK206" i="1"/>
  <c r="P44" i="8" s="1"/>
  <c r="AN207" i="1"/>
  <c r="AN45" i="1"/>
  <c r="AK44" i="1"/>
  <c r="P15" i="8" s="1"/>
  <c r="AN72" i="1"/>
  <c r="AN97" i="1"/>
  <c r="AN129" i="1"/>
  <c r="AN162" i="1"/>
  <c r="AN208" i="1"/>
  <c r="AN17" i="1"/>
  <c r="AN16" i="1" s="1"/>
  <c r="S8" i="8" s="1"/>
  <c r="AK16" i="1"/>
  <c r="P8" i="8" s="1"/>
  <c r="AN71" i="1"/>
  <c r="AN90" i="1"/>
  <c r="AN100" i="1"/>
  <c r="AN99" i="1" s="1"/>
  <c r="S22" i="8" s="1"/>
  <c r="AK99" i="1"/>
  <c r="P22" i="8" s="1"/>
  <c r="AN112" i="1"/>
  <c r="AN158" i="1"/>
  <c r="AN197" i="1"/>
  <c r="AN40" i="1"/>
  <c r="AK39" i="1"/>
  <c r="P14" i="8" s="1"/>
  <c r="AN101" i="1"/>
  <c r="AN145" i="1"/>
  <c r="AN190" i="1"/>
  <c r="AK36" i="1"/>
  <c r="P13" i="8" s="1"/>
  <c r="AN37" i="1"/>
  <c r="AN48" i="1"/>
  <c r="AN46" i="1"/>
  <c r="AN60" i="1"/>
  <c r="AN69" i="1"/>
  <c r="AN82" i="1"/>
  <c r="AN98" i="1"/>
  <c r="AN103" i="1"/>
  <c r="AN102" i="1" s="1"/>
  <c r="S23" i="8" s="1"/>
  <c r="AK102" i="1"/>
  <c r="P23" i="8" s="1"/>
  <c r="AN119" i="1"/>
  <c r="AN110" i="1"/>
  <c r="AN149" i="1"/>
  <c r="AK148" i="1"/>
  <c r="P30" i="8" s="1"/>
  <c r="AK153" i="1"/>
  <c r="P31" i="8" s="1"/>
  <c r="AN156" i="1"/>
  <c r="AN170" i="1"/>
  <c r="AN180" i="1"/>
  <c r="AN179" i="1" s="1"/>
  <c r="S37" i="8" s="1"/>
  <c r="AK179" i="1"/>
  <c r="P37" i="8" s="1"/>
  <c r="AN189" i="1"/>
  <c r="AN202" i="1"/>
  <c r="AK12" i="1"/>
  <c r="P7" i="8" s="1"/>
  <c r="AN13" i="1"/>
  <c r="AN88" i="1"/>
  <c r="AN122" i="1"/>
  <c r="AN147" i="1"/>
  <c r="AK175" i="1"/>
  <c r="P36" i="8" s="1"/>
  <c r="AN176" i="1"/>
  <c r="AN198" i="1"/>
  <c r="AN11" i="1"/>
  <c r="AN19" i="1"/>
  <c r="AN50" i="1"/>
  <c r="AN62" i="1"/>
  <c r="AN121" i="1"/>
  <c r="AN128" i="1"/>
  <c r="AN146" i="1"/>
  <c r="AN165" i="1"/>
  <c r="AN191" i="1"/>
  <c r="AK32" i="1"/>
  <c r="P12" i="8" s="1"/>
  <c r="AN35" i="1"/>
  <c r="AN32" i="1" s="1"/>
  <c r="S12" i="8" s="1"/>
  <c r="AN61" i="1"/>
  <c r="AK87" i="1"/>
  <c r="P19" i="8" s="1"/>
  <c r="AN89" i="1"/>
  <c r="AK125" i="1"/>
  <c r="P25" i="8" s="1"/>
  <c r="AN127" i="1"/>
  <c r="AN157" i="1"/>
  <c r="AN177" i="1"/>
  <c r="AK209" i="1"/>
  <c r="P45" i="8" s="1"/>
  <c r="AN211" i="1"/>
  <c r="AN209" i="1" s="1"/>
  <c r="S45" i="8" s="1"/>
  <c r="AN9" i="1"/>
  <c r="AN8" i="1"/>
  <c r="AK23" i="1"/>
  <c r="P9" i="8" s="1"/>
  <c r="AN24" i="1"/>
  <c r="AN23" i="1" s="1"/>
  <c r="S9" i="8" s="1"/>
  <c r="AN38" i="1"/>
  <c r="AN47" i="1"/>
  <c r="AN53" i="1"/>
  <c r="AK52" i="1"/>
  <c r="P16" i="8" s="1"/>
  <c r="AN76" i="1"/>
  <c r="AN68" i="1"/>
  <c r="AN81" i="1"/>
  <c r="AN104" i="1"/>
  <c r="AN118" i="1"/>
  <c r="AN109" i="1"/>
  <c r="AN152" i="1"/>
  <c r="AN169" i="1"/>
  <c r="AN183" i="1"/>
  <c r="AN188" i="1"/>
  <c r="AN201" i="1"/>
  <c r="AN28" i="1"/>
  <c r="AK26" i="1"/>
  <c r="P10" i="8" s="1"/>
  <c r="AN63" i="1"/>
  <c r="AN85" i="1"/>
  <c r="AN113" i="1"/>
  <c r="AN187" i="1"/>
  <c r="AK186" i="1"/>
  <c r="P39" i="8" s="1"/>
  <c r="AN67" i="1"/>
  <c r="AN80" i="1"/>
  <c r="AD94" i="1"/>
  <c r="W94" i="1"/>
  <c r="AK94" i="1" s="1"/>
  <c r="AN106" i="1"/>
  <c r="AK105" i="1"/>
  <c r="P24" i="8" s="1"/>
  <c r="AN117" i="1"/>
  <c r="AN108" i="1"/>
  <c r="AK140" i="1"/>
  <c r="AN141" i="1"/>
  <c r="AN151" i="1"/>
  <c r="AK160" i="1"/>
  <c r="P32" i="8" s="1"/>
  <c r="AN161" i="1"/>
  <c r="AN168" i="1"/>
  <c r="AN182" i="1"/>
  <c r="AN193" i="1"/>
  <c r="AK192" i="1"/>
  <c r="P40" i="8" s="1"/>
  <c r="AN204" i="1"/>
  <c r="AK203" i="1"/>
  <c r="P43" i="8" s="1"/>
  <c r="AN107" i="3"/>
  <c r="S118" i="8" s="1"/>
  <c r="AN14" i="6"/>
  <c r="S201" i="8" s="1"/>
  <c r="AN22" i="6"/>
  <c r="S202" i="8" s="1"/>
  <c r="AN96" i="3"/>
  <c r="S115" i="8" s="1"/>
  <c r="AN47" i="6"/>
  <c r="S206" i="8" s="1"/>
  <c r="AN40" i="6"/>
  <c r="S205" i="8" s="1"/>
  <c r="AN69" i="4"/>
  <c r="S139" i="8" s="1"/>
  <c r="AN105" i="4"/>
  <c r="S150" i="8" s="1"/>
  <c r="AN22" i="4"/>
  <c r="S126" i="8" s="1"/>
  <c r="AN159" i="4"/>
  <c r="S158" i="8" s="1"/>
  <c r="AN27" i="4"/>
  <c r="S128" i="8" s="1"/>
  <c r="AN61" i="4"/>
  <c r="S137" i="8" s="1"/>
  <c r="AN64" i="4"/>
  <c r="S138" i="8" s="1"/>
  <c r="AN43" i="4"/>
  <c r="AN38" i="4" s="1"/>
  <c r="S131" i="8" s="1"/>
  <c r="AN167" i="4"/>
  <c r="S159" i="8" s="1"/>
  <c r="S160" i="8"/>
  <c r="AN90" i="4"/>
  <c r="AN83" i="4" s="1"/>
  <c r="AK60" i="4"/>
  <c r="P139" i="8"/>
  <c r="AN6" i="4"/>
  <c r="AN5" i="4" s="1"/>
  <c r="S125" i="8" s="1"/>
  <c r="AK5" i="4"/>
  <c r="P125" i="8" s="1"/>
  <c r="P126" i="8"/>
  <c r="AN33" i="4"/>
  <c r="S129" i="8" s="1"/>
  <c r="AK26" i="4"/>
  <c r="P128" i="8"/>
  <c r="AK167" i="4"/>
  <c r="P160" i="8"/>
  <c r="P159" i="8" s="1"/>
  <c r="AN121" i="4"/>
  <c r="AK83" i="4"/>
  <c r="AN57" i="4"/>
  <c r="AK97" i="4"/>
  <c r="P152" i="8"/>
  <c r="P132" i="8"/>
  <c r="AN136" i="4"/>
  <c r="S154" i="8" s="1"/>
  <c r="AN109" i="4"/>
  <c r="S151" i="8" s="1"/>
  <c r="AN46" i="4"/>
  <c r="S132" i="8" s="1"/>
  <c r="AK38" i="4"/>
  <c r="P131" i="8" s="1"/>
  <c r="AN91" i="4"/>
  <c r="S145" i="8" s="1"/>
  <c r="P101" i="8"/>
  <c r="AN61" i="3"/>
  <c r="AN59" i="3" s="1"/>
  <c r="AN24" i="3"/>
  <c r="S99" i="8" s="1"/>
  <c r="AN8" i="3"/>
  <c r="AN117" i="3"/>
  <c r="S119" i="8" s="1"/>
  <c r="AN64" i="3"/>
  <c r="S109" i="8" s="1"/>
  <c r="AN125" i="3"/>
  <c r="S121" i="8" s="1"/>
  <c r="AN73" i="3"/>
  <c r="S112" i="8" s="1"/>
  <c r="AN88" i="3"/>
  <c r="AN86" i="3" s="1"/>
  <c r="P110" i="8"/>
  <c r="AN46" i="3"/>
  <c r="S106" i="8" s="1"/>
  <c r="AN7" i="3"/>
  <c r="AN68" i="3"/>
  <c r="S111" i="8" s="1"/>
  <c r="AN101" i="3"/>
  <c r="S117" i="8" s="1"/>
  <c r="AN21" i="3"/>
  <c r="S98" i="8" s="1"/>
  <c r="P96" i="8"/>
  <c r="AN14" i="2"/>
  <c r="AN33" i="2"/>
  <c r="AN55" i="2"/>
  <c r="AN65" i="2"/>
  <c r="AN75" i="2"/>
  <c r="W95" i="2"/>
  <c r="AK95" i="2" s="1"/>
  <c r="AN111" i="2"/>
  <c r="AN127" i="2"/>
  <c r="AN172" i="2"/>
  <c r="AN190" i="2"/>
  <c r="AN28" i="2"/>
  <c r="AN48" i="2"/>
  <c r="AN54" i="2"/>
  <c r="AN64" i="2"/>
  <c r="AN94" i="2"/>
  <c r="AN118" i="2"/>
  <c r="AN110" i="2"/>
  <c r="AN163" i="2"/>
  <c r="AN205" i="2"/>
  <c r="AN11" i="2"/>
  <c r="AN47" i="2"/>
  <c r="AN59" i="2"/>
  <c r="AN63" i="2"/>
  <c r="AN84" i="2"/>
  <c r="AN117" i="2"/>
  <c r="AK134" i="2"/>
  <c r="AN150" i="2"/>
  <c r="AN162" i="2"/>
  <c r="AN175" i="2"/>
  <c r="AN195" i="2"/>
  <c r="AN10" i="2"/>
  <c r="AN46" i="2"/>
  <c r="AN58" i="2"/>
  <c r="AN62" i="2"/>
  <c r="AN83" i="2"/>
  <c r="AN87" i="2"/>
  <c r="AN98" i="2"/>
  <c r="AN116" i="2"/>
  <c r="AN166" i="2"/>
  <c r="AN9" i="2"/>
  <c r="AN45" i="2"/>
  <c r="AN82" i="2"/>
  <c r="AN90" i="2"/>
  <c r="AK101" i="2"/>
  <c r="P66" i="8" s="1"/>
  <c r="AN115" i="2"/>
  <c r="AN137" i="2"/>
  <c r="AN159" i="2"/>
  <c r="AN181" i="2"/>
  <c r="AN197" i="2"/>
  <c r="AN8" i="2"/>
  <c r="AN24" i="2"/>
  <c r="AN71" i="2"/>
  <c r="AN81" i="2"/>
  <c r="AN147" i="2"/>
  <c r="AN168" i="2"/>
  <c r="AN179" i="2"/>
  <c r="AN7" i="2"/>
  <c r="AN51" i="2"/>
  <c r="AN67" i="2"/>
  <c r="W97" i="2"/>
  <c r="AK97" i="2" s="1"/>
  <c r="AN104" i="2"/>
  <c r="AN113" i="2"/>
  <c r="AN128" i="2"/>
  <c r="AN133" i="2"/>
  <c r="W133" i="2"/>
  <c r="AN149" i="2"/>
  <c r="AN157" i="2"/>
  <c r="AN167" i="2"/>
  <c r="AN178" i="2"/>
  <c r="AN200" i="2"/>
  <c r="AN114" i="2"/>
  <c r="AN138" i="2"/>
  <c r="AN158" i="2"/>
  <c r="AN66" i="2"/>
  <c r="AN76" i="2"/>
  <c r="AN79" i="2"/>
  <c r="AN96" i="2"/>
  <c r="AN103" i="2"/>
  <c r="W139" i="2"/>
  <c r="AN153" i="2"/>
  <c r="AN201" i="2"/>
  <c r="AK108" i="2"/>
  <c r="AK106" i="2" s="1"/>
  <c r="P67" i="8" s="1"/>
  <c r="AN78" i="1"/>
  <c r="AK77" i="1"/>
  <c r="P116" i="8"/>
  <c r="AK5" i="3"/>
  <c r="P120" i="8"/>
  <c r="AN86" i="2"/>
  <c r="AK85" i="2"/>
  <c r="P63" i="8" s="1"/>
  <c r="AK148" i="2"/>
  <c r="P77" i="8" s="1"/>
  <c r="AN152" i="2"/>
  <c r="AN204" i="2"/>
  <c r="AK203" i="2"/>
  <c r="P91" i="8" s="1"/>
  <c r="AD27" i="2"/>
  <c r="W27" i="2"/>
  <c r="AK27" i="2" s="1"/>
  <c r="AD26" i="2"/>
  <c r="W26" i="2"/>
  <c r="AK26" i="2" s="1"/>
  <c r="AD25" i="2"/>
  <c r="W25" i="2"/>
  <c r="AK25" i="2" s="1"/>
  <c r="AN37" i="2"/>
  <c r="AN34" i="2" s="1"/>
  <c r="S53" i="8" s="1"/>
  <c r="AK34" i="2"/>
  <c r="P53" i="8" s="1"/>
  <c r="AK56" i="2"/>
  <c r="P58" i="8" s="1"/>
  <c r="AN57" i="2"/>
  <c r="AK68" i="2"/>
  <c r="P60" i="8" s="1"/>
  <c r="AN69" i="2"/>
  <c r="AN102" i="2"/>
  <c r="AN142" i="2"/>
  <c r="AN140" i="2" s="1"/>
  <c r="S75" i="8" s="1"/>
  <c r="AK140" i="2"/>
  <c r="P75" i="8" s="1"/>
  <c r="AN177" i="2"/>
  <c r="AN44" i="2"/>
  <c r="AK43" i="2"/>
  <c r="P55" i="8" s="1"/>
  <c r="AN171" i="2"/>
  <c r="AK170" i="2"/>
  <c r="P82" i="8" s="1"/>
  <c r="AN188" i="2"/>
  <c r="AK77" i="2"/>
  <c r="AN78" i="2"/>
  <c r="AN132" i="2"/>
  <c r="AK160" i="2"/>
  <c r="P79" i="8" s="1"/>
  <c r="AN161" i="2"/>
  <c r="AN174" i="2"/>
  <c r="AK173" i="2"/>
  <c r="P83" i="8" s="1"/>
  <c r="AN61" i="2"/>
  <c r="AK60" i="2"/>
  <c r="P59" i="8" s="1"/>
  <c r="AN74" i="2"/>
  <c r="AK73" i="2"/>
  <c r="P61" i="8" s="1"/>
  <c r="AN199" i="2"/>
  <c r="AK198" i="2"/>
  <c r="AK5" i="2"/>
  <c r="P48" i="8" s="1"/>
  <c r="AN107" i="2"/>
  <c r="AN156" i="2"/>
  <c r="AK154" i="2"/>
  <c r="P78" i="8" s="1"/>
  <c r="AN194" i="2"/>
  <c r="AK193" i="2"/>
  <c r="P89" i="8" s="1"/>
  <c r="AN50" i="2"/>
  <c r="AK49" i="2"/>
  <c r="P56" i="8" s="1"/>
  <c r="AN93" i="2"/>
  <c r="AN125" i="2"/>
  <c r="AN124" i="2" s="1"/>
  <c r="S71" i="8" s="1"/>
  <c r="AK124" i="2"/>
  <c r="P71" i="8" s="1"/>
  <c r="AN23" i="2"/>
  <c r="AD13" i="2"/>
  <c r="W13" i="2"/>
  <c r="AK13" i="2" s="1"/>
  <c r="AK29" i="2"/>
  <c r="P52" i="8" s="1"/>
  <c r="AN30" i="2"/>
  <c r="AN29" i="2" s="1"/>
  <c r="S52" i="8" s="1"/>
  <c r="AN53" i="2"/>
  <c r="AK52" i="2"/>
  <c r="P57" i="8" s="1"/>
  <c r="AN4" i="5"/>
  <c r="S162" i="8" s="1"/>
  <c r="AK4" i="5"/>
  <c r="AK123" i="5"/>
  <c r="P194" i="8" s="1"/>
  <c r="AK17" i="5"/>
  <c r="AK59" i="3"/>
  <c r="P108" i="8" s="1"/>
  <c r="AK15" i="3"/>
  <c r="AK124" i="3"/>
  <c r="AK33" i="3"/>
  <c r="AK67" i="3"/>
  <c r="AN33" i="3"/>
  <c r="S101" i="8" s="1"/>
  <c r="AK100" i="3"/>
  <c r="AN129" i="2"/>
  <c r="AK126" i="2"/>
  <c r="P72" i="8" s="1"/>
  <c r="AN121" i="2"/>
  <c r="AN120" i="2" s="1"/>
  <c r="S69" i="8" s="1"/>
  <c r="AK120" i="2"/>
  <c r="P69" i="8" s="1"/>
  <c r="AN169" i="2"/>
  <c r="AK165" i="2"/>
  <c r="AD82" i="5"/>
  <c r="AN17" i="5" l="1"/>
  <c r="S166" i="8" s="1"/>
  <c r="AK135" i="4"/>
  <c r="AN39" i="1"/>
  <c r="S14" i="8" s="1"/>
  <c r="AN12" i="1"/>
  <c r="S7" i="8" s="1"/>
  <c r="AN124" i="3"/>
  <c r="S120" i="8" s="1"/>
  <c r="AN206" i="1"/>
  <c r="S44" i="8" s="1"/>
  <c r="AN175" i="1"/>
  <c r="S36" i="8" s="1"/>
  <c r="AN134" i="5"/>
  <c r="S196" i="8" s="1"/>
  <c r="AN199" i="1"/>
  <c r="S42" i="8" s="1"/>
  <c r="AN148" i="1"/>
  <c r="S30" i="8" s="1"/>
  <c r="AN140" i="1"/>
  <c r="AN87" i="1"/>
  <c r="S19" i="8" s="1"/>
  <c r="AN166" i="1"/>
  <c r="S33" i="8" s="1"/>
  <c r="AK31" i="1"/>
  <c r="P18" i="8"/>
  <c r="AN125" i="1"/>
  <c r="S25" i="8" s="1"/>
  <c r="AN44" i="1"/>
  <c r="S15" i="8" s="1"/>
  <c r="AN94" i="1"/>
  <c r="AK92" i="1"/>
  <c r="AN143" i="1"/>
  <c r="S29" i="8" s="1"/>
  <c r="AN153" i="1"/>
  <c r="S31" i="8" s="1"/>
  <c r="AN36" i="1"/>
  <c r="S13" i="8" s="1"/>
  <c r="P35" i="8"/>
  <c r="AK171" i="1"/>
  <c r="AN7" i="1"/>
  <c r="AN5" i="1" s="1"/>
  <c r="AK5" i="1"/>
  <c r="AN92" i="1"/>
  <c r="AN77" i="1"/>
  <c r="S28" i="8"/>
  <c r="AN105" i="1"/>
  <c r="S24" i="8" s="1"/>
  <c r="P28" i="8"/>
  <c r="AK130" i="1"/>
  <c r="AN186" i="1"/>
  <c r="S39" i="8" s="1"/>
  <c r="AN203" i="1"/>
  <c r="S43" i="8" s="1"/>
  <c r="AN195" i="1"/>
  <c r="S41" i="8" s="1"/>
  <c r="AN26" i="1"/>
  <c r="S10" i="8" s="1"/>
  <c r="AN52" i="1"/>
  <c r="S16" i="8" s="1"/>
  <c r="AN160" i="1"/>
  <c r="S32" i="8" s="1"/>
  <c r="AN192" i="1"/>
  <c r="S40" i="8" s="1"/>
  <c r="AN57" i="1"/>
  <c r="S17" i="8" s="1"/>
  <c r="AN172" i="1"/>
  <c r="AG7" i="1"/>
  <c r="S108" i="8"/>
  <c r="AN45" i="3"/>
  <c r="S105" i="8" s="1"/>
  <c r="P136" i="8"/>
  <c r="P153" i="8"/>
  <c r="AN5" i="3"/>
  <c r="AN4" i="3" s="1"/>
  <c r="AN165" i="2"/>
  <c r="S81" i="8" s="1"/>
  <c r="AN203" i="2"/>
  <c r="S91" i="8" s="1"/>
  <c r="AN5" i="2"/>
  <c r="S48" i="8" s="1"/>
  <c r="AN154" i="2"/>
  <c r="S78" i="8" s="1"/>
  <c r="AN52" i="2"/>
  <c r="S57" i="8" s="1"/>
  <c r="AN173" i="2"/>
  <c r="S83" i="8" s="1"/>
  <c r="AN26" i="4"/>
  <c r="S127" i="8" s="1"/>
  <c r="AN60" i="4"/>
  <c r="S136" i="8" s="1"/>
  <c r="P124" i="8"/>
  <c r="P127" i="8"/>
  <c r="AN97" i="4"/>
  <c r="S147" i="8" s="1"/>
  <c r="S152" i="8"/>
  <c r="AN4" i="4"/>
  <c r="P130" i="8"/>
  <c r="AN37" i="4"/>
  <c r="S130" i="8" s="1"/>
  <c r="S135" i="8"/>
  <c r="P144" i="8"/>
  <c r="AK82" i="4"/>
  <c r="S144" i="8"/>
  <c r="AN82" i="4"/>
  <c r="S143" i="8" s="1"/>
  <c r="AK37" i="4"/>
  <c r="AN135" i="4"/>
  <c r="S153" i="8" s="1"/>
  <c r="P147" i="8"/>
  <c r="AK4" i="4"/>
  <c r="S113" i="8"/>
  <c r="AN67" i="3"/>
  <c r="S110" i="8" s="1"/>
  <c r="P105" i="8"/>
  <c r="AN15" i="3"/>
  <c r="S96" i="8" s="1"/>
  <c r="AN100" i="3"/>
  <c r="S116" i="8" s="1"/>
  <c r="AK4" i="3"/>
  <c r="P94" i="8"/>
  <c r="AN170" i="2"/>
  <c r="S82" i="8" s="1"/>
  <c r="AN56" i="2"/>
  <c r="S58" i="8" s="1"/>
  <c r="AN77" i="2"/>
  <c r="S62" i="8" s="1"/>
  <c r="AN193" i="2"/>
  <c r="S89" i="8" s="1"/>
  <c r="AN101" i="2"/>
  <c r="S66" i="8" s="1"/>
  <c r="AN95" i="2"/>
  <c r="AK92" i="2"/>
  <c r="P65" i="8" s="1"/>
  <c r="AN148" i="2"/>
  <c r="S77" i="8" s="1"/>
  <c r="AN126" i="2"/>
  <c r="S72" i="8" s="1"/>
  <c r="AN49" i="2"/>
  <c r="S56" i="8" s="1"/>
  <c r="AN160" i="2"/>
  <c r="S79" i="8" s="1"/>
  <c r="AN85" i="2"/>
  <c r="S63" i="8" s="1"/>
  <c r="AN108" i="2"/>
  <c r="AN106" i="2" s="1"/>
  <c r="AN198" i="2"/>
  <c r="S90" i="8" s="1"/>
  <c r="AN27" i="2"/>
  <c r="AN134" i="2"/>
  <c r="AN60" i="2"/>
  <c r="S59" i="8" s="1"/>
  <c r="P62" i="8"/>
  <c r="AN25" i="2"/>
  <c r="AN139" i="2"/>
  <c r="AN68" i="2"/>
  <c r="S60" i="8" s="1"/>
  <c r="AN26" i="2"/>
  <c r="AN43" i="2"/>
  <c r="S55" i="8" s="1"/>
  <c r="AN97" i="2"/>
  <c r="AN73" i="2"/>
  <c r="S61" i="8" s="1"/>
  <c r="AK131" i="2"/>
  <c r="AK45" i="3"/>
  <c r="AK192" i="2"/>
  <c r="P90" i="8"/>
  <c r="AN13" i="2"/>
  <c r="AN12" i="2" s="1"/>
  <c r="S49" i="8" s="1"/>
  <c r="AK12" i="2"/>
  <c r="P49" i="8" s="1"/>
  <c r="AK21" i="2"/>
  <c r="P51" i="8" s="1"/>
  <c r="P81" i="8"/>
  <c r="AD32" i="3"/>
  <c r="AN131" i="2" l="1"/>
  <c r="S74" i="8" s="1"/>
  <c r="P123" i="8"/>
  <c r="P11" i="8"/>
  <c r="P21" i="8"/>
  <c r="AK91" i="1"/>
  <c r="S21" i="8"/>
  <c r="AN91" i="1"/>
  <c r="S20" i="8" s="1"/>
  <c r="P6" i="8"/>
  <c r="AK4" i="1"/>
  <c r="S6" i="8"/>
  <c r="AN4" i="1"/>
  <c r="AN130" i="1"/>
  <c r="S26" i="8" s="1"/>
  <c r="P34" i="8"/>
  <c r="AN171" i="1"/>
  <c r="S34" i="8" s="1"/>
  <c r="S35" i="8"/>
  <c r="AN31" i="1"/>
  <c r="S11" i="8" s="1"/>
  <c r="S18" i="8"/>
  <c r="S93" i="8"/>
  <c r="AN3" i="3"/>
  <c r="S92" i="8" s="1"/>
  <c r="AK3" i="3"/>
  <c r="P92" i="8" s="1"/>
  <c r="K6" i="7" s="1"/>
  <c r="S94" i="8"/>
  <c r="AN92" i="2"/>
  <c r="S65" i="8" s="1"/>
  <c r="S124" i="8"/>
  <c r="AN3" i="4"/>
  <c r="S123" i="8" s="1"/>
  <c r="P143" i="8"/>
  <c r="P93" i="8"/>
  <c r="P47" i="8"/>
  <c r="AN21" i="2"/>
  <c r="S51" i="8" s="1"/>
  <c r="AN192" i="2"/>
  <c r="S88" i="8" s="1"/>
  <c r="AN91" i="2"/>
  <c r="S64" i="8" s="1"/>
  <c r="S67" i="8"/>
  <c r="P74" i="8"/>
  <c r="P64" i="8"/>
  <c r="P88" i="8"/>
  <c r="AD20" i="2"/>
  <c r="AK3" i="1" l="1"/>
  <c r="P4" i="8" s="1"/>
  <c r="P5" i="8"/>
  <c r="S5" i="8"/>
  <c r="AN3" i="1"/>
  <c r="S4" i="8" s="1"/>
  <c r="P20" i="8"/>
  <c r="V6" i="7"/>
  <c r="V7" i="7"/>
  <c r="AG29" i="5"/>
  <c r="K4" i="7" l="1"/>
  <c r="V4" i="7"/>
  <c r="H39" i="9"/>
  <c r="H37" i="9"/>
  <c r="S143" i="4" l="1"/>
  <c r="V143" i="4" s="1"/>
  <c r="W143" i="4" s="1"/>
  <c r="F133" i="2" l="1"/>
  <c r="AL63" i="3" l="1"/>
  <c r="AL61" i="3"/>
  <c r="AI132" i="1"/>
  <c r="K211" i="1" l="1"/>
  <c r="K210" i="1"/>
  <c r="K208" i="1"/>
  <c r="K29" i="5"/>
  <c r="K7" i="5"/>
  <c r="AC37" i="5"/>
  <c r="AC28" i="5"/>
  <c r="AC209" i="1"/>
  <c r="K209" i="1" l="1"/>
  <c r="K12" i="4" l="1"/>
  <c r="AD138" i="1" l="1"/>
  <c r="AG138" i="1" s="1"/>
  <c r="K138" i="1"/>
  <c r="AM138" i="1" l="1"/>
  <c r="AD17" i="1" l="1"/>
  <c r="F16" i="9" l="1"/>
  <c r="AM9" i="6" l="1"/>
  <c r="AM10" i="6"/>
  <c r="AM12" i="6"/>
  <c r="AM80" i="1" l="1"/>
  <c r="AM64" i="1"/>
  <c r="AM65" i="1"/>
  <c r="AM63" i="1"/>
  <c r="AM49" i="1"/>
  <c r="AM32" i="6" l="1"/>
  <c r="V104" i="4" l="1"/>
  <c r="W104" i="4" s="1"/>
  <c r="F146" i="2" l="1"/>
  <c r="F139" i="2"/>
  <c r="F137" i="2"/>
  <c r="F134" i="2"/>
  <c r="V13" i="6" l="1"/>
  <c r="W13" i="6" s="1"/>
  <c r="AK13" i="6" s="1"/>
  <c r="R61" i="1"/>
  <c r="AK5" i="6" l="1"/>
  <c r="P200" i="8" s="1"/>
  <c r="AN13" i="6"/>
  <c r="AN5" i="6" s="1"/>
  <c r="AL20" i="4"/>
  <c r="K20" i="4"/>
  <c r="AK4" i="6" l="1"/>
  <c r="AN4" i="6"/>
  <c r="S200" i="8"/>
  <c r="P199" i="8"/>
  <c r="AD18" i="2"/>
  <c r="S199" i="8" l="1"/>
  <c r="AL78" i="2"/>
  <c r="AL84" i="2"/>
  <c r="R189" i="2" l="1"/>
  <c r="V189" i="2" s="1"/>
  <c r="W189" i="2" s="1"/>
  <c r="R186" i="2" l="1"/>
  <c r="V186" i="2" s="1"/>
  <c r="W186" i="2" s="1"/>
  <c r="AK186" i="2" s="1"/>
  <c r="R185" i="2"/>
  <c r="V185" i="2" s="1"/>
  <c r="W185" i="2" s="1"/>
  <c r="AK185" i="2" s="1"/>
  <c r="R183" i="2"/>
  <c r="V183" i="2" s="1"/>
  <c r="W183" i="2" s="1"/>
  <c r="AK183" i="2" s="1"/>
  <c r="R180" i="2"/>
  <c r="V180" i="2" s="1"/>
  <c r="W180" i="2" s="1"/>
  <c r="R177" i="2"/>
  <c r="R174" i="2"/>
  <c r="AN186" i="2" l="1"/>
  <c r="AN183" i="2"/>
  <c r="AN182" i="2" s="1"/>
  <c r="S85" i="8" s="1"/>
  <c r="AK182" i="2"/>
  <c r="P85" i="8" s="1"/>
  <c r="AN180" i="2"/>
  <c r="AN176" i="2" s="1"/>
  <c r="S84" i="8" s="1"/>
  <c r="AK176" i="2"/>
  <c r="AN185" i="2"/>
  <c r="AN184" i="2" s="1"/>
  <c r="S86" i="8" s="1"/>
  <c r="AK184" i="2"/>
  <c r="P86" i="8" s="1"/>
  <c r="AI193" i="1"/>
  <c r="P84" i="8" l="1"/>
  <c r="AL50" i="3"/>
  <c r="P119" i="5" l="1"/>
  <c r="W119" i="5" s="1"/>
  <c r="AK119" i="5" s="1"/>
  <c r="J119" i="5"/>
  <c r="N29" i="3"/>
  <c r="K30" i="3"/>
  <c r="K29" i="3"/>
  <c r="AN119" i="5" l="1"/>
  <c r="AN116" i="5" s="1"/>
  <c r="AK116" i="5"/>
  <c r="R73" i="5"/>
  <c r="V73" i="5" s="1"/>
  <c r="W73" i="5" s="1"/>
  <c r="AK73" i="5" s="1"/>
  <c r="AK109" i="5" l="1"/>
  <c r="P193" i="8"/>
  <c r="AN109" i="5"/>
  <c r="S191" i="8" s="1"/>
  <c r="S193" i="8"/>
  <c r="AN73" i="5"/>
  <c r="AN68" i="5" s="1"/>
  <c r="AK68" i="5"/>
  <c r="Q142" i="4"/>
  <c r="V142" i="4" s="1"/>
  <c r="W142" i="4" s="1"/>
  <c r="P191" i="8" l="1"/>
  <c r="AK57" i="5"/>
  <c r="P182" i="8"/>
  <c r="AN57" i="5"/>
  <c r="S178" i="8" s="1"/>
  <c r="S182" i="8"/>
  <c r="R191" i="2"/>
  <c r="V191" i="2" s="1"/>
  <c r="W191" i="2" s="1"/>
  <c r="P178" i="8" l="1"/>
  <c r="AN191" i="2"/>
  <c r="AN187" i="2" s="1"/>
  <c r="AK187" i="2"/>
  <c r="R123" i="2"/>
  <c r="V123" i="2" s="1"/>
  <c r="W123" i="2" s="1"/>
  <c r="AK123" i="2" s="1"/>
  <c r="AN164" i="2" l="1"/>
  <c r="S80" i="8" s="1"/>
  <c r="S87" i="8"/>
  <c r="AN123" i="2"/>
  <c r="AN122" i="2" s="1"/>
  <c r="AK122" i="2"/>
  <c r="P87" i="8"/>
  <c r="AK164" i="2"/>
  <c r="Z3" i="8"/>
  <c r="AI151" i="1"/>
  <c r="P80" i="8" l="1"/>
  <c r="AN119" i="2"/>
  <c r="S68" i="8" s="1"/>
  <c r="S70" i="8"/>
  <c r="P70" i="8"/>
  <c r="AK119" i="2"/>
  <c r="P68" i="8" l="1"/>
  <c r="AG149" i="4" l="1"/>
  <c r="AM103" i="4" l="1"/>
  <c r="K54" i="5" l="1"/>
  <c r="AI14" i="1" l="1"/>
  <c r="K187" i="8" l="1"/>
  <c r="K158" i="8"/>
  <c r="B4" i="8"/>
  <c r="K56" i="4" l="1"/>
  <c r="H70" i="4" l="1"/>
  <c r="AG143" i="4"/>
  <c r="AG142" i="4"/>
  <c r="N142" i="4"/>
  <c r="N143" i="4"/>
  <c r="K142" i="4"/>
  <c r="K143" i="4"/>
  <c r="J125" i="4" l="1"/>
  <c r="N8" i="6" l="1"/>
  <c r="N6" i="6"/>
  <c r="N6" i="3"/>
  <c r="N149" i="1" l="1"/>
  <c r="K149" i="1"/>
  <c r="AI18" i="1"/>
  <c r="AF17" i="1"/>
  <c r="N17" i="1"/>
  <c r="K154" i="1" l="1"/>
  <c r="K45" i="1"/>
  <c r="AC184" i="2" l="1"/>
  <c r="F21" i="6" l="1"/>
  <c r="AI14" i="5" l="1"/>
  <c r="N127" i="1" l="1"/>
  <c r="N103" i="4" l="1"/>
  <c r="M106" i="4"/>
  <c r="H200" i="1" l="1"/>
  <c r="K171" i="4" l="1"/>
  <c r="K170" i="4"/>
  <c r="K169" i="4"/>
  <c r="AM136" i="5" l="1"/>
  <c r="AM128" i="3"/>
  <c r="AM127" i="3"/>
  <c r="AM120" i="3"/>
  <c r="AM113" i="3"/>
  <c r="AM110" i="3"/>
  <c r="AM108" i="3"/>
  <c r="AM53" i="3"/>
  <c r="AM67" i="2"/>
  <c r="AM65" i="2"/>
  <c r="AM80" i="2"/>
  <c r="AM105" i="2"/>
  <c r="AM111" i="2"/>
  <c r="AM113" i="2"/>
  <c r="AM112" i="2"/>
  <c r="AM110" i="2"/>
  <c r="AM109" i="2"/>
  <c r="AM162" i="2"/>
  <c r="AM158" i="4"/>
  <c r="AM155" i="4"/>
  <c r="AM90" i="4"/>
  <c r="AM81" i="4"/>
  <c r="AM44" i="4"/>
  <c r="AM43" i="4"/>
  <c r="AM42" i="4"/>
  <c r="AM35" i="4"/>
  <c r="AM38" i="6"/>
  <c r="AM24" i="6"/>
  <c r="AM28" i="6"/>
  <c r="AM170" i="4"/>
  <c r="AM160" i="4"/>
  <c r="AM166" i="4"/>
  <c r="AM165" i="4"/>
  <c r="AM164" i="4"/>
  <c r="AM163" i="4"/>
  <c r="AM162" i="4"/>
  <c r="AM161" i="4"/>
  <c r="AM159" i="4" l="1"/>
  <c r="R158" i="8" s="1"/>
  <c r="AM19" i="3" l="1"/>
  <c r="AL50" i="2"/>
  <c r="AL51" i="2"/>
  <c r="AM42" i="2"/>
  <c r="AM16" i="2"/>
  <c r="AM25" i="1"/>
  <c r="AM13" i="1"/>
  <c r="K44" i="3" l="1"/>
  <c r="AG132" i="1" l="1"/>
  <c r="J34" i="1" l="1"/>
  <c r="H39" i="6"/>
  <c r="R39" i="6" s="1"/>
  <c r="V39" i="6" s="1"/>
  <c r="W39" i="6" s="1"/>
  <c r="AK39" i="6" s="1"/>
  <c r="AL36" i="6"/>
  <c r="AL37" i="6"/>
  <c r="AD74" i="1"/>
  <c r="AG74" i="1" s="1"/>
  <c r="AL75" i="1"/>
  <c r="N45" i="1"/>
  <c r="AL13" i="1"/>
  <c r="AN39" i="6" l="1"/>
  <c r="AN31" i="6" s="1"/>
  <c r="AK31" i="6"/>
  <c r="H140" i="5"/>
  <c r="AK30" i="6" l="1"/>
  <c r="AK3" i="6" s="1"/>
  <c r="P198" i="8" s="1"/>
  <c r="P204" i="8"/>
  <c r="AN30" i="6"/>
  <c r="S204" i="8"/>
  <c r="AG95" i="1"/>
  <c r="AG93" i="1"/>
  <c r="AF93" i="1"/>
  <c r="S203" i="8" l="1"/>
  <c r="AN3" i="6"/>
  <c r="S198" i="8" s="1"/>
  <c r="P203" i="8"/>
  <c r="K9" i="7"/>
  <c r="AD51" i="6"/>
  <c r="AG51" i="6" s="1"/>
  <c r="AG50" i="6"/>
  <c r="AG49" i="6"/>
  <c r="AG48" i="6"/>
  <c r="AD45" i="6"/>
  <c r="AG45" i="6" s="1"/>
  <c r="AD44" i="6"/>
  <c r="AG44" i="6" s="1"/>
  <c r="AM43" i="6"/>
  <c r="AD37" i="6"/>
  <c r="AG37" i="6" s="1"/>
  <c r="N52" i="6"/>
  <c r="N51" i="6"/>
  <c r="N50" i="6"/>
  <c r="N49" i="6"/>
  <c r="N48" i="6"/>
  <c r="N46" i="6"/>
  <c r="N45" i="6"/>
  <c r="N44" i="6"/>
  <c r="N43" i="6"/>
  <c r="N42" i="6"/>
  <c r="N41" i="6"/>
  <c r="N39" i="6"/>
  <c r="N37" i="6"/>
  <c r="N36" i="6"/>
  <c r="N35" i="6"/>
  <c r="N34" i="6"/>
  <c r="N33" i="6"/>
  <c r="K52" i="6"/>
  <c r="K51" i="6"/>
  <c r="K50" i="6"/>
  <c r="K49" i="6"/>
  <c r="K48" i="6"/>
  <c r="K46" i="6"/>
  <c r="K45" i="6"/>
  <c r="K44" i="6"/>
  <c r="K43" i="6"/>
  <c r="K42" i="6"/>
  <c r="K41" i="6"/>
  <c r="K39" i="6"/>
  <c r="K37" i="6"/>
  <c r="K36" i="6"/>
  <c r="K35" i="6"/>
  <c r="K34" i="6"/>
  <c r="K33" i="6"/>
  <c r="AG28" i="6"/>
  <c r="AG27" i="6"/>
  <c r="AG20" i="6"/>
  <c r="AG19" i="6"/>
  <c r="AG16" i="6"/>
  <c r="AG15" i="6"/>
  <c r="N29" i="6"/>
  <c r="N28" i="6"/>
  <c r="N27" i="6"/>
  <c r="N26" i="6"/>
  <c r="N25" i="6"/>
  <c r="N24" i="6"/>
  <c r="N23" i="6"/>
  <c r="N21" i="6"/>
  <c r="N20" i="6"/>
  <c r="N19" i="6"/>
  <c r="N18" i="6"/>
  <c r="N17" i="6"/>
  <c r="N16" i="6"/>
  <c r="N15" i="6"/>
  <c r="K29" i="6"/>
  <c r="K28" i="6"/>
  <c r="K27" i="6"/>
  <c r="K26" i="6"/>
  <c r="K25" i="6"/>
  <c r="K24" i="6"/>
  <c r="K23" i="6"/>
  <c r="K21" i="6"/>
  <c r="K20" i="6"/>
  <c r="K19" i="6"/>
  <c r="K18" i="6"/>
  <c r="K17" i="6"/>
  <c r="K16" i="6"/>
  <c r="K15" i="6"/>
  <c r="AM11" i="6"/>
  <c r="AM8" i="6"/>
  <c r="AM7" i="6"/>
  <c r="N7" i="6"/>
  <c r="N13" i="6"/>
  <c r="N12" i="6"/>
  <c r="K13" i="6"/>
  <c r="K12" i="6"/>
  <c r="K8" i="6"/>
  <c r="K7" i="6"/>
  <c r="K6" i="6"/>
  <c r="AG125" i="5"/>
  <c r="AD127" i="5"/>
  <c r="AG127" i="5" s="1"/>
  <c r="N141" i="5"/>
  <c r="N140" i="5"/>
  <c r="N138" i="5"/>
  <c r="N137" i="5"/>
  <c r="N136" i="5"/>
  <c r="N135" i="5"/>
  <c r="N133" i="5"/>
  <c r="N132" i="5"/>
  <c r="N130" i="5"/>
  <c r="N128" i="5"/>
  <c r="N127" i="5"/>
  <c r="N126" i="5"/>
  <c r="N125" i="5"/>
  <c r="N124" i="5"/>
  <c r="N122" i="5"/>
  <c r="N121" i="5"/>
  <c r="N120" i="5"/>
  <c r="N119" i="5"/>
  <c r="N118" i="5"/>
  <c r="N117" i="5"/>
  <c r="N115" i="5"/>
  <c r="N114" i="5"/>
  <c r="N113" i="5"/>
  <c r="N112" i="5"/>
  <c r="N111" i="5"/>
  <c r="K141" i="5"/>
  <c r="K140" i="5"/>
  <c r="K138" i="5"/>
  <c r="K137" i="5"/>
  <c r="K136" i="5"/>
  <c r="K135" i="5"/>
  <c r="K133" i="5"/>
  <c r="K132" i="5"/>
  <c r="K130" i="5"/>
  <c r="K128" i="5"/>
  <c r="K127" i="5"/>
  <c r="K126" i="5"/>
  <c r="K125" i="5"/>
  <c r="K124" i="5"/>
  <c r="K122" i="5"/>
  <c r="K121" i="5"/>
  <c r="K120" i="5"/>
  <c r="K119" i="5"/>
  <c r="K118" i="5"/>
  <c r="K117" i="5"/>
  <c r="K115" i="5"/>
  <c r="K114" i="5"/>
  <c r="K113" i="5"/>
  <c r="K112" i="5"/>
  <c r="K111" i="5"/>
  <c r="AK83" i="5"/>
  <c r="AK82" i="5"/>
  <c r="AK81" i="5"/>
  <c r="AD80" i="5"/>
  <c r="AG80" i="5" s="1"/>
  <c r="AG79" i="5"/>
  <c r="N108" i="5"/>
  <c r="N107" i="5"/>
  <c r="N106" i="5"/>
  <c r="N104" i="5"/>
  <c r="N103" i="5"/>
  <c r="N102" i="5"/>
  <c r="N101" i="5"/>
  <c r="N100" i="5"/>
  <c r="N98" i="5"/>
  <c r="N97" i="5"/>
  <c r="N96" i="5"/>
  <c r="N95" i="5"/>
  <c r="N93" i="5"/>
  <c r="N92" i="5" s="1"/>
  <c r="J187" i="8" s="1"/>
  <c r="N90" i="5"/>
  <c r="N88" i="5"/>
  <c r="N87" i="5"/>
  <c r="N86" i="5"/>
  <c r="N84" i="5"/>
  <c r="N83" i="5"/>
  <c r="N82" i="5"/>
  <c r="N81" i="5"/>
  <c r="N80" i="5"/>
  <c r="N79" i="5"/>
  <c r="K108" i="5"/>
  <c r="K107" i="5"/>
  <c r="K106" i="5"/>
  <c r="K104" i="5"/>
  <c r="K103" i="5"/>
  <c r="K102" i="5"/>
  <c r="K101" i="5"/>
  <c r="K100" i="5"/>
  <c r="K98" i="5"/>
  <c r="K97" i="5"/>
  <c r="K96" i="5"/>
  <c r="K95" i="5"/>
  <c r="K93" i="5"/>
  <c r="K92" i="5" s="1"/>
  <c r="E187" i="8" s="1"/>
  <c r="K90" i="5"/>
  <c r="K88" i="5"/>
  <c r="K87" i="5"/>
  <c r="K86" i="5"/>
  <c r="K84" i="5"/>
  <c r="K83" i="5"/>
  <c r="K82" i="5"/>
  <c r="K81" i="5"/>
  <c r="K80" i="5"/>
  <c r="K79" i="5"/>
  <c r="N76" i="5"/>
  <c r="N75" i="5"/>
  <c r="K76" i="5"/>
  <c r="K75" i="5"/>
  <c r="N73" i="5"/>
  <c r="N72" i="5"/>
  <c r="N71" i="5"/>
  <c r="N70" i="5"/>
  <c r="N69" i="5"/>
  <c r="K73" i="5"/>
  <c r="K72" i="5"/>
  <c r="K71" i="5"/>
  <c r="K70" i="5"/>
  <c r="K69" i="5"/>
  <c r="N67" i="5"/>
  <c r="N66" i="5" s="1"/>
  <c r="J181" i="8" s="1"/>
  <c r="K67" i="5"/>
  <c r="K66" i="5" s="1"/>
  <c r="E181" i="8" s="1"/>
  <c r="N65" i="5"/>
  <c r="N64" i="5"/>
  <c r="N63" i="5"/>
  <c r="N62" i="5"/>
  <c r="K65" i="5"/>
  <c r="K64" i="5"/>
  <c r="K63" i="5"/>
  <c r="K62" i="5"/>
  <c r="N60" i="5"/>
  <c r="N59" i="5"/>
  <c r="K60" i="5"/>
  <c r="K59" i="5"/>
  <c r="AD54" i="5"/>
  <c r="AG54" i="5" s="1"/>
  <c r="N56" i="5"/>
  <c r="N55" i="5" s="1"/>
  <c r="J177" i="8" s="1"/>
  <c r="K56" i="5"/>
  <c r="K55" i="5" s="1"/>
  <c r="E177" i="8" s="1"/>
  <c r="N54" i="5"/>
  <c r="N53" i="5"/>
  <c r="N52" i="5"/>
  <c r="N51" i="5"/>
  <c r="N50" i="5"/>
  <c r="K53" i="5"/>
  <c r="K52" i="5"/>
  <c r="K51" i="5"/>
  <c r="K50" i="5"/>
  <c r="AG42" i="5"/>
  <c r="N47" i="5"/>
  <c r="N46" i="5"/>
  <c r="N45" i="5"/>
  <c r="N44" i="5"/>
  <c r="N42" i="5"/>
  <c r="N41" i="5"/>
  <c r="N39" i="5"/>
  <c r="N38" i="5"/>
  <c r="N37" i="5"/>
  <c r="N35" i="5"/>
  <c r="N34" i="5"/>
  <c r="N33" i="5"/>
  <c r="N31" i="5"/>
  <c r="N30" i="5" s="1"/>
  <c r="J170" i="8" s="1"/>
  <c r="N28" i="5"/>
  <c r="N27" i="5"/>
  <c r="N25" i="5"/>
  <c r="N24" i="5"/>
  <c r="N22" i="5"/>
  <c r="N21" i="5"/>
  <c r="N20" i="5"/>
  <c r="N19" i="5"/>
  <c r="K47" i="5"/>
  <c r="K46" i="5"/>
  <c r="K45" i="5"/>
  <c r="K44" i="5"/>
  <c r="K42" i="5"/>
  <c r="K41" i="5"/>
  <c r="K39" i="5"/>
  <c r="K38" i="5"/>
  <c r="K37" i="5"/>
  <c r="K35" i="5"/>
  <c r="K34" i="5"/>
  <c r="K33" i="5"/>
  <c r="K31" i="5"/>
  <c r="K30" i="5" s="1"/>
  <c r="E170" i="8" s="1"/>
  <c r="K28" i="5"/>
  <c r="K27" i="5"/>
  <c r="K25" i="5"/>
  <c r="K24" i="5"/>
  <c r="K22" i="5"/>
  <c r="K21" i="5"/>
  <c r="K20" i="5"/>
  <c r="K19" i="5"/>
  <c r="AM8" i="5"/>
  <c r="K6" i="5"/>
  <c r="N6" i="5"/>
  <c r="N16" i="5"/>
  <c r="N15" i="5"/>
  <c r="N14" i="5"/>
  <c r="N13" i="5"/>
  <c r="K16" i="5"/>
  <c r="K15" i="5"/>
  <c r="K14" i="5"/>
  <c r="K13" i="5"/>
  <c r="N8" i="5"/>
  <c r="N11" i="5"/>
  <c r="N10" i="5"/>
  <c r="K8" i="5"/>
  <c r="K11" i="5"/>
  <c r="K10" i="5"/>
  <c r="AG170" i="4"/>
  <c r="N168" i="4"/>
  <c r="J160" i="8" s="1"/>
  <c r="J159" i="8" s="1"/>
  <c r="K168" i="4"/>
  <c r="E160" i="8" s="1"/>
  <c r="E159" i="8" s="1"/>
  <c r="AG166" i="4"/>
  <c r="AG165" i="4"/>
  <c r="AG164" i="4"/>
  <c r="AG161" i="4"/>
  <c r="AG160" i="4"/>
  <c r="AG158" i="4"/>
  <c r="AG157" i="4"/>
  <c r="AG155" i="4"/>
  <c r="AG163" i="4"/>
  <c r="AG162" i="4"/>
  <c r="AG139" i="4"/>
  <c r="AD156" i="4"/>
  <c r="AM147" i="4"/>
  <c r="AM139" i="4"/>
  <c r="AD138" i="4"/>
  <c r="AG138" i="4" s="1"/>
  <c r="N166" i="4"/>
  <c r="N165" i="4"/>
  <c r="N164" i="4"/>
  <c r="N163" i="4"/>
  <c r="N162" i="4"/>
  <c r="N161" i="4"/>
  <c r="N160" i="4"/>
  <c r="N158" i="4"/>
  <c r="N157" i="4"/>
  <c r="N156" i="4"/>
  <c r="N155" i="4"/>
  <c r="N154" i="4"/>
  <c r="N152" i="4"/>
  <c r="N151" i="4"/>
  <c r="N149" i="4"/>
  <c r="N148" i="4"/>
  <c r="N147" i="4"/>
  <c r="N146" i="4"/>
  <c r="N145" i="4"/>
  <c r="N141" i="4"/>
  <c r="N139" i="4"/>
  <c r="N138" i="4"/>
  <c r="N137" i="4"/>
  <c r="K166" i="4"/>
  <c r="K165" i="4"/>
  <c r="K164" i="4"/>
  <c r="K163" i="4"/>
  <c r="K162" i="4"/>
  <c r="K161" i="4"/>
  <c r="K160" i="4"/>
  <c r="K158" i="4"/>
  <c r="K157" i="4"/>
  <c r="K156" i="4"/>
  <c r="K155" i="4"/>
  <c r="K154" i="4"/>
  <c r="K152" i="4"/>
  <c r="K151" i="4"/>
  <c r="K149" i="4"/>
  <c r="K148" i="4"/>
  <c r="K147" i="4"/>
  <c r="K146" i="4"/>
  <c r="K145" i="4"/>
  <c r="K141" i="4"/>
  <c r="K139" i="4"/>
  <c r="K138" i="4"/>
  <c r="K137" i="4"/>
  <c r="AL98" i="4"/>
  <c r="AM130" i="4"/>
  <c r="AM126" i="4"/>
  <c r="AM124" i="4"/>
  <c r="N134" i="4"/>
  <c r="N132" i="4"/>
  <c r="N131" i="4"/>
  <c r="N130" i="4"/>
  <c r="N129" i="4"/>
  <c r="N128" i="4"/>
  <c r="N127" i="4"/>
  <c r="N126" i="4"/>
  <c r="N124" i="4"/>
  <c r="N123" i="4"/>
  <c r="N120" i="4"/>
  <c r="N119" i="4"/>
  <c r="N118" i="4"/>
  <c r="N117" i="4"/>
  <c r="N116" i="4"/>
  <c r="N115" i="4"/>
  <c r="N114" i="4"/>
  <c r="N113" i="4"/>
  <c r="N112" i="4"/>
  <c r="N111" i="4"/>
  <c r="N110" i="4"/>
  <c r="N104" i="4"/>
  <c r="N102" i="4"/>
  <c r="N101" i="4"/>
  <c r="K134" i="4"/>
  <c r="K132" i="4"/>
  <c r="K131" i="4"/>
  <c r="K130" i="4"/>
  <c r="K129" i="4"/>
  <c r="K128" i="4"/>
  <c r="K127" i="4"/>
  <c r="K126" i="4"/>
  <c r="K124" i="4"/>
  <c r="K123" i="4"/>
  <c r="K120" i="4"/>
  <c r="K119" i="4"/>
  <c r="K118" i="4"/>
  <c r="K117" i="4"/>
  <c r="K116" i="4"/>
  <c r="K115" i="4"/>
  <c r="K114" i="4"/>
  <c r="K113" i="4"/>
  <c r="K112" i="4"/>
  <c r="K111" i="4"/>
  <c r="K110" i="4"/>
  <c r="E150" i="8"/>
  <c r="K104" i="4"/>
  <c r="K103" i="4"/>
  <c r="K102" i="4"/>
  <c r="K101" i="4"/>
  <c r="N99" i="4"/>
  <c r="N98" i="4" s="1"/>
  <c r="M99" i="4"/>
  <c r="M98" i="4" s="1"/>
  <c r="K99" i="4"/>
  <c r="K98" i="4" s="1"/>
  <c r="J99" i="4"/>
  <c r="J98" i="4" s="1"/>
  <c r="N96" i="4"/>
  <c r="N95" i="4" s="1"/>
  <c r="J146" i="8" s="1"/>
  <c r="N94" i="4"/>
  <c r="N93" i="4"/>
  <c r="N92" i="4"/>
  <c r="N90" i="4"/>
  <c r="N89" i="4"/>
  <c r="N88" i="4"/>
  <c r="N87" i="4"/>
  <c r="N86" i="4"/>
  <c r="N85" i="4"/>
  <c r="N84" i="4"/>
  <c r="K96" i="4"/>
  <c r="K95" i="4" s="1"/>
  <c r="E146" i="8" s="1"/>
  <c r="K94" i="4"/>
  <c r="K93" i="4"/>
  <c r="K92" i="4"/>
  <c r="K87" i="4"/>
  <c r="K84" i="4"/>
  <c r="K90" i="4"/>
  <c r="K89" i="4"/>
  <c r="K88" i="4"/>
  <c r="K86" i="4"/>
  <c r="K85" i="4"/>
  <c r="AM93" i="4"/>
  <c r="AD92" i="4"/>
  <c r="AD87" i="4"/>
  <c r="AG87" i="4" s="1"/>
  <c r="AG93" i="4"/>
  <c r="AD90" i="4"/>
  <c r="AG90" i="4" s="1"/>
  <c r="AD72" i="4"/>
  <c r="AG72" i="4" s="1"/>
  <c r="AG68" i="4"/>
  <c r="AG67" i="4"/>
  <c r="N81" i="4"/>
  <c r="N80" i="4"/>
  <c r="N78" i="4"/>
  <c r="N77" i="4" s="1"/>
  <c r="J141" i="8" s="1"/>
  <c r="N75" i="4"/>
  <c r="N74" i="4"/>
  <c r="N72" i="4"/>
  <c r="N71" i="4"/>
  <c r="N70" i="4"/>
  <c r="N68" i="4"/>
  <c r="N67" i="4"/>
  <c r="N66" i="4"/>
  <c r="N65" i="4"/>
  <c r="N63" i="4"/>
  <c r="N62" i="4"/>
  <c r="K81" i="4"/>
  <c r="K80" i="4"/>
  <c r="K78" i="4"/>
  <c r="K77" i="4" s="1"/>
  <c r="E141" i="8" s="1"/>
  <c r="K75" i="4"/>
  <c r="K74" i="4"/>
  <c r="K72" i="4"/>
  <c r="K71" i="4"/>
  <c r="K70" i="4"/>
  <c r="K68" i="4"/>
  <c r="K67" i="4"/>
  <c r="K66" i="4"/>
  <c r="K65" i="4"/>
  <c r="K63" i="4"/>
  <c r="K62" i="4"/>
  <c r="N59" i="4"/>
  <c r="N58" i="4"/>
  <c r="N56" i="4"/>
  <c r="N55" i="4"/>
  <c r="N54" i="4"/>
  <c r="N52" i="4"/>
  <c r="N51" i="4"/>
  <c r="N49" i="4"/>
  <c r="N48" i="4"/>
  <c r="N47" i="4"/>
  <c r="N43" i="4"/>
  <c r="N41" i="4"/>
  <c r="N40" i="4"/>
  <c r="K58" i="4"/>
  <c r="K55" i="4"/>
  <c r="K54" i="4"/>
  <c r="K52" i="4"/>
  <c r="K51" i="4"/>
  <c r="K49" i="4"/>
  <c r="K48" i="4"/>
  <c r="K47" i="4"/>
  <c r="K43" i="4"/>
  <c r="K41" i="4"/>
  <c r="K40" i="4"/>
  <c r="AC27" i="4"/>
  <c r="AG36" i="4"/>
  <c r="N36" i="4"/>
  <c r="N35" i="4"/>
  <c r="N34" i="4"/>
  <c r="N32" i="4"/>
  <c r="N31" i="4"/>
  <c r="N30" i="4"/>
  <c r="N29" i="4"/>
  <c r="N28" i="4"/>
  <c r="K36" i="4"/>
  <c r="K35" i="4"/>
  <c r="K34" i="4"/>
  <c r="K32" i="4"/>
  <c r="K31" i="4"/>
  <c r="K30" i="4"/>
  <c r="K29" i="4"/>
  <c r="N25" i="4"/>
  <c r="N24" i="4"/>
  <c r="N23" i="4"/>
  <c r="K25" i="4"/>
  <c r="K24" i="4"/>
  <c r="K23" i="4"/>
  <c r="AG16" i="4"/>
  <c r="AD13" i="4"/>
  <c r="AG13" i="4" s="1"/>
  <c r="AD14" i="4"/>
  <c r="AG14" i="4" s="1"/>
  <c r="AD18" i="4"/>
  <c r="AG18" i="4" s="1"/>
  <c r="N7" i="4"/>
  <c r="N21" i="4"/>
  <c r="N20" i="4"/>
  <c r="N19" i="4"/>
  <c r="N18" i="4"/>
  <c r="N17" i="4"/>
  <c r="N16" i="4"/>
  <c r="N15" i="4"/>
  <c r="N14" i="4"/>
  <c r="N13" i="4"/>
  <c r="N12" i="4"/>
  <c r="N11" i="4"/>
  <c r="N10" i="4"/>
  <c r="N9" i="4"/>
  <c r="N8" i="4"/>
  <c r="N6" i="4"/>
  <c r="K21" i="4"/>
  <c r="K18" i="4"/>
  <c r="K17" i="4"/>
  <c r="K13" i="4"/>
  <c r="K7" i="4"/>
  <c r="AN83" i="5" l="1"/>
  <c r="AN82" i="5"/>
  <c r="AN81" i="5"/>
  <c r="V9" i="7"/>
  <c r="AM119" i="4"/>
  <c r="AM19" i="4"/>
  <c r="AM29" i="6"/>
  <c r="AM98" i="5"/>
  <c r="AD84" i="5"/>
  <c r="AG84" i="5" s="1"/>
  <c r="AM27" i="6"/>
  <c r="AD140" i="5"/>
  <c r="AD41" i="6"/>
  <c r="AG41" i="6" s="1"/>
  <c r="AD42" i="6"/>
  <c r="AG42" i="6" s="1"/>
  <c r="AD19" i="5"/>
  <c r="AD70" i="5"/>
  <c r="AG70" i="5" s="1"/>
  <c r="O141" i="8"/>
  <c r="AD78" i="4"/>
  <c r="AD77" i="4" s="1"/>
  <c r="K141" i="8" s="1"/>
  <c r="AM15" i="6"/>
  <c r="O201" i="8"/>
  <c r="AM34" i="6"/>
  <c r="AD7" i="5"/>
  <c r="AD135" i="5"/>
  <c r="O169" i="8"/>
  <c r="AM88" i="4"/>
  <c r="AD88" i="4"/>
  <c r="AG88" i="4" s="1"/>
  <c r="AM24" i="4"/>
  <c r="AD21" i="4"/>
  <c r="AG21" i="4" s="1"/>
  <c r="AD12" i="4"/>
  <c r="AG12" i="4" s="1"/>
  <c r="AM107" i="4"/>
  <c r="AD107" i="4"/>
  <c r="AD105" i="4" s="1"/>
  <c r="K150" i="8" s="1"/>
  <c r="AM25" i="6"/>
  <c r="AM91" i="5"/>
  <c r="AM20" i="5"/>
  <c r="AL6" i="6"/>
  <c r="AM6" i="6"/>
  <c r="AG37" i="5"/>
  <c r="AD20" i="4"/>
  <c r="AM41" i="4"/>
  <c r="O126" i="8"/>
  <c r="AM138" i="5"/>
  <c r="AM132" i="5"/>
  <c r="AM100" i="5"/>
  <c r="AM34" i="5"/>
  <c r="AM42" i="5"/>
  <c r="AD115" i="5"/>
  <c r="AG115" i="5" s="1"/>
  <c r="AM44" i="5"/>
  <c r="AM130" i="5"/>
  <c r="AM47" i="5"/>
  <c r="O189" i="8"/>
  <c r="AM25" i="5"/>
  <c r="AM35" i="5"/>
  <c r="AM16" i="5"/>
  <c r="AM15" i="5"/>
  <c r="AM14" i="5"/>
  <c r="AM13" i="5"/>
  <c r="AM38" i="5"/>
  <c r="AM11" i="5"/>
  <c r="AM27" i="5"/>
  <c r="AM51" i="5"/>
  <c r="AM50" i="5"/>
  <c r="AM52" i="5"/>
  <c r="AM53" i="5"/>
  <c r="AM29" i="4"/>
  <c r="AM30" i="4"/>
  <c r="AM63" i="4"/>
  <c r="AM28" i="4"/>
  <c r="AM141" i="5"/>
  <c r="AM137" i="5"/>
  <c r="AM133" i="5"/>
  <c r="AM128" i="5"/>
  <c r="AM126" i="5"/>
  <c r="AM124" i="5"/>
  <c r="AM122" i="5"/>
  <c r="AM121" i="5"/>
  <c r="AM120" i="5"/>
  <c r="AM119" i="5"/>
  <c r="AM118" i="5"/>
  <c r="AM117" i="5"/>
  <c r="AM114" i="5"/>
  <c r="AM113" i="5"/>
  <c r="AD169" i="4"/>
  <c r="AD168" i="4" s="1"/>
  <c r="AM97" i="5"/>
  <c r="AM96" i="5"/>
  <c r="AM90" i="5"/>
  <c r="AM87" i="5"/>
  <c r="AM83" i="5"/>
  <c r="AM82" i="5"/>
  <c r="AM81" i="5"/>
  <c r="AM76" i="5"/>
  <c r="AM72" i="5"/>
  <c r="AM71" i="5"/>
  <c r="AM73" i="5"/>
  <c r="AM67" i="5"/>
  <c r="AM66" i="5" s="1"/>
  <c r="AM64" i="5"/>
  <c r="AM65" i="5"/>
  <c r="AM63" i="5"/>
  <c r="AM62" i="5"/>
  <c r="AM60" i="5"/>
  <c r="O135" i="8"/>
  <c r="AM58" i="4"/>
  <c r="AM19" i="6"/>
  <c r="AM21" i="6"/>
  <c r="AM35" i="6"/>
  <c r="AM20" i="6"/>
  <c r="AM36" i="6"/>
  <c r="AM46" i="6"/>
  <c r="AM39" i="6"/>
  <c r="AM16" i="6"/>
  <c r="AM17" i="6"/>
  <c r="AM13" i="6"/>
  <c r="AM18" i="6"/>
  <c r="AM46" i="5"/>
  <c r="AM45" i="5"/>
  <c r="AM94" i="4"/>
  <c r="AM45" i="4"/>
  <c r="AM74" i="4"/>
  <c r="AM113" i="4"/>
  <c r="AM75" i="4"/>
  <c r="AM132" i="4"/>
  <c r="AM17" i="4"/>
  <c r="AM116" i="4"/>
  <c r="AM125" i="4"/>
  <c r="AM133" i="4"/>
  <c r="AM148" i="4"/>
  <c r="AM157" i="4"/>
  <c r="AM80" i="4"/>
  <c r="AM79" i="4" s="1"/>
  <c r="R142" i="8" s="1"/>
  <c r="AM108" i="4"/>
  <c r="AM117" i="4"/>
  <c r="AM149" i="4"/>
  <c r="AM15" i="4"/>
  <c r="AM7" i="4"/>
  <c r="AM34" i="4"/>
  <c r="AM70" i="4"/>
  <c r="AM89" i="4"/>
  <c r="AM118" i="4"/>
  <c r="AM127" i="4"/>
  <c r="AM151" i="4"/>
  <c r="AM71" i="4"/>
  <c r="AM111" i="4"/>
  <c r="AM128" i="4"/>
  <c r="AM152" i="4"/>
  <c r="AM145" i="4"/>
  <c r="AM154" i="4"/>
  <c r="AM65" i="4"/>
  <c r="AM85" i="4"/>
  <c r="AM104" i="4"/>
  <c r="AM114" i="4"/>
  <c r="AM123" i="4"/>
  <c r="AM131" i="4"/>
  <c r="AM146" i="4"/>
  <c r="AM66" i="4"/>
  <c r="AM86" i="4"/>
  <c r="AM115" i="4"/>
  <c r="AM16" i="4"/>
  <c r="AM25" i="4"/>
  <c r="AM112" i="4"/>
  <c r="AM120" i="4"/>
  <c r="AM129" i="4"/>
  <c r="AM153" i="4"/>
  <c r="AM52" i="4"/>
  <c r="AM48" i="4"/>
  <c r="AM49" i="4"/>
  <c r="AM47" i="4"/>
  <c r="AM21" i="5"/>
  <c r="AM22" i="5"/>
  <c r="AM137" i="4"/>
  <c r="AM56" i="4"/>
  <c r="AM55" i="4"/>
  <c r="AM52" i="6"/>
  <c r="AM108" i="5"/>
  <c r="AM107" i="5"/>
  <c r="AM106" i="5"/>
  <c r="AM104" i="5"/>
  <c r="AM103" i="5"/>
  <c r="AM102" i="5"/>
  <c r="AM101" i="5"/>
  <c r="AM40" i="4"/>
  <c r="N5" i="6"/>
  <c r="J200" i="8" s="1"/>
  <c r="AM33" i="6"/>
  <c r="AM23" i="6"/>
  <c r="AG52" i="6"/>
  <c r="AG47" i="6" s="1"/>
  <c r="K26" i="5"/>
  <c r="AM31" i="4"/>
  <c r="AM110" i="4"/>
  <c r="AM6" i="4"/>
  <c r="AM59" i="4"/>
  <c r="AM51" i="4"/>
  <c r="O133" i="8"/>
  <c r="AG11" i="5"/>
  <c r="N40" i="5"/>
  <c r="J173" i="8" s="1"/>
  <c r="K58" i="5"/>
  <c r="E179" i="8" s="1"/>
  <c r="K74" i="5"/>
  <c r="E183" i="8" s="1"/>
  <c r="AD137" i="5"/>
  <c r="AG137" i="5" s="1"/>
  <c r="K46" i="4"/>
  <c r="E132" i="8" s="1"/>
  <c r="AG96" i="5"/>
  <c r="AD132" i="5"/>
  <c r="AG132" i="5" s="1"/>
  <c r="AD76" i="5"/>
  <c r="AG76" i="5" s="1"/>
  <c r="AG13" i="5"/>
  <c r="N105" i="5"/>
  <c r="J190" i="8" s="1"/>
  <c r="K85" i="5"/>
  <c r="E186" i="8" s="1"/>
  <c r="AD26" i="6"/>
  <c r="AG26" i="6" s="1"/>
  <c r="AD21" i="6"/>
  <c r="AG21" i="6" s="1"/>
  <c r="AD34" i="6"/>
  <c r="AG34" i="6" s="1"/>
  <c r="N23" i="5"/>
  <c r="J168" i="8" s="1"/>
  <c r="K49" i="5"/>
  <c r="E176" i="8" s="1"/>
  <c r="E175" i="8" s="1"/>
  <c r="K139" i="5"/>
  <c r="E197" i="8" s="1"/>
  <c r="AD141" i="5"/>
  <c r="AG141" i="5" s="1"/>
  <c r="AD10" i="5"/>
  <c r="AG10" i="5" s="1"/>
  <c r="AD60" i="5"/>
  <c r="AG60" i="5" s="1"/>
  <c r="K105" i="5"/>
  <c r="E190" i="8" s="1"/>
  <c r="K40" i="5"/>
  <c r="E173" i="8" s="1"/>
  <c r="AD62" i="5"/>
  <c r="AG62" i="5" s="1"/>
  <c r="AD14" i="5"/>
  <c r="AG14" i="5" s="1"/>
  <c r="AD45" i="5"/>
  <c r="AG45" i="5" s="1"/>
  <c r="AG122" i="5"/>
  <c r="AG21" i="5"/>
  <c r="K5" i="5"/>
  <c r="E163" i="8" s="1"/>
  <c r="N58" i="5"/>
  <c r="J179" i="8" s="1"/>
  <c r="AG82" i="5"/>
  <c r="AG23" i="4"/>
  <c r="N69" i="4"/>
  <c r="J139" i="8" s="1"/>
  <c r="K136" i="4"/>
  <c r="N57" i="4"/>
  <c r="J135" i="8" s="1"/>
  <c r="AM93" i="5"/>
  <c r="O187" i="8"/>
  <c r="H187" i="8" s="1"/>
  <c r="AM24" i="5"/>
  <c r="O168" i="8"/>
  <c r="AM23" i="4"/>
  <c r="K100" i="4"/>
  <c r="E149" i="8" s="1"/>
  <c r="AD46" i="5"/>
  <c r="AG46" i="5" s="1"/>
  <c r="AG83" i="5"/>
  <c r="K53" i="4"/>
  <c r="E134" i="8" s="1"/>
  <c r="N9" i="5"/>
  <c r="J164" i="8" s="1"/>
  <c r="AD8" i="5"/>
  <c r="AG8" i="5" s="1"/>
  <c r="K23" i="5"/>
  <c r="E168" i="8" s="1"/>
  <c r="N26" i="5"/>
  <c r="J169" i="8" s="1"/>
  <c r="O177" i="8"/>
  <c r="AM56" i="5"/>
  <c r="AD90" i="5"/>
  <c r="AG90" i="5" s="1"/>
  <c r="AG112" i="5"/>
  <c r="AD29" i="6"/>
  <c r="AG29" i="6" s="1"/>
  <c r="N47" i="6"/>
  <c r="J206" i="8" s="1"/>
  <c r="N91" i="4"/>
  <c r="J145" i="8" s="1"/>
  <c r="N12" i="5"/>
  <c r="J165" i="8" s="1"/>
  <c r="AD128" i="4"/>
  <c r="AG128" i="4" s="1"/>
  <c r="K78" i="5"/>
  <c r="AD95" i="5"/>
  <c r="AG95" i="5" s="1"/>
  <c r="K116" i="5"/>
  <c r="E193" i="8" s="1"/>
  <c r="N110" i="5"/>
  <c r="J192" i="8" s="1"/>
  <c r="AG113" i="5"/>
  <c r="K22" i="6"/>
  <c r="E202" i="8" s="1"/>
  <c r="AD119" i="5"/>
  <c r="AG119" i="5" s="1"/>
  <c r="N18" i="5"/>
  <c r="J167" i="8" s="1"/>
  <c r="AD25" i="5"/>
  <c r="AG25" i="5" s="1"/>
  <c r="AG63" i="5"/>
  <c r="AK80" i="5"/>
  <c r="AD104" i="5"/>
  <c r="AG104" i="5" s="1"/>
  <c r="N40" i="6"/>
  <c r="J205" i="8" s="1"/>
  <c r="N78" i="5"/>
  <c r="J185" i="8" s="1"/>
  <c r="AD34" i="5"/>
  <c r="AG34" i="5" s="1"/>
  <c r="AD64" i="5"/>
  <c r="AG64" i="5" s="1"/>
  <c r="AD124" i="5"/>
  <c r="AG124" i="5" s="1"/>
  <c r="K50" i="4"/>
  <c r="E133" i="8" s="1"/>
  <c r="AM106" i="4"/>
  <c r="K9" i="5"/>
  <c r="E164" i="8" s="1"/>
  <c r="AG16" i="5"/>
  <c r="K32" i="5"/>
  <c r="E171" i="8" s="1"/>
  <c r="AD51" i="5"/>
  <c r="AG51" i="5" s="1"/>
  <c r="AD65" i="5"/>
  <c r="AG65" i="5" s="1"/>
  <c r="AD81" i="5"/>
  <c r="AG81" i="5" s="1"/>
  <c r="K131" i="5"/>
  <c r="E195" i="8" s="1"/>
  <c r="N139" i="5"/>
  <c r="J197" i="8" s="1"/>
  <c r="AD18" i="6"/>
  <c r="AG18" i="6" s="1"/>
  <c r="AD22" i="5"/>
  <c r="AG22" i="5" s="1"/>
  <c r="N100" i="4"/>
  <c r="J149" i="8" s="1"/>
  <c r="N136" i="4"/>
  <c r="J154" i="8" s="1"/>
  <c r="N53" i="4"/>
  <c r="J134" i="8" s="1"/>
  <c r="K121" i="4"/>
  <c r="N50" i="4"/>
  <c r="J133" i="8" s="1"/>
  <c r="AG48" i="4"/>
  <c r="AD99" i="4"/>
  <c r="AG99" i="4" s="1"/>
  <c r="AG98" i="4" s="1"/>
  <c r="AG49" i="4"/>
  <c r="N27" i="4"/>
  <c r="J128" i="8" s="1"/>
  <c r="AG51" i="4"/>
  <c r="AD117" i="4"/>
  <c r="AG117" i="4" s="1"/>
  <c r="AD17" i="4"/>
  <c r="AG17" i="4" s="1"/>
  <c r="N79" i="4"/>
  <c r="J142" i="8" s="1"/>
  <c r="AD70" i="4"/>
  <c r="AG70" i="4" s="1"/>
  <c r="N121" i="4"/>
  <c r="J152" i="8" s="1"/>
  <c r="AD118" i="4"/>
  <c r="AG118" i="4" s="1"/>
  <c r="K69" i="4"/>
  <c r="E139" i="8" s="1"/>
  <c r="K79" i="4"/>
  <c r="E142" i="8" s="1"/>
  <c r="AD119" i="4"/>
  <c r="AG119" i="4" s="1"/>
  <c r="AG156" i="4"/>
  <c r="K33" i="4"/>
  <c r="E129" i="8" s="1"/>
  <c r="N33" i="4"/>
  <c r="J129" i="8" s="1"/>
  <c r="K57" i="4"/>
  <c r="E135" i="8" s="1"/>
  <c r="N46" i="4"/>
  <c r="J132" i="8" s="1"/>
  <c r="N61" i="4"/>
  <c r="J137" i="8" s="1"/>
  <c r="AG127" i="4"/>
  <c r="AM122" i="4"/>
  <c r="AM54" i="4"/>
  <c r="O134" i="8"/>
  <c r="E148" i="8"/>
  <c r="AM62" i="4"/>
  <c r="J148" i="8"/>
  <c r="N167" i="4"/>
  <c r="AM143" i="4"/>
  <c r="AD30" i="4"/>
  <c r="AG30" i="4" s="1"/>
  <c r="K159" i="4"/>
  <c r="E158" i="8" s="1"/>
  <c r="G158" i="8" s="1"/>
  <c r="AD52" i="4"/>
  <c r="AG52" i="4" s="1"/>
  <c r="AG146" i="4"/>
  <c r="AD54" i="4"/>
  <c r="AD85" i="4"/>
  <c r="AG85" i="4" s="1"/>
  <c r="AD123" i="4"/>
  <c r="AG123" i="4" s="1"/>
  <c r="AD131" i="4"/>
  <c r="AG131" i="4" s="1"/>
  <c r="AG147" i="4"/>
  <c r="AM171" i="4"/>
  <c r="AG145" i="4"/>
  <c r="K61" i="4"/>
  <c r="AD55" i="4"/>
  <c r="AG55" i="4" s="1"/>
  <c r="AD124" i="4"/>
  <c r="AG124" i="4" s="1"/>
  <c r="AG132" i="4"/>
  <c r="N144" i="4"/>
  <c r="J156" i="8" s="1"/>
  <c r="AD113" i="4"/>
  <c r="AG113" i="4" s="1"/>
  <c r="AD137" i="4"/>
  <c r="O132" i="8"/>
  <c r="K22" i="4"/>
  <c r="E126" i="8" s="1"/>
  <c r="AM32" i="4"/>
  <c r="AD31" i="4"/>
  <c r="AG31" i="4" s="1"/>
  <c r="AD62" i="4"/>
  <c r="K91" i="4"/>
  <c r="E145" i="8" s="1"/>
  <c r="AD129" i="4"/>
  <c r="AG129" i="4" s="1"/>
  <c r="N159" i="4"/>
  <c r="J158" i="8" s="1"/>
  <c r="AD63" i="4"/>
  <c r="AG63" i="4" s="1"/>
  <c r="AG43" i="4"/>
  <c r="AG56" i="4"/>
  <c r="AG34" i="4"/>
  <c r="AD47" i="4"/>
  <c r="AG115" i="4"/>
  <c r="AG134" i="4"/>
  <c r="AG141" i="4"/>
  <c r="AG140" i="4" s="1"/>
  <c r="AD152" i="4"/>
  <c r="AG152" i="4" s="1"/>
  <c r="K40" i="6"/>
  <c r="E205" i="8" s="1"/>
  <c r="AD17" i="6"/>
  <c r="O146" i="8"/>
  <c r="AM96" i="4"/>
  <c r="AM95" i="4" s="1"/>
  <c r="O171" i="8"/>
  <c r="AM33" i="5"/>
  <c r="AD33" i="5"/>
  <c r="AG33" i="5" s="1"/>
  <c r="AD35" i="5"/>
  <c r="AG35" i="5" s="1"/>
  <c r="N32" i="5"/>
  <c r="K12" i="5"/>
  <c r="E165" i="8" s="1"/>
  <c r="N5" i="5"/>
  <c r="J163" i="8" s="1"/>
  <c r="AG6" i="5"/>
  <c r="AM31" i="5"/>
  <c r="AM30" i="5" s="1"/>
  <c r="O170" i="8"/>
  <c r="AD38" i="5"/>
  <c r="AG38" i="5" s="1"/>
  <c r="AD39" i="5"/>
  <c r="AG39" i="5" s="1"/>
  <c r="N36" i="5"/>
  <c r="J172" i="8" s="1"/>
  <c r="K36" i="5"/>
  <c r="E172" i="8" s="1"/>
  <c r="K18" i="5"/>
  <c r="O164" i="8"/>
  <c r="AM10" i="5"/>
  <c r="AG27" i="5"/>
  <c r="AM28" i="5"/>
  <c r="AG28" i="5"/>
  <c r="N74" i="5"/>
  <c r="J183" i="8" s="1"/>
  <c r="AM75" i="5"/>
  <c r="O183" i="8"/>
  <c r="AD75" i="5"/>
  <c r="AG75" i="5" s="1"/>
  <c r="AD72" i="5"/>
  <c r="AG72" i="5" s="1"/>
  <c r="N68" i="5"/>
  <c r="J182" i="8" s="1"/>
  <c r="AD71" i="5"/>
  <c r="AG71" i="5" s="1"/>
  <c r="AD73" i="5"/>
  <c r="AG73" i="5" s="1"/>
  <c r="K68" i="5"/>
  <c r="E182" i="8" s="1"/>
  <c r="AM69" i="5"/>
  <c r="AD69" i="5"/>
  <c r="O181" i="8"/>
  <c r="AD67" i="5"/>
  <c r="N61" i="5"/>
  <c r="J180" i="8" s="1"/>
  <c r="K61" i="5"/>
  <c r="E180" i="8" s="1"/>
  <c r="O180" i="8"/>
  <c r="AG59" i="5"/>
  <c r="K140" i="4"/>
  <c r="E155" i="8" s="1"/>
  <c r="N140" i="4"/>
  <c r="J155" i="8" s="1"/>
  <c r="AG103" i="4"/>
  <c r="AG104" i="4"/>
  <c r="AG102" i="4"/>
  <c r="AM101" i="4"/>
  <c r="J150" i="8"/>
  <c r="AM95" i="5"/>
  <c r="AG98" i="5"/>
  <c r="AD97" i="5"/>
  <c r="AG97" i="5" s="1"/>
  <c r="K94" i="5"/>
  <c r="E188" i="8" s="1"/>
  <c r="N94" i="5"/>
  <c r="J188" i="8" s="1"/>
  <c r="AG93" i="5"/>
  <c r="AG92" i="5" s="1"/>
  <c r="AM86" i="5"/>
  <c r="AD86" i="5"/>
  <c r="AG86" i="5" s="1"/>
  <c r="AD87" i="5"/>
  <c r="AG87" i="5" s="1"/>
  <c r="AD88" i="5"/>
  <c r="AG88" i="5" s="1"/>
  <c r="N85" i="5"/>
  <c r="J186" i="8" s="1"/>
  <c r="K47" i="6"/>
  <c r="E206" i="8" s="1"/>
  <c r="K167" i="4"/>
  <c r="AD25" i="6"/>
  <c r="AG25" i="6" s="1"/>
  <c r="AG108" i="5"/>
  <c r="O190" i="8"/>
  <c r="AD106" i="5"/>
  <c r="AD100" i="5"/>
  <c r="AG102" i="5"/>
  <c r="K99" i="5"/>
  <c r="E189" i="8" s="1"/>
  <c r="AD101" i="5"/>
  <c r="AG101" i="5" s="1"/>
  <c r="AD103" i="5"/>
  <c r="AG103" i="5" s="1"/>
  <c r="N99" i="5"/>
  <c r="J189" i="8" s="1"/>
  <c r="AD41" i="4"/>
  <c r="AG41" i="4" s="1"/>
  <c r="AD40" i="4"/>
  <c r="AG40" i="4" s="1"/>
  <c r="AD39" i="4"/>
  <c r="AG39" i="6"/>
  <c r="K31" i="6"/>
  <c r="E204" i="8" s="1"/>
  <c r="N31" i="6"/>
  <c r="J204" i="8" s="1"/>
  <c r="AD35" i="6"/>
  <c r="AG35" i="6" s="1"/>
  <c r="AD33" i="6"/>
  <c r="AG33" i="6" s="1"/>
  <c r="AG13" i="6"/>
  <c r="AG8" i="6"/>
  <c r="AG7" i="6"/>
  <c r="AG6" i="6"/>
  <c r="K5" i="6"/>
  <c r="E200" i="8" s="1"/>
  <c r="N14" i="6"/>
  <c r="J201" i="8" s="1"/>
  <c r="K14" i="6"/>
  <c r="E201" i="8" s="1"/>
  <c r="AG76" i="4"/>
  <c r="AD75" i="4"/>
  <c r="AG75" i="4" s="1"/>
  <c r="AG74" i="4"/>
  <c r="AG71" i="4"/>
  <c r="AD66" i="4"/>
  <c r="AG66" i="4" s="1"/>
  <c r="K64" i="4"/>
  <c r="E138" i="8" s="1"/>
  <c r="AG65" i="4"/>
  <c r="N64" i="4"/>
  <c r="J138" i="8" s="1"/>
  <c r="N22" i="6"/>
  <c r="J202" i="8" s="1"/>
  <c r="AD23" i="6"/>
  <c r="AG23" i="6" s="1"/>
  <c r="AD138" i="5"/>
  <c r="K134" i="5"/>
  <c r="E196" i="8" s="1"/>
  <c r="N134" i="5"/>
  <c r="J196" i="8" s="1"/>
  <c r="AG133" i="5"/>
  <c r="O195" i="8"/>
  <c r="N131" i="5"/>
  <c r="J195" i="8" s="1"/>
  <c r="AG126" i="5"/>
  <c r="AG128" i="5"/>
  <c r="AG129" i="5"/>
  <c r="AD130" i="5"/>
  <c r="AG130" i="5" s="1"/>
  <c r="O193" i="8"/>
  <c r="AG120" i="5"/>
  <c r="AG121" i="5"/>
  <c r="AG117" i="5"/>
  <c r="AG118" i="5"/>
  <c r="N116" i="5"/>
  <c r="J193" i="8" s="1"/>
  <c r="AG114" i="5"/>
  <c r="K110" i="5"/>
  <c r="E192" i="8" s="1"/>
  <c r="AG159" i="4"/>
  <c r="N150" i="4"/>
  <c r="J157" i="8" s="1"/>
  <c r="K150" i="4"/>
  <c r="E157" i="8" s="1"/>
  <c r="AD154" i="4"/>
  <c r="AG154" i="4" s="1"/>
  <c r="AD148" i="4"/>
  <c r="AG148" i="4" s="1"/>
  <c r="O156" i="8"/>
  <c r="K144" i="4"/>
  <c r="E156" i="8" s="1"/>
  <c r="AD29" i="4"/>
  <c r="AG29" i="4" s="1"/>
  <c r="AD28" i="4"/>
  <c r="K27" i="4"/>
  <c r="E128" i="8" s="1"/>
  <c r="AG15" i="4"/>
  <c r="AD7" i="4"/>
  <c r="AG7" i="4" s="1"/>
  <c r="N5" i="4"/>
  <c r="J125" i="8" s="1"/>
  <c r="K5" i="4"/>
  <c r="E125" i="8" s="1"/>
  <c r="N43" i="5"/>
  <c r="J174" i="8" s="1"/>
  <c r="K43" i="5"/>
  <c r="E174" i="8" s="1"/>
  <c r="AD44" i="5"/>
  <c r="AG116" i="4"/>
  <c r="AD120" i="4"/>
  <c r="AG120" i="4" s="1"/>
  <c r="AG114" i="4"/>
  <c r="AD111" i="4"/>
  <c r="AG111" i="4" s="1"/>
  <c r="AD110" i="4"/>
  <c r="AD55" i="5"/>
  <c r="K177" i="8" s="1"/>
  <c r="N49" i="5"/>
  <c r="J176" i="8" s="1"/>
  <c r="J175" i="8" s="1"/>
  <c r="AG52" i="5"/>
  <c r="AD53" i="5"/>
  <c r="AG53" i="5" s="1"/>
  <c r="N109" i="4"/>
  <c r="J151" i="8" s="1"/>
  <c r="K109" i="4"/>
  <c r="AD112" i="4"/>
  <c r="AG112" i="4" s="1"/>
  <c r="AD94" i="4"/>
  <c r="AG94" i="4" s="1"/>
  <c r="K83" i="4"/>
  <c r="N83" i="4"/>
  <c r="J144" i="8" s="1"/>
  <c r="AD89" i="4"/>
  <c r="AG89" i="4" s="1"/>
  <c r="AG86" i="4"/>
  <c r="O142" i="8"/>
  <c r="AG81" i="4"/>
  <c r="AG59" i="4"/>
  <c r="AG25" i="4"/>
  <c r="AG24" i="4"/>
  <c r="N22" i="4"/>
  <c r="J126" i="8" s="1"/>
  <c r="AG46" i="6"/>
  <c r="AD36" i="6"/>
  <c r="AG36" i="6" s="1"/>
  <c r="AM37" i="6"/>
  <c r="O165" i="8"/>
  <c r="AD15" i="5"/>
  <c r="AG15" i="5" s="1"/>
  <c r="AD96" i="4"/>
  <c r="AG92" i="4"/>
  <c r="AG84" i="4"/>
  <c r="AI6" i="4"/>
  <c r="AI7" i="4"/>
  <c r="AL7" i="4" s="1"/>
  <c r="AI13" i="4"/>
  <c r="AL13" i="4" s="1"/>
  <c r="AI14" i="4"/>
  <c r="AL14" i="4" s="1"/>
  <c r="AI15" i="4"/>
  <c r="AL15" i="4" s="1"/>
  <c r="AI16" i="4"/>
  <c r="AL16" i="4" s="1"/>
  <c r="AI17" i="4"/>
  <c r="AL17" i="4" s="1"/>
  <c r="AI18" i="4"/>
  <c r="AL18" i="4" s="1"/>
  <c r="AF23" i="4"/>
  <c r="AI23" i="4"/>
  <c r="AL23" i="4" s="1"/>
  <c r="AF25" i="4"/>
  <c r="AI25" i="4"/>
  <c r="AL25" i="4" s="1"/>
  <c r="AF31" i="4"/>
  <c r="AF27" i="4" s="1"/>
  <c r="AI31" i="4"/>
  <c r="AL31" i="4" s="1"/>
  <c r="AL27" i="4" s="1"/>
  <c r="AF34" i="4"/>
  <c r="AI34" i="4"/>
  <c r="AL34" i="4" s="1"/>
  <c r="AF36" i="4"/>
  <c r="AI36" i="4"/>
  <c r="AL36" i="4" s="1"/>
  <c r="AI40" i="4"/>
  <c r="AL40" i="4" s="1"/>
  <c r="AI45" i="4"/>
  <c r="AL45" i="4" s="1"/>
  <c r="AI47" i="4"/>
  <c r="AI48" i="4"/>
  <c r="AL48" i="4" s="1"/>
  <c r="AI49" i="4"/>
  <c r="AL49" i="4" s="1"/>
  <c r="AI52" i="4"/>
  <c r="AI50" i="4" s="1"/>
  <c r="AI54" i="4"/>
  <c r="AL54" i="4" s="1"/>
  <c r="AF55" i="4"/>
  <c r="AI55" i="4"/>
  <c r="AL55" i="4" s="1"/>
  <c r="AI56" i="4"/>
  <c r="AL56" i="4" s="1"/>
  <c r="AI59" i="4"/>
  <c r="AL59" i="4" s="1"/>
  <c r="AL57" i="4" s="1"/>
  <c r="AI62" i="4"/>
  <c r="AL62" i="4" s="1"/>
  <c r="AL61" i="4" s="1"/>
  <c r="AF65" i="4"/>
  <c r="AI65" i="4"/>
  <c r="AL65" i="4" s="1"/>
  <c r="AI66" i="4"/>
  <c r="AL66" i="4" s="1"/>
  <c r="AI67" i="4"/>
  <c r="AL67" i="4" s="1"/>
  <c r="AF68" i="4"/>
  <c r="AI68" i="4"/>
  <c r="AL68" i="4" s="1"/>
  <c r="AF70" i="4"/>
  <c r="AI70" i="4"/>
  <c r="AF71" i="4"/>
  <c r="AI71" i="4"/>
  <c r="AL71" i="4" s="1"/>
  <c r="AI72" i="4"/>
  <c r="AL72" i="4" s="1"/>
  <c r="AF74" i="4"/>
  <c r="AI74" i="4"/>
  <c r="AI75" i="4"/>
  <c r="AL75" i="4" s="1"/>
  <c r="AI78" i="4"/>
  <c r="AI77" i="4" s="1"/>
  <c r="AI80" i="4"/>
  <c r="AF81" i="4"/>
  <c r="AI81" i="4"/>
  <c r="AL81" i="4" s="1"/>
  <c r="AI85" i="4"/>
  <c r="AL85" i="4" s="1"/>
  <c r="AI86" i="4"/>
  <c r="AL86" i="4" s="1"/>
  <c r="AI90" i="4"/>
  <c r="AI92" i="4"/>
  <c r="AI94" i="4"/>
  <c r="AL94" i="4" s="1"/>
  <c r="AF96" i="4"/>
  <c r="AF95" i="4" s="1"/>
  <c r="AI96" i="4"/>
  <c r="AI95" i="4" s="1"/>
  <c r="AF101" i="4"/>
  <c r="AI101" i="4"/>
  <c r="AF102" i="4"/>
  <c r="AI102" i="4"/>
  <c r="AL102" i="4" s="1"/>
  <c r="AF104" i="4"/>
  <c r="AI104" i="4"/>
  <c r="AI106" i="4"/>
  <c r="AL106" i="4" s="1"/>
  <c r="AI107" i="4"/>
  <c r="AL107" i="4" s="1"/>
  <c r="AI108" i="4"/>
  <c r="AL108" i="4" s="1"/>
  <c r="AF110" i="4"/>
  <c r="AI110" i="4"/>
  <c r="AI111" i="4"/>
  <c r="AL111" i="4" s="1"/>
  <c r="AI113" i="4"/>
  <c r="AL113" i="4" s="1"/>
  <c r="AI114" i="4"/>
  <c r="AL114" i="4" s="1"/>
  <c r="AF115" i="4"/>
  <c r="AI115" i="4"/>
  <c r="AL115" i="4" s="1"/>
  <c r="AI116" i="4"/>
  <c r="AL116" i="4" s="1"/>
  <c r="AI118" i="4"/>
  <c r="AL118" i="4" s="1"/>
  <c r="AL119" i="4"/>
  <c r="AI120" i="4"/>
  <c r="AL120" i="4" s="1"/>
  <c r="AI122" i="4"/>
  <c r="AI125" i="4"/>
  <c r="AL125" i="4" s="1"/>
  <c r="AF127" i="4"/>
  <c r="AI127" i="4"/>
  <c r="AL127" i="4" s="1"/>
  <c r="AF128" i="4"/>
  <c r="AI128" i="4"/>
  <c r="AL128" i="4" s="1"/>
  <c r="AI131" i="4"/>
  <c r="AL131" i="4" s="1"/>
  <c r="AI133" i="4"/>
  <c r="AL133" i="4" s="1"/>
  <c r="AI134" i="4"/>
  <c r="AL134" i="4" s="1"/>
  <c r="AF137" i="4"/>
  <c r="AF136" i="4" s="1"/>
  <c r="AI136" i="4"/>
  <c r="AI141" i="4"/>
  <c r="AL141" i="4" s="1"/>
  <c r="AF142" i="4"/>
  <c r="AI142" i="4"/>
  <c r="AL142" i="4" s="1"/>
  <c r="AI143" i="4"/>
  <c r="AL143" i="4" s="1"/>
  <c r="AI146" i="4"/>
  <c r="AL146" i="4" s="1"/>
  <c r="AI147" i="4"/>
  <c r="AL147" i="4" s="1"/>
  <c r="AI148" i="4"/>
  <c r="AL148" i="4" s="1"/>
  <c r="AI151" i="4"/>
  <c r="AL151" i="4" s="1"/>
  <c r="AI152" i="4"/>
  <c r="AL152" i="4" s="1"/>
  <c r="AI153" i="4"/>
  <c r="AI154" i="4"/>
  <c r="AL154" i="4" s="1"/>
  <c r="AI156" i="4"/>
  <c r="AL156" i="4" s="1"/>
  <c r="AI157" i="4"/>
  <c r="AL157" i="4" s="1"/>
  <c r="N132" i="3"/>
  <c r="N129" i="3" s="1"/>
  <c r="J122" i="8" s="1"/>
  <c r="N128" i="3"/>
  <c r="N127" i="3"/>
  <c r="N126" i="3"/>
  <c r="K132" i="3"/>
  <c r="K129" i="3" s="1"/>
  <c r="E122" i="8" s="1"/>
  <c r="K128" i="3"/>
  <c r="K127" i="3"/>
  <c r="K126" i="3"/>
  <c r="AM116" i="3"/>
  <c r="AM115" i="3"/>
  <c r="N119" i="3"/>
  <c r="N123" i="3"/>
  <c r="N122" i="3"/>
  <c r="N121" i="3"/>
  <c r="N118" i="3"/>
  <c r="N116" i="3"/>
  <c r="N115" i="3"/>
  <c r="N114" i="3"/>
  <c r="N112" i="3"/>
  <c r="N111" i="3"/>
  <c r="N109" i="3"/>
  <c r="N108" i="3"/>
  <c r="N106" i="3"/>
  <c r="N105" i="3"/>
  <c r="N104" i="3"/>
  <c r="N103" i="3"/>
  <c r="N102" i="3"/>
  <c r="K123" i="3"/>
  <c r="K122" i="3"/>
  <c r="K121" i="3"/>
  <c r="K119" i="3"/>
  <c r="K118" i="3"/>
  <c r="K116" i="3"/>
  <c r="K115" i="3"/>
  <c r="K114" i="3"/>
  <c r="K112" i="3"/>
  <c r="K111" i="3"/>
  <c r="K109" i="3"/>
  <c r="K108" i="3"/>
  <c r="K106" i="3"/>
  <c r="K105" i="3"/>
  <c r="K104" i="3"/>
  <c r="K103" i="3"/>
  <c r="K102" i="3"/>
  <c r="AF56" i="3"/>
  <c r="AF54" i="3" s="1"/>
  <c r="AD83" i="3"/>
  <c r="AG83" i="3" s="1"/>
  <c r="AD71" i="3"/>
  <c r="AG71" i="3" s="1"/>
  <c r="N98" i="3"/>
  <c r="N99" i="3"/>
  <c r="N97" i="3"/>
  <c r="K99" i="3"/>
  <c r="K98" i="3"/>
  <c r="K97" i="3"/>
  <c r="N93" i="3"/>
  <c r="N95" i="3"/>
  <c r="N94" i="3"/>
  <c r="N92" i="3"/>
  <c r="K95" i="3"/>
  <c r="K94" i="3"/>
  <c r="K93" i="3"/>
  <c r="K92" i="3"/>
  <c r="N89" i="3"/>
  <c r="N90" i="3"/>
  <c r="N88" i="3"/>
  <c r="N87" i="3"/>
  <c r="N76" i="3"/>
  <c r="N85" i="3"/>
  <c r="N84" i="3"/>
  <c r="N83" i="3"/>
  <c r="N82" i="3"/>
  <c r="N81" i="3"/>
  <c r="N80" i="3"/>
  <c r="N79" i="3"/>
  <c r="N78" i="3"/>
  <c r="N77" i="3"/>
  <c r="N75" i="3"/>
  <c r="N74" i="3"/>
  <c r="K90" i="3"/>
  <c r="K89" i="3"/>
  <c r="K88" i="3"/>
  <c r="K87" i="3"/>
  <c r="K85" i="3"/>
  <c r="K84" i="3"/>
  <c r="K83" i="3"/>
  <c r="K82" i="3"/>
  <c r="K81" i="3"/>
  <c r="K80" i="3"/>
  <c r="K79" i="3"/>
  <c r="K78" i="3"/>
  <c r="K77" i="3"/>
  <c r="K76" i="3"/>
  <c r="K75" i="3"/>
  <c r="K74" i="3"/>
  <c r="N71" i="3"/>
  <c r="N70" i="3"/>
  <c r="N72" i="3"/>
  <c r="N69" i="3"/>
  <c r="K72" i="3"/>
  <c r="K71" i="3"/>
  <c r="K70" i="3"/>
  <c r="K69" i="3"/>
  <c r="N66" i="3"/>
  <c r="N65" i="3"/>
  <c r="K66" i="3"/>
  <c r="K65" i="3"/>
  <c r="N63" i="3"/>
  <c r="N62" i="3"/>
  <c r="N61" i="3"/>
  <c r="N60" i="3"/>
  <c r="N58" i="3"/>
  <c r="N57" i="3"/>
  <c r="N56" i="3"/>
  <c r="N55" i="3"/>
  <c r="N52" i="3"/>
  <c r="N51" i="3"/>
  <c r="N50" i="3"/>
  <c r="N49" i="3"/>
  <c r="N48" i="3"/>
  <c r="N47" i="3"/>
  <c r="K63" i="3"/>
  <c r="K62" i="3"/>
  <c r="K61" i="3"/>
  <c r="K60" i="3"/>
  <c r="K58" i="3"/>
  <c r="K57" i="3"/>
  <c r="K56" i="3"/>
  <c r="K55" i="3"/>
  <c r="K52" i="3"/>
  <c r="K51" i="3"/>
  <c r="K50" i="3"/>
  <c r="K49" i="3"/>
  <c r="K48" i="3"/>
  <c r="K47" i="3"/>
  <c r="N44" i="3"/>
  <c r="N43" i="3" s="1"/>
  <c r="J104" i="8" s="1"/>
  <c r="N42" i="3"/>
  <c r="N41" i="3"/>
  <c r="N39" i="3"/>
  <c r="N38" i="3"/>
  <c r="N37" i="3"/>
  <c r="N36" i="3"/>
  <c r="N35" i="3"/>
  <c r="K43" i="3"/>
  <c r="E104" i="8" s="1"/>
  <c r="K42" i="3"/>
  <c r="K41" i="3"/>
  <c r="K39" i="3"/>
  <c r="K38" i="3"/>
  <c r="K37" i="3"/>
  <c r="K36" i="3"/>
  <c r="K35" i="3"/>
  <c r="AC21" i="3"/>
  <c r="N32" i="3"/>
  <c r="N31" i="3"/>
  <c r="N30" i="3"/>
  <c r="N27" i="3"/>
  <c r="N26" i="3"/>
  <c r="N25" i="3"/>
  <c r="N23" i="3"/>
  <c r="N22" i="3"/>
  <c r="N20" i="3"/>
  <c r="N19" i="3"/>
  <c r="N18" i="3"/>
  <c r="N17" i="3"/>
  <c r="K32" i="3"/>
  <c r="K31" i="3"/>
  <c r="K27" i="3"/>
  <c r="K26" i="3"/>
  <c r="K25" i="3"/>
  <c r="K23" i="3"/>
  <c r="K22" i="3"/>
  <c r="K20" i="3"/>
  <c r="K19" i="3"/>
  <c r="K18" i="3"/>
  <c r="K17" i="3"/>
  <c r="AG27" i="3"/>
  <c r="AD23" i="3"/>
  <c r="AG23" i="3" s="1"/>
  <c r="N14" i="3"/>
  <c r="N13" i="3"/>
  <c r="N12" i="3"/>
  <c r="K14" i="3"/>
  <c r="K13" i="3"/>
  <c r="K12" i="3"/>
  <c r="N8" i="3"/>
  <c r="N7" i="3"/>
  <c r="N9" i="3"/>
  <c r="N10" i="3"/>
  <c r="K7" i="3"/>
  <c r="K8" i="3"/>
  <c r="K9" i="3"/>
  <c r="K10" i="3"/>
  <c r="AD14" i="3"/>
  <c r="AG14" i="3" s="1"/>
  <c r="AD6" i="2"/>
  <c r="AG6" i="2" s="1"/>
  <c r="AG8" i="3"/>
  <c r="AG9" i="3"/>
  <c r="AD10" i="3"/>
  <c r="AG204" i="2"/>
  <c r="AD201" i="2"/>
  <c r="AG201" i="2" s="1"/>
  <c r="AD200" i="2"/>
  <c r="AC187" i="2"/>
  <c r="AD166" i="2"/>
  <c r="N182" i="2"/>
  <c r="J85" i="8" s="1"/>
  <c r="K182" i="2"/>
  <c r="E85" i="8" s="1"/>
  <c r="E137" i="8" l="1"/>
  <c r="E154" i="8"/>
  <c r="E153" i="8" s="1"/>
  <c r="K135" i="4"/>
  <c r="H183" i="8"/>
  <c r="H146" i="8"/>
  <c r="H189" i="8"/>
  <c r="H156" i="8"/>
  <c r="H168" i="8"/>
  <c r="H169" i="8"/>
  <c r="H141" i="8"/>
  <c r="H132" i="8"/>
  <c r="H134" i="8"/>
  <c r="H135" i="8"/>
  <c r="H190" i="8"/>
  <c r="H170" i="8"/>
  <c r="H180" i="8"/>
  <c r="H126" i="8"/>
  <c r="H201" i="8"/>
  <c r="H165" i="8"/>
  <c r="H193" i="8"/>
  <c r="H181" i="8"/>
  <c r="H164" i="8"/>
  <c r="AN80" i="5"/>
  <c r="AN79" i="5"/>
  <c r="E185" i="8"/>
  <c r="E184" i="8" s="1"/>
  <c r="K77" i="5"/>
  <c r="AK84" i="5"/>
  <c r="AM122" i="3"/>
  <c r="AE40" i="3"/>
  <c r="AE86" i="3"/>
  <c r="M113" i="8" s="1"/>
  <c r="AE21" i="3"/>
  <c r="M98" i="8" s="1"/>
  <c r="AM103" i="3"/>
  <c r="AM104" i="3"/>
  <c r="AM80" i="3"/>
  <c r="AM89" i="3"/>
  <c r="AM51" i="3"/>
  <c r="AE101" i="3"/>
  <c r="M117" i="8" s="1"/>
  <c r="AM85" i="3"/>
  <c r="AM69" i="3"/>
  <c r="AE68" i="3"/>
  <c r="M111" i="8" s="1"/>
  <c r="AM79" i="3"/>
  <c r="AM118" i="3"/>
  <c r="AE117" i="3"/>
  <c r="M119" i="8" s="1"/>
  <c r="AM94" i="3"/>
  <c r="AM95" i="3"/>
  <c r="AE11" i="3"/>
  <c r="AM55" i="3"/>
  <c r="AE54" i="3"/>
  <c r="M107" i="8" s="1"/>
  <c r="O103" i="8"/>
  <c r="AM70" i="3"/>
  <c r="AM98" i="3"/>
  <c r="AG10" i="3"/>
  <c r="AD5" i="3"/>
  <c r="AM48" i="3"/>
  <c r="AM58" i="3"/>
  <c r="AM20" i="3"/>
  <c r="N96" i="3"/>
  <c r="J115" i="8" s="1"/>
  <c r="O197" i="8"/>
  <c r="AM140" i="5"/>
  <c r="AM139" i="5" s="1"/>
  <c r="R197" i="8" s="1"/>
  <c r="AM70" i="5"/>
  <c r="AM68" i="5" s="1"/>
  <c r="R182" i="8" s="1"/>
  <c r="AM84" i="5"/>
  <c r="AM191" i="2"/>
  <c r="AM41" i="6"/>
  <c r="AM42" i="6"/>
  <c r="AM29" i="5"/>
  <c r="AM26" i="5" s="1"/>
  <c r="R169" i="8" s="1"/>
  <c r="O167" i="8"/>
  <c r="AM19" i="5"/>
  <c r="AM18" i="5" s="1"/>
  <c r="AD40" i="6"/>
  <c r="K205" i="8" s="1"/>
  <c r="AM78" i="4"/>
  <c r="AM77" i="4" s="1"/>
  <c r="R141" i="8" s="1"/>
  <c r="AL122" i="4"/>
  <c r="AL121" i="4" s="1"/>
  <c r="AI121" i="4"/>
  <c r="AD47" i="3"/>
  <c r="K160" i="8"/>
  <c r="K159" i="8" s="1"/>
  <c r="AD167" i="4"/>
  <c r="AG178" i="2"/>
  <c r="AG179" i="2"/>
  <c r="AM61" i="3"/>
  <c r="AM63" i="3"/>
  <c r="AM37" i="5"/>
  <c r="AM135" i="5"/>
  <c r="AM134" i="5" s="1"/>
  <c r="R196" i="8" s="1"/>
  <c r="AD5" i="5"/>
  <c r="K163" i="8" s="1"/>
  <c r="AM22" i="4"/>
  <c r="R126" i="8" s="1"/>
  <c r="AM21" i="4"/>
  <c r="E169" i="8"/>
  <c r="K17" i="5"/>
  <c r="E167" i="8"/>
  <c r="AG20" i="5"/>
  <c r="AD18" i="5"/>
  <c r="AM41" i="5"/>
  <c r="AM40" i="5" s="1"/>
  <c r="R173" i="8" s="1"/>
  <c r="O173" i="8"/>
  <c r="O179" i="8"/>
  <c r="H179" i="8" s="1"/>
  <c r="AM5" i="6"/>
  <c r="AM31" i="6"/>
  <c r="AM59" i="5"/>
  <c r="AM58" i="5" s="1"/>
  <c r="R179" i="8" s="1"/>
  <c r="O172" i="8"/>
  <c r="AM9" i="5"/>
  <c r="R164" i="8" s="1"/>
  <c r="K173" i="8"/>
  <c r="AG41" i="5"/>
  <c r="AG40" i="5" s="1"/>
  <c r="AM42" i="3"/>
  <c r="AM14" i="6"/>
  <c r="R201" i="8" s="1"/>
  <c r="AG50" i="3"/>
  <c r="AM39" i="5"/>
  <c r="O157" i="8"/>
  <c r="AM156" i="4"/>
  <c r="AM150" i="4" s="1"/>
  <c r="R157" i="8" s="1"/>
  <c r="AM36" i="4"/>
  <c r="AM20" i="4"/>
  <c r="AM26" i="6"/>
  <c r="AG205" i="2"/>
  <c r="AG203" i="2" s="1"/>
  <c r="AM196" i="2"/>
  <c r="AM112" i="3"/>
  <c r="AD29" i="3"/>
  <c r="AG29" i="3" s="1"/>
  <c r="AD30" i="3"/>
  <c r="AG30" i="3" s="1"/>
  <c r="AM131" i="3"/>
  <c r="AM169" i="4"/>
  <c r="AM168" i="4" s="1"/>
  <c r="AM167" i="4" s="1"/>
  <c r="R159" i="8" s="1"/>
  <c r="O160" i="8"/>
  <c r="AM105" i="5"/>
  <c r="R190" i="8" s="1"/>
  <c r="AM88" i="5"/>
  <c r="AM131" i="5"/>
  <c r="R195" i="8" s="1"/>
  <c r="AM12" i="5"/>
  <c r="R165" i="8" s="1"/>
  <c r="AM89" i="5"/>
  <c r="AM116" i="5"/>
  <c r="R193" i="8" s="1"/>
  <c r="AM61" i="5"/>
  <c r="R180" i="8" s="1"/>
  <c r="AM43" i="5"/>
  <c r="R174" i="8" s="1"/>
  <c r="AG107" i="5"/>
  <c r="AD105" i="5"/>
  <c r="K190" i="8" s="1"/>
  <c r="AM99" i="5"/>
  <c r="R189" i="8" s="1"/>
  <c r="AM52" i="3"/>
  <c r="AM49" i="3"/>
  <c r="AM39" i="3"/>
  <c r="AM38" i="3"/>
  <c r="AM37" i="3"/>
  <c r="AM18" i="3"/>
  <c r="AM17" i="3"/>
  <c r="AM13" i="3"/>
  <c r="AM12" i="3"/>
  <c r="AM7" i="3"/>
  <c r="AM54" i="5"/>
  <c r="AM49" i="5" s="1"/>
  <c r="R176" i="8" s="1"/>
  <c r="AG169" i="4"/>
  <c r="AG168" i="4" s="1"/>
  <c r="AG167" i="4" s="1"/>
  <c r="H167" i="4" s="1"/>
  <c r="AM90" i="3"/>
  <c r="AM88" i="3"/>
  <c r="AM80" i="5"/>
  <c r="AM49" i="6"/>
  <c r="AM50" i="6"/>
  <c r="AM190" i="2"/>
  <c r="AM189" i="2"/>
  <c r="AM186" i="2"/>
  <c r="AM183" i="2"/>
  <c r="AM182" i="2" s="1"/>
  <c r="R85" i="8" s="1"/>
  <c r="AM181" i="2"/>
  <c r="AG181" i="2"/>
  <c r="AM180" i="2"/>
  <c r="AM177" i="2"/>
  <c r="AM175" i="2"/>
  <c r="AM172" i="2"/>
  <c r="AM169" i="2"/>
  <c r="AM168" i="2"/>
  <c r="AM167" i="2"/>
  <c r="AM144" i="4"/>
  <c r="R156" i="8" s="1"/>
  <c r="AM134" i="4"/>
  <c r="AM67" i="4"/>
  <c r="AM68" i="4"/>
  <c r="AM109" i="4"/>
  <c r="R151" i="8" s="1"/>
  <c r="AM72" i="4"/>
  <c r="AM69" i="4" s="1"/>
  <c r="R139" i="8" s="1"/>
  <c r="AM46" i="4"/>
  <c r="R132" i="8" s="1"/>
  <c r="AM13" i="4"/>
  <c r="AM87" i="4"/>
  <c r="AM14" i="4"/>
  <c r="AM50" i="4"/>
  <c r="R133" i="8" s="1"/>
  <c r="AM141" i="4"/>
  <c r="O145" i="8"/>
  <c r="AM18" i="4"/>
  <c r="AM84" i="4"/>
  <c r="AM99" i="3"/>
  <c r="AM92" i="3"/>
  <c r="AM84" i="3"/>
  <c r="AM81" i="3"/>
  <c r="AM78" i="3"/>
  <c r="AM77" i="3"/>
  <c r="AM76" i="3"/>
  <c r="AM75" i="3"/>
  <c r="AM74" i="3"/>
  <c r="AM72" i="3"/>
  <c r="AM48" i="6"/>
  <c r="AM51" i="6"/>
  <c r="AM121" i="3"/>
  <c r="AM114" i="3"/>
  <c r="AM111" i="3"/>
  <c r="AM106" i="3"/>
  <c r="AM105" i="3"/>
  <c r="AM102" i="3"/>
  <c r="AM62" i="3"/>
  <c r="AM60" i="3"/>
  <c r="AM57" i="3"/>
  <c r="AM199" i="2"/>
  <c r="AM197" i="2"/>
  <c r="AM195" i="2"/>
  <c r="K40" i="3"/>
  <c r="E103" i="8" s="1"/>
  <c r="N40" i="3"/>
  <c r="J103" i="8" s="1"/>
  <c r="AD47" i="6"/>
  <c r="K206" i="8" s="1"/>
  <c r="AM74" i="5"/>
  <c r="R183" i="8" s="1"/>
  <c r="AM115" i="5"/>
  <c r="AM110" i="5" s="1"/>
  <c r="AM94" i="5"/>
  <c r="R188" i="8" s="1"/>
  <c r="AG9" i="5"/>
  <c r="R181" i="8"/>
  <c r="AM32" i="5"/>
  <c r="R171" i="8" s="1"/>
  <c r="AM23" i="5"/>
  <c r="R168" i="8" s="1"/>
  <c r="AM92" i="5"/>
  <c r="R187" i="8" s="1"/>
  <c r="AM55" i="5"/>
  <c r="AD98" i="4"/>
  <c r="O149" i="8"/>
  <c r="AM102" i="4"/>
  <c r="AM100" i="4" s="1"/>
  <c r="R149" i="8" s="1"/>
  <c r="AM61" i="4"/>
  <c r="R137" i="8" s="1"/>
  <c r="AM57" i="4"/>
  <c r="R135" i="8" s="1"/>
  <c r="AM105" i="4"/>
  <c r="R150" i="8" s="1"/>
  <c r="AM53" i="4"/>
  <c r="R134" i="8" s="1"/>
  <c r="AM98" i="4"/>
  <c r="AL110" i="4"/>
  <c r="AL109" i="4" s="1"/>
  <c r="AI109" i="4"/>
  <c r="O151" i="8" s="1"/>
  <c r="AM27" i="4"/>
  <c r="R128" i="8" s="1"/>
  <c r="R170" i="8"/>
  <c r="K48" i="5"/>
  <c r="E178" i="8"/>
  <c r="K57" i="5"/>
  <c r="AD74" i="5"/>
  <c r="K183" i="8" s="1"/>
  <c r="AG5" i="5"/>
  <c r="AG74" i="5"/>
  <c r="AG12" i="5"/>
  <c r="AG131" i="5"/>
  <c r="AG32" i="5"/>
  <c r="AG61" i="5"/>
  <c r="AD91" i="4"/>
  <c r="K145" i="8" s="1"/>
  <c r="K203" i="2"/>
  <c r="E91" i="8" s="1"/>
  <c r="AD22" i="6"/>
  <c r="K202" i="8" s="1"/>
  <c r="J203" i="8"/>
  <c r="AG94" i="5"/>
  <c r="AD110" i="5"/>
  <c r="K192" i="8" s="1"/>
  <c r="AD9" i="5"/>
  <c r="K164" i="8" s="1"/>
  <c r="AG78" i="5"/>
  <c r="AD61" i="5"/>
  <c r="K180" i="8" s="1"/>
  <c r="AD32" i="5"/>
  <c r="K171" i="8" s="1"/>
  <c r="AG26" i="5"/>
  <c r="N4" i="5"/>
  <c r="AD94" i="5"/>
  <c r="K188" i="8" s="1"/>
  <c r="J162" i="8"/>
  <c r="AD12" i="5"/>
  <c r="K165" i="8" s="1"/>
  <c r="AG55" i="5"/>
  <c r="AG116" i="5"/>
  <c r="E162" i="8"/>
  <c r="J143" i="8"/>
  <c r="AG78" i="4"/>
  <c r="AG77" i="4" s="1"/>
  <c r="K82" i="4"/>
  <c r="K184" i="2"/>
  <c r="E86" i="8" s="1"/>
  <c r="AD172" i="2"/>
  <c r="AG172" i="2" s="1"/>
  <c r="AI69" i="4"/>
  <c r="AG22" i="4"/>
  <c r="AI57" i="4"/>
  <c r="AL70" i="4"/>
  <c r="AL69" i="4" s="1"/>
  <c r="AL22" i="4"/>
  <c r="K28" i="3"/>
  <c r="E100" i="8" s="1"/>
  <c r="N203" i="2"/>
  <c r="J91" i="8" s="1"/>
  <c r="N165" i="2"/>
  <c r="J81" i="8" s="1"/>
  <c r="K193" i="2"/>
  <c r="K170" i="2"/>
  <c r="E82" i="8" s="1"/>
  <c r="K91" i="3"/>
  <c r="E114" i="8" s="1"/>
  <c r="K68" i="3"/>
  <c r="E111" i="8" s="1"/>
  <c r="AL144" i="4"/>
  <c r="AG169" i="2"/>
  <c r="AG138" i="5"/>
  <c r="AG134" i="5" s="1"/>
  <c r="AD134" i="5"/>
  <c r="K196" i="8" s="1"/>
  <c r="K173" i="2"/>
  <c r="E83" i="8" s="1"/>
  <c r="K187" i="2"/>
  <c r="E87" i="8" s="1"/>
  <c r="AD175" i="2"/>
  <c r="AG175" i="2" s="1"/>
  <c r="AG127" i="3"/>
  <c r="AI100" i="4"/>
  <c r="N26" i="4"/>
  <c r="AM127" i="5"/>
  <c r="AD26" i="5"/>
  <c r="K169" i="8" s="1"/>
  <c r="AG43" i="6"/>
  <c r="AG40" i="6" s="1"/>
  <c r="AG186" i="2"/>
  <c r="AG196" i="2"/>
  <c r="AI22" i="4"/>
  <c r="K4" i="5"/>
  <c r="N48" i="5"/>
  <c r="AD183" i="2"/>
  <c r="AG183" i="2" s="1"/>
  <c r="AG182" i="2" s="1"/>
  <c r="AD190" i="2"/>
  <c r="AG190" i="2" s="1"/>
  <c r="AG199" i="2"/>
  <c r="AD98" i="3"/>
  <c r="AG98" i="3" s="1"/>
  <c r="AL78" i="4"/>
  <c r="AL77" i="4" s="1"/>
  <c r="AF22" i="4"/>
  <c r="AD116" i="5"/>
  <c r="K193" i="8" s="1"/>
  <c r="AD78" i="5"/>
  <c r="AG69" i="4"/>
  <c r="AG24" i="5"/>
  <c r="AG23" i="5" s="1"/>
  <c r="AD23" i="5"/>
  <c r="K168" i="8" s="1"/>
  <c r="AI83" i="4"/>
  <c r="AD31" i="6"/>
  <c r="K204" i="8" s="1"/>
  <c r="AG111" i="5"/>
  <c r="AG110" i="5" s="1"/>
  <c r="AG22" i="6"/>
  <c r="AG17" i="6"/>
  <c r="AG14" i="6" s="1"/>
  <c r="AD14" i="6"/>
  <c r="K201" i="8" s="1"/>
  <c r="AG128" i="3"/>
  <c r="AM25" i="3"/>
  <c r="AL101" i="4"/>
  <c r="AD49" i="5"/>
  <c r="K176" i="8" s="1"/>
  <c r="K175" i="8" s="1"/>
  <c r="K30" i="6"/>
  <c r="N57" i="5"/>
  <c r="K97" i="4"/>
  <c r="J127" i="8"/>
  <c r="J199" i="8"/>
  <c r="E152" i="8"/>
  <c r="AD83" i="4"/>
  <c r="K144" i="8" s="1"/>
  <c r="J124" i="8"/>
  <c r="AD50" i="4"/>
  <c r="K133" i="8" s="1"/>
  <c r="AG25" i="3"/>
  <c r="AI140" i="4"/>
  <c r="AL64" i="4"/>
  <c r="AI144" i="4"/>
  <c r="AI91" i="4"/>
  <c r="AI46" i="4"/>
  <c r="AG50" i="4"/>
  <c r="AI150" i="4"/>
  <c r="AI79" i="4"/>
  <c r="AI27" i="4"/>
  <c r="AI64" i="4"/>
  <c r="AG144" i="4"/>
  <c r="AL33" i="4"/>
  <c r="AL26" i="4" s="1"/>
  <c r="AL105" i="4"/>
  <c r="AL53" i="4"/>
  <c r="AF33" i="4"/>
  <c r="AF26" i="4" s="1"/>
  <c r="AI105" i="4"/>
  <c r="AI53" i="4"/>
  <c r="AI5" i="4"/>
  <c r="E124" i="8"/>
  <c r="E127" i="8"/>
  <c r="AL140" i="4"/>
  <c r="AL153" i="4"/>
  <c r="AL150" i="4" s="1"/>
  <c r="AL104" i="4"/>
  <c r="AF100" i="4"/>
  <c r="AL90" i="4"/>
  <c r="AL83" i="4" s="1"/>
  <c r="AL80" i="4"/>
  <c r="AL79" i="4" s="1"/>
  <c r="AL74" i="4"/>
  <c r="AL52" i="4"/>
  <c r="AL50" i="4" s="1"/>
  <c r="AL6" i="4"/>
  <c r="AL5" i="4" s="1"/>
  <c r="AM138" i="4"/>
  <c r="AG62" i="4"/>
  <c r="AG61" i="4" s="1"/>
  <c r="AD61" i="4"/>
  <c r="K137" i="8" s="1"/>
  <c r="AG151" i="4"/>
  <c r="AG150" i="4" s="1"/>
  <c r="AD150" i="4"/>
  <c r="K157" i="8" s="1"/>
  <c r="N97" i="4"/>
  <c r="AL137" i="4"/>
  <c r="AL136" i="4" s="1"/>
  <c r="AL96" i="4"/>
  <c r="AL95" i="4" s="1"/>
  <c r="AL92" i="4"/>
  <c r="AL91" i="4" s="1"/>
  <c r="AI61" i="4"/>
  <c r="AL47" i="4"/>
  <c r="AL46" i="4" s="1"/>
  <c r="AI33" i="4"/>
  <c r="AG6" i="4"/>
  <c r="AG5" i="4" s="1"/>
  <c r="AD5" i="4"/>
  <c r="O139" i="8"/>
  <c r="AD140" i="4"/>
  <c r="K155" i="8" s="1"/>
  <c r="AD136" i="4"/>
  <c r="AG137" i="4"/>
  <c r="AG136" i="4" s="1"/>
  <c r="AG121" i="4"/>
  <c r="AD121" i="4"/>
  <c r="K152" i="8" s="1"/>
  <c r="AM92" i="4"/>
  <c r="O148" i="8"/>
  <c r="H148" i="8" s="1"/>
  <c r="AD73" i="4"/>
  <c r="K140" i="8" s="1"/>
  <c r="AD53" i="4"/>
  <c r="K134" i="8" s="1"/>
  <c r="AG54" i="4"/>
  <c r="AG53" i="4" s="1"/>
  <c r="K26" i="4"/>
  <c r="AG91" i="4"/>
  <c r="E144" i="8"/>
  <c r="E143" i="8" s="1"/>
  <c r="O138" i="8"/>
  <c r="AD144" i="4"/>
  <c r="K156" i="8" s="1"/>
  <c r="J153" i="8"/>
  <c r="AG47" i="4"/>
  <c r="AG46" i="4" s="1"/>
  <c r="AD46" i="4"/>
  <c r="K132" i="8" s="1"/>
  <c r="J178" i="8"/>
  <c r="K73" i="3"/>
  <c r="E112" i="8" s="1"/>
  <c r="AG88" i="3"/>
  <c r="K21" i="3"/>
  <c r="E98" i="8" s="1"/>
  <c r="N28" i="3"/>
  <c r="J100" i="8" s="1"/>
  <c r="N86" i="3"/>
  <c r="J113" i="8" s="1"/>
  <c r="AD97" i="3"/>
  <c r="AG97" i="3" s="1"/>
  <c r="AM119" i="3"/>
  <c r="AG35" i="3"/>
  <c r="AD89" i="3"/>
  <c r="AG89" i="3" s="1"/>
  <c r="K24" i="3"/>
  <c r="E99" i="8" s="1"/>
  <c r="AD82" i="3"/>
  <c r="AG82" i="3" s="1"/>
  <c r="K16" i="3"/>
  <c r="E97" i="8" s="1"/>
  <c r="K59" i="3"/>
  <c r="E108" i="8" s="1"/>
  <c r="AD84" i="3"/>
  <c r="AG84" i="3" s="1"/>
  <c r="AD22" i="3"/>
  <c r="AD21" i="3" s="1"/>
  <c r="K98" i="8" s="1"/>
  <c r="AG75" i="3"/>
  <c r="AG114" i="3"/>
  <c r="N11" i="3"/>
  <c r="J95" i="8" s="1"/>
  <c r="AD48" i="3"/>
  <c r="AG48" i="3" s="1"/>
  <c r="AG99" i="3"/>
  <c r="AG56" i="3"/>
  <c r="AD103" i="3"/>
  <c r="AG103" i="3" s="1"/>
  <c r="K64" i="3"/>
  <c r="E109" i="8" s="1"/>
  <c r="N68" i="3"/>
  <c r="AM109" i="3"/>
  <c r="AG115" i="3"/>
  <c r="AM44" i="6"/>
  <c r="AG191" i="2"/>
  <c r="N187" i="2"/>
  <c r="J87" i="8" s="1"/>
  <c r="AG189" i="2"/>
  <c r="AM188" i="2"/>
  <c r="AM185" i="2"/>
  <c r="O86" i="8"/>
  <c r="N184" i="2"/>
  <c r="J86" i="8" s="1"/>
  <c r="O85" i="8"/>
  <c r="AG180" i="2"/>
  <c r="AD177" i="2"/>
  <c r="AM174" i="2"/>
  <c r="O83" i="8"/>
  <c r="AD174" i="2"/>
  <c r="N173" i="2"/>
  <c r="J83" i="8" s="1"/>
  <c r="N170" i="2"/>
  <c r="J82" i="8" s="1"/>
  <c r="K165" i="2"/>
  <c r="E81" i="8" s="1"/>
  <c r="AD168" i="2"/>
  <c r="AG168" i="2" s="1"/>
  <c r="N21" i="3"/>
  <c r="J98" i="8" s="1"/>
  <c r="R146" i="8"/>
  <c r="N17" i="5"/>
  <c r="J171" i="8"/>
  <c r="J166" i="8" s="1"/>
  <c r="AM6" i="5"/>
  <c r="AG31" i="5"/>
  <c r="AG30" i="5" s="1"/>
  <c r="AD30" i="5"/>
  <c r="K170" i="8" s="1"/>
  <c r="AG36" i="5"/>
  <c r="AD36" i="5"/>
  <c r="K172" i="8" s="1"/>
  <c r="AG19" i="5"/>
  <c r="AM132" i="3"/>
  <c r="N24" i="3"/>
  <c r="J99" i="8" s="1"/>
  <c r="N82" i="4"/>
  <c r="AD90" i="3"/>
  <c r="AG90" i="3" s="1"/>
  <c r="K86" i="3"/>
  <c r="E113" i="8" s="1"/>
  <c r="K96" i="3"/>
  <c r="E115" i="8" s="1"/>
  <c r="N91" i="3"/>
  <c r="J114" i="8" s="1"/>
  <c r="AG74" i="3"/>
  <c r="AD70" i="3"/>
  <c r="AG70" i="3" s="1"/>
  <c r="AD69" i="3"/>
  <c r="AG69" i="3" s="1"/>
  <c r="J147" i="8"/>
  <c r="E203" i="8"/>
  <c r="AD68" i="5"/>
  <c r="K182" i="8" s="1"/>
  <c r="AG69" i="5"/>
  <c r="AG68" i="5" s="1"/>
  <c r="AG67" i="5"/>
  <c r="AG66" i="5" s="1"/>
  <c r="AD66" i="5"/>
  <c r="K181" i="8" s="1"/>
  <c r="AG58" i="5"/>
  <c r="AD58" i="5"/>
  <c r="N135" i="4"/>
  <c r="AG101" i="4"/>
  <c r="AG100" i="4" s="1"/>
  <c r="AD100" i="4"/>
  <c r="K149" i="8" s="1"/>
  <c r="J184" i="8"/>
  <c r="AM79" i="5"/>
  <c r="AG85" i="5"/>
  <c r="AD85" i="5"/>
  <c r="K186" i="8" s="1"/>
  <c r="AM97" i="3"/>
  <c r="AM41" i="3"/>
  <c r="AD38" i="3"/>
  <c r="AG38" i="3" s="1"/>
  <c r="AG32" i="3"/>
  <c r="AD41" i="3"/>
  <c r="K54" i="3"/>
  <c r="E107" i="8" s="1"/>
  <c r="AG65" i="3"/>
  <c r="AG76" i="3"/>
  <c r="AD79" i="3"/>
  <c r="AG79" i="3" s="1"/>
  <c r="AD92" i="3"/>
  <c r="AG116" i="3"/>
  <c r="O104" i="8"/>
  <c r="AM44" i="3"/>
  <c r="AD87" i="3"/>
  <c r="K125" i="3"/>
  <c r="E121" i="8" s="1"/>
  <c r="E120" i="8" s="1"/>
  <c r="AG109" i="3"/>
  <c r="AD26" i="3"/>
  <c r="AG26" i="3" s="1"/>
  <c r="AG36" i="3"/>
  <c r="AD95" i="3"/>
  <c r="AG95" i="3" s="1"/>
  <c r="AD80" i="3"/>
  <c r="AG80" i="3" s="1"/>
  <c r="AD42" i="3"/>
  <c r="AG42" i="3" s="1"/>
  <c r="AG72" i="3"/>
  <c r="AG78" i="3"/>
  <c r="AD93" i="3"/>
  <c r="AG93" i="3" s="1"/>
  <c r="AD121" i="3"/>
  <c r="AG121" i="3" s="1"/>
  <c r="AD126" i="3"/>
  <c r="AD108" i="3"/>
  <c r="AG108" i="3" s="1"/>
  <c r="AD81" i="3"/>
  <c r="AG81" i="3" s="1"/>
  <c r="K5" i="3"/>
  <c r="AD20" i="3"/>
  <c r="AG20" i="3" s="1"/>
  <c r="AG44" i="3"/>
  <c r="AG43" i="3" s="1"/>
  <c r="N46" i="3"/>
  <c r="J106" i="8" s="1"/>
  <c r="N73" i="3"/>
  <c r="J112" i="8" s="1"/>
  <c r="AD77" i="3"/>
  <c r="AG77" i="3" s="1"/>
  <c r="AD85" i="3"/>
  <c r="AG85" i="3" s="1"/>
  <c r="AD94" i="3"/>
  <c r="AG94" i="3" s="1"/>
  <c r="AD102" i="3"/>
  <c r="AG102" i="3" s="1"/>
  <c r="AG106" i="5"/>
  <c r="AD99" i="5"/>
  <c r="K189" i="8" s="1"/>
  <c r="AG100" i="5"/>
  <c r="AG99" i="5" s="1"/>
  <c r="N77" i="5"/>
  <c r="AD123" i="3"/>
  <c r="AG123" i="3" s="1"/>
  <c r="AD122" i="3"/>
  <c r="AG122" i="3" s="1"/>
  <c r="K117" i="3"/>
  <c r="E119" i="8" s="1"/>
  <c r="AD38" i="4"/>
  <c r="K131" i="8" s="1"/>
  <c r="AG39" i="4"/>
  <c r="AG38" i="4" s="1"/>
  <c r="AD118" i="3"/>
  <c r="AD119" i="3"/>
  <c r="AG119" i="3" s="1"/>
  <c r="N117" i="3"/>
  <c r="J119" i="8" s="1"/>
  <c r="N107" i="3"/>
  <c r="J118" i="8" s="1"/>
  <c r="K107" i="3"/>
  <c r="E118" i="8" s="1"/>
  <c r="AG112" i="3"/>
  <c r="AG111" i="3"/>
  <c r="AG106" i="3"/>
  <c r="K101" i="3"/>
  <c r="E117" i="8" s="1"/>
  <c r="AD104" i="3"/>
  <c r="AG104" i="3" s="1"/>
  <c r="N101" i="3"/>
  <c r="J117" i="8" s="1"/>
  <c r="N64" i="3"/>
  <c r="J109" i="8" s="1"/>
  <c r="AD63" i="3"/>
  <c r="AG63" i="3" s="1"/>
  <c r="AG62" i="3"/>
  <c r="N59" i="3"/>
  <c r="J108" i="8" s="1"/>
  <c r="AG61" i="3"/>
  <c r="AD58" i="3"/>
  <c r="AG58" i="3" s="1"/>
  <c r="AD57" i="3"/>
  <c r="AG57" i="3" s="1"/>
  <c r="N54" i="3"/>
  <c r="J107" i="8" s="1"/>
  <c r="AD55" i="3"/>
  <c r="AG200" i="2"/>
  <c r="AG195" i="2"/>
  <c r="N193" i="2"/>
  <c r="J89" i="8" s="1"/>
  <c r="AG194" i="2"/>
  <c r="N30" i="6"/>
  <c r="N4" i="6"/>
  <c r="E199" i="8"/>
  <c r="K4" i="6"/>
  <c r="AG5" i="6"/>
  <c r="AD5" i="6"/>
  <c r="AG73" i="4"/>
  <c r="AD69" i="4"/>
  <c r="K139" i="8" s="1"/>
  <c r="AG64" i="4"/>
  <c r="AD64" i="4"/>
  <c r="K138" i="8" s="1"/>
  <c r="AD131" i="5"/>
  <c r="K195" i="8" s="1"/>
  <c r="AG123" i="5"/>
  <c r="AD123" i="5"/>
  <c r="K194" i="8" s="1"/>
  <c r="AG35" i="4"/>
  <c r="AG33" i="4" s="1"/>
  <c r="AD33" i="4"/>
  <c r="K129" i="8" s="1"/>
  <c r="O128" i="8"/>
  <c r="AD27" i="4"/>
  <c r="K128" i="8" s="1"/>
  <c r="AG28" i="4"/>
  <c r="AG27" i="4" s="1"/>
  <c r="N4" i="4"/>
  <c r="K4" i="4"/>
  <c r="AD43" i="5"/>
  <c r="K174" i="8" s="1"/>
  <c r="AG44" i="5"/>
  <c r="AG43" i="5" s="1"/>
  <c r="E151" i="8"/>
  <c r="AG110" i="4"/>
  <c r="AG109" i="4" s="1"/>
  <c r="AD109" i="4"/>
  <c r="K151" i="8" s="1"/>
  <c r="AD52" i="3"/>
  <c r="AG52" i="3" s="1"/>
  <c r="AD51" i="3"/>
  <c r="AG51" i="3" s="1"/>
  <c r="K46" i="3"/>
  <c r="E106" i="8" s="1"/>
  <c r="AG49" i="3"/>
  <c r="AD39" i="3"/>
  <c r="AG39" i="3" s="1"/>
  <c r="K34" i="3"/>
  <c r="N34" i="3"/>
  <c r="J102" i="8" s="1"/>
  <c r="AG37" i="3"/>
  <c r="AD19" i="3"/>
  <c r="AG19" i="3" s="1"/>
  <c r="N16" i="3"/>
  <c r="J97" i="8" s="1"/>
  <c r="AD18" i="3"/>
  <c r="AG18" i="3" s="1"/>
  <c r="AD17" i="3"/>
  <c r="K11" i="3"/>
  <c r="E95" i="8" s="1"/>
  <c r="AG7" i="3"/>
  <c r="N5" i="3"/>
  <c r="J94" i="8" s="1"/>
  <c r="AG6" i="3"/>
  <c r="AG140" i="5"/>
  <c r="AG139" i="5" s="1"/>
  <c r="AD139" i="5"/>
  <c r="K197" i="8" s="1"/>
  <c r="AG50" i="5"/>
  <c r="AG49" i="5" s="1"/>
  <c r="AG80" i="4"/>
  <c r="AG79" i="4" s="1"/>
  <c r="AD79" i="4"/>
  <c r="K142" i="8" s="1"/>
  <c r="AD57" i="4"/>
  <c r="K135" i="8" s="1"/>
  <c r="AG58" i="4"/>
  <c r="AG57" i="4" s="1"/>
  <c r="AD22" i="4"/>
  <c r="K126" i="8" s="1"/>
  <c r="N125" i="3"/>
  <c r="J121" i="8" s="1"/>
  <c r="J120" i="8" s="1"/>
  <c r="AG66" i="3"/>
  <c r="AG31" i="6"/>
  <c r="AG96" i="4"/>
  <c r="AG95" i="4" s="1"/>
  <c r="AD95" i="4"/>
  <c r="AG83" i="4"/>
  <c r="AD12" i="3"/>
  <c r="AD13" i="3"/>
  <c r="AG13" i="3" s="1"/>
  <c r="AG166" i="2"/>
  <c r="AD167" i="2"/>
  <c r="AL160" i="2"/>
  <c r="AD163" i="2"/>
  <c r="AG163" i="2" s="1"/>
  <c r="AD159" i="2"/>
  <c r="AG159" i="2" s="1"/>
  <c r="AD147" i="2"/>
  <c r="AG133" i="2"/>
  <c r="AD127" i="2"/>
  <c r="AD122" i="2"/>
  <c r="K70" i="8" s="1"/>
  <c r="N124" i="2"/>
  <c r="J71" i="8" s="1"/>
  <c r="N122" i="2"/>
  <c r="J70" i="8" s="1"/>
  <c r="N120" i="2"/>
  <c r="J69" i="8" s="1"/>
  <c r="K124" i="2"/>
  <c r="E71" i="8" s="1"/>
  <c r="K122" i="2"/>
  <c r="E70" i="8" s="1"/>
  <c r="K120" i="2"/>
  <c r="E69" i="8" s="1"/>
  <c r="AD117" i="2"/>
  <c r="AG117" i="2" s="1"/>
  <c r="AD116" i="2"/>
  <c r="AG116" i="2" s="1"/>
  <c r="AD108" i="2"/>
  <c r="AD103" i="2"/>
  <c r="AG103" i="2" s="1"/>
  <c r="AG100" i="2"/>
  <c r="AG96" i="2"/>
  <c r="AC86" i="2"/>
  <c r="AD62" i="2"/>
  <c r="AG62" i="2" s="1"/>
  <c r="AD61" i="2"/>
  <c r="AD55" i="2"/>
  <c r="AG55" i="2" s="1"/>
  <c r="AC48" i="2"/>
  <c r="AG51" i="2"/>
  <c r="AG42" i="2"/>
  <c r="M110" i="8" l="1"/>
  <c r="AN84" i="5"/>
  <c r="AN78" i="5" s="1"/>
  <c r="K125" i="8"/>
  <c r="K124" i="8" s="1"/>
  <c r="AD4" i="4"/>
  <c r="AE4" i="3"/>
  <c r="M95" i="8"/>
  <c r="M93" i="8" s="1"/>
  <c r="AE33" i="3"/>
  <c r="M103" i="8"/>
  <c r="M101" i="8" s="1"/>
  <c r="AD165" i="2"/>
  <c r="H151" i="8"/>
  <c r="H172" i="8"/>
  <c r="H197" i="8"/>
  <c r="H86" i="8"/>
  <c r="H149" i="8"/>
  <c r="H139" i="8"/>
  <c r="H173" i="8"/>
  <c r="H167" i="8"/>
  <c r="H83" i="8"/>
  <c r="O159" i="8"/>
  <c r="H159" i="8" s="1"/>
  <c r="H160" i="8"/>
  <c r="H104" i="8"/>
  <c r="H157" i="8"/>
  <c r="H103" i="8"/>
  <c r="H128" i="8"/>
  <c r="H85" i="8"/>
  <c r="H138" i="8"/>
  <c r="H145" i="8"/>
  <c r="M116" i="8"/>
  <c r="AE67" i="3"/>
  <c r="E89" i="8"/>
  <c r="AG193" i="2"/>
  <c r="AG198" i="2"/>
  <c r="K179" i="8"/>
  <c r="K178" i="8" s="1"/>
  <c r="AD57" i="5"/>
  <c r="K185" i="8"/>
  <c r="K184" i="8" s="1"/>
  <c r="AD77" i="5"/>
  <c r="K167" i="8"/>
  <c r="AD17" i="5"/>
  <c r="AK78" i="5"/>
  <c r="O137" i="8"/>
  <c r="K7" i="7"/>
  <c r="AM87" i="3"/>
  <c r="AM86" i="3" s="1"/>
  <c r="R113" i="8" s="1"/>
  <c r="O114" i="8"/>
  <c r="O113" i="8"/>
  <c r="AM22" i="3"/>
  <c r="AM93" i="3"/>
  <c r="AM91" i="3" s="1"/>
  <c r="R114" i="8" s="1"/>
  <c r="AM30" i="3"/>
  <c r="AE100" i="3"/>
  <c r="AM82" i="3"/>
  <c r="AE28" i="3"/>
  <c r="M100" i="8" s="1"/>
  <c r="M96" i="8" s="1"/>
  <c r="AM123" i="3"/>
  <c r="AM117" i="3" s="1"/>
  <c r="AE46" i="3"/>
  <c r="O119" i="8"/>
  <c r="O62" i="8"/>
  <c r="O150" i="8"/>
  <c r="O87" i="8"/>
  <c r="O82" i="8"/>
  <c r="AM171" i="2"/>
  <c r="AM170" i="2" s="1"/>
  <c r="R82" i="8" s="1"/>
  <c r="AG108" i="2"/>
  <c r="AM133" i="2"/>
  <c r="K200" i="8"/>
  <c r="K199" i="8" s="1"/>
  <c r="AD4" i="6"/>
  <c r="AM121" i="4"/>
  <c r="R152" i="8" s="1"/>
  <c r="K154" i="8"/>
  <c r="K153" i="8" s="1"/>
  <c r="AD135" i="4"/>
  <c r="AM47" i="3"/>
  <c r="AM29" i="3"/>
  <c r="O100" i="8"/>
  <c r="AD40" i="3"/>
  <c r="O192" i="8"/>
  <c r="AM179" i="2"/>
  <c r="AM36" i="5"/>
  <c r="R172" i="8" s="1"/>
  <c r="E166" i="8"/>
  <c r="AM7" i="5"/>
  <c r="AM5" i="5" s="1"/>
  <c r="AG18" i="5"/>
  <c r="AG17" i="5" s="1"/>
  <c r="H17" i="5" s="1"/>
  <c r="O163" i="8"/>
  <c r="H163" i="8" s="1"/>
  <c r="K148" i="8"/>
  <c r="K147" i="8" s="1"/>
  <c r="AD97" i="4"/>
  <c r="AM205" i="2"/>
  <c r="AM138" i="2"/>
  <c r="AM22" i="6"/>
  <c r="R202" i="8" s="1"/>
  <c r="AM47" i="6"/>
  <c r="R206" i="8" s="1"/>
  <c r="R204" i="8"/>
  <c r="O185" i="8"/>
  <c r="AM126" i="3"/>
  <c r="AM125" i="3" s="1"/>
  <c r="AG146" i="2"/>
  <c r="AG139" i="2"/>
  <c r="AD134" i="2"/>
  <c r="AG134" i="2" s="1"/>
  <c r="AD137" i="2"/>
  <c r="AG137" i="2" s="1"/>
  <c r="O75" i="8"/>
  <c r="AG142" i="2"/>
  <c r="O129" i="8"/>
  <c r="AM27" i="3"/>
  <c r="AM24" i="3" s="1"/>
  <c r="R99" i="8" s="1"/>
  <c r="AM16" i="3"/>
  <c r="R97" i="8" s="1"/>
  <c r="AM34" i="3"/>
  <c r="R102" i="8" s="1"/>
  <c r="AM48" i="2"/>
  <c r="AD48" i="2"/>
  <c r="AG48" i="2" s="1"/>
  <c r="K33" i="3"/>
  <c r="AM46" i="2"/>
  <c r="AM51" i="2"/>
  <c r="AM128" i="2"/>
  <c r="AM79" i="2"/>
  <c r="AM58" i="2"/>
  <c r="AM82" i="2"/>
  <c r="AM83" i="2"/>
  <c r="AM59" i="3"/>
  <c r="R108" i="8" s="1"/>
  <c r="O107" i="8"/>
  <c r="AM56" i="3"/>
  <c r="AM54" i="3" s="1"/>
  <c r="R107" i="8" s="1"/>
  <c r="AM32" i="3"/>
  <c r="AM107" i="3"/>
  <c r="R118" i="8" s="1"/>
  <c r="AD28" i="3"/>
  <c r="K100" i="8" s="1"/>
  <c r="AM50" i="3"/>
  <c r="AM130" i="3"/>
  <c r="AM129" i="3" s="1"/>
  <c r="R122" i="8" s="1"/>
  <c r="AM48" i="5"/>
  <c r="R175" i="8" s="1"/>
  <c r="AM85" i="5"/>
  <c r="R186" i="8" s="1"/>
  <c r="AG105" i="5"/>
  <c r="AG77" i="5" s="1"/>
  <c r="H77" i="5" s="1"/>
  <c r="AM66" i="3"/>
  <c r="AM88" i="2"/>
  <c r="AM87" i="2"/>
  <c r="AM86" i="2"/>
  <c r="AM114" i="2"/>
  <c r="AM104" i="2"/>
  <c r="AM99" i="2"/>
  <c r="AM98" i="2"/>
  <c r="AM95" i="2"/>
  <c r="AM94" i="2"/>
  <c r="AM31" i="3"/>
  <c r="AM10" i="3"/>
  <c r="AM9" i="3"/>
  <c r="AM8" i="3"/>
  <c r="AM76" i="2"/>
  <c r="AM75" i="2"/>
  <c r="AM74" i="2"/>
  <c r="AM72" i="2"/>
  <c r="AM71" i="2"/>
  <c r="AM64" i="2"/>
  <c r="AM63" i="2"/>
  <c r="AM66" i="2"/>
  <c r="AM59" i="2"/>
  <c r="AM57" i="2"/>
  <c r="AM53" i="2"/>
  <c r="AM54" i="2"/>
  <c r="AM47" i="2"/>
  <c r="AM45" i="2"/>
  <c r="AM41" i="2"/>
  <c r="AM40" i="2"/>
  <c r="AM158" i="2"/>
  <c r="AM157" i="2"/>
  <c r="AM156" i="2"/>
  <c r="AM153" i="2"/>
  <c r="AM152" i="2"/>
  <c r="AM151" i="2"/>
  <c r="AM150" i="2"/>
  <c r="AM144" i="2"/>
  <c r="AM143" i="2"/>
  <c r="AM136" i="2"/>
  <c r="AM135" i="2"/>
  <c r="R160" i="8"/>
  <c r="AM84" i="2"/>
  <c r="AM78" i="2"/>
  <c r="AM5" i="4"/>
  <c r="AM4" i="4" s="1"/>
  <c r="J101" i="8"/>
  <c r="AM64" i="4"/>
  <c r="R138" i="8" s="1"/>
  <c r="AM45" i="6"/>
  <c r="AM40" i="6" s="1"/>
  <c r="O205" i="8"/>
  <c r="AM83" i="4"/>
  <c r="R144" i="8" s="1"/>
  <c r="O115" i="8"/>
  <c r="AM71" i="3"/>
  <c r="AM68" i="3" s="1"/>
  <c r="R111" i="8" s="1"/>
  <c r="AM129" i="2"/>
  <c r="O206" i="8"/>
  <c r="AM101" i="3"/>
  <c r="AM204" i="2"/>
  <c r="AM202" i="2"/>
  <c r="AM201" i="2"/>
  <c r="K145" i="2"/>
  <c r="E76" i="8" s="1"/>
  <c r="R200" i="8"/>
  <c r="AM57" i="5"/>
  <c r="R178" i="8" s="1"/>
  <c r="R167" i="8"/>
  <c r="O176" i="8"/>
  <c r="R192" i="8"/>
  <c r="AM78" i="5"/>
  <c r="R177" i="8"/>
  <c r="AI4" i="4"/>
  <c r="R148" i="8"/>
  <c r="AM33" i="4"/>
  <c r="R129" i="8" s="1"/>
  <c r="O154" i="8"/>
  <c r="AM136" i="4"/>
  <c r="AM91" i="4"/>
  <c r="O109" i="8"/>
  <c r="AG31" i="3"/>
  <c r="AG28" i="3" s="1"/>
  <c r="AM65" i="3"/>
  <c r="AM40" i="3"/>
  <c r="R103" i="8" s="1"/>
  <c r="AM43" i="3"/>
  <c r="R104" i="8" s="1"/>
  <c r="O97" i="8"/>
  <c r="AM96" i="3"/>
  <c r="R115" i="8" s="1"/>
  <c r="O102" i="8"/>
  <c r="AM184" i="2"/>
  <c r="R86" i="8" s="1"/>
  <c r="AM187" i="2"/>
  <c r="R87" i="8" s="1"/>
  <c r="AM107" i="2"/>
  <c r="AM173" i="2"/>
  <c r="R83" i="8" s="1"/>
  <c r="K3" i="6"/>
  <c r="E198" i="8" s="1"/>
  <c r="E9" i="7" s="1"/>
  <c r="AG4" i="5"/>
  <c r="H4" i="5" s="1"/>
  <c r="O152" i="8"/>
  <c r="K203" i="8"/>
  <c r="K162" i="8"/>
  <c r="K166" i="8"/>
  <c r="K191" i="8"/>
  <c r="AG4" i="4"/>
  <c r="H4" i="4" s="1"/>
  <c r="K56" i="2"/>
  <c r="E58" i="8" s="1"/>
  <c r="K101" i="2"/>
  <c r="E66" i="8" s="1"/>
  <c r="AG57" i="2"/>
  <c r="K73" i="2"/>
  <c r="E61" i="8" s="1"/>
  <c r="K91" i="8"/>
  <c r="AD88" i="2"/>
  <c r="AG88" i="2" s="1"/>
  <c r="AD161" i="2"/>
  <c r="AG161" i="2" s="1"/>
  <c r="AG160" i="2" s="1"/>
  <c r="N145" i="2"/>
  <c r="J76" i="8" s="1"/>
  <c r="K140" i="2"/>
  <c r="E75" i="8" s="1"/>
  <c r="O91" i="8"/>
  <c r="AL4" i="4"/>
  <c r="AL100" i="4"/>
  <c r="AL97" i="4" s="1"/>
  <c r="E147" i="8"/>
  <c r="AI82" i="4"/>
  <c r="AD184" i="2"/>
  <c r="K86" i="8" s="1"/>
  <c r="AG98" i="2"/>
  <c r="AG136" i="2"/>
  <c r="AD69" i="2"/>
  <c r="AG69" i="2" s="1"/>
  <c r="AD84" i="2"/>
  <c r="AG84" i="2" s="1"/>
  <c r="K126" i="2"/>
  <c r="E72" i="8" s="1"/>
  <c r="E68" i="8" s="1"/>
  <c r="AG135" i="2"/>
  <c r="AD158" i="2"/>
  <c r="AG158" i="2" s="1"/>
  <c r="AD193" i="2"/>
  <c r="K89" i="8" s="1"/>
  <c r="AD182" i="2"/>
  <c r="K85" i="8" s="1"/>
  <c r="AG96" i="3"/>
  <c r="K94" i="8"/>
  <c r="AG147" i="2"/>
  <c r="AD152" i="2"/>
  <c r="AG152" i="2" s="1"/>
  <c r="AM81" i="2"/>
  <c r="N43" i="2"/>
  <c r="J55" i="8" s="1"/>
  <c r="O56" i="8"/>
  <c r="AM50" i="2"/>
  <c r="AG53" i="2"/>
  <c r="AD138" i="2"/>
  <c r="AG138" i="2" s="1"/>
  <c r="AD82" i="4"/>
  <c r="K146" i="8"/>
  <c r="K143" i="8" s="1"/>
  <c r="AI135" i="4"/>
  <c r="AI97" i="4"/>
  <c r="AM194" i="2"/>
  <c r="AM193" i="2" s="1"/>
  <c r="K130" i="8"/>
  <c r="AD4" i="5"/>
  <c r="AD78" i="2"/>
  <c r="AG78" i="2" s="1"/>
  <c r="K127" i="8"/>
  <c r="AD34" i="3"/>
  <c r="K102" i="8" s="1"/>
  <c r="AM89" i="2"/>
  <c r="K136" i="8"/>
  <c r="AD30" i="6"/>
  <c r="K109" i="8"/>
  <c r="AD54" i="3"/>
  <c r="K107" i="8" s="1"/>
  <c r="AG57" i="5"/>
  <c r="H57" i="5" s="1"/>
  <c r="AD24" i="3"/>
  <c r="K99" i="8" s="1"/>
  <c r="AI26" i="4"/>
  <c r="AG135" i="4"/>
  <c r="H135" i="4" s="1"/>
  <c r="AM142" i="4"/>
  <c r="AM140" i="4" s="1"/>
  <c r="AL135" i="4"/>
  <c r="AG97" i="4"/>
  <c r="H97" i="4" s="1"/>
  <c r="AL82" i="4"/>
  <c r="E110" i="8"/>
  <c r="K77" i="2"/>
  <c r="E62" i="8" s="1"/>
  <c r="AD96" i="3"/>
  <c r="K115" i="8" s="1"/>
  <c r="N67" i="3"/>
  <c r="AG55" i="3"/>
  <c r="AG54" i="3" s="1"/>
  <c r="AG22" i="3"/>
  <c r="AG21" i="3" s="1"/>
  <c r="J96" i="8"/>
  <c r="AD107" i="3"/>
  <c r="K118" i="8" s="1"/>
  <c r="E96" i="8"/>
  <c r="K15" i="3"/>
  <c r="AG126" i="3"/>
  <c r="AG125" i="3" s="1"/>
  <c r="AD125" i="3"/>
  <c r="K121" i="8" s="1"/>
  <c r="J111" i="8"/>
  <c r="J110" i="8" s="1"/>
  <c r="J93" i="8"/>
  <c r="K124" i="3"/>
  <c r="AG64" i="3"/>
  <c r="J105" i="8"/>
  <c r="J116" i="8"/>
  <c r="AG101" i="3"/>
  <c r="AG24" i="3"/>
  <c r="AD187" i="2"/>
  <c r="K87" i="8" s="1"/>
  <c r="AG188" i="2"/>
  <c r="AG187" i="2" s="1"/>
  <c r="AG185" i="2"/>
  <c r="AG184" i="2" s="1"/>
  <c r="AG177" i="2"/>
  <c r="AG176" i="2" s="1"/>
  <c r="AD176" i="2"/>
  <c r="K84" i="8" s="1"/>
  <c r="AG174" i="2"/>
  <c r="AG173" i="2" s="1"/>
  <c r="AD173" i="2"/>
  <c r="K83" i="8" s="1"/>
  <c r="AG171" i="2"/>
  <c r="AG170" i="2" s="1"/>
  <c r="AD170" i="2"/>
  <c r="K82" i="8" s="1"/>
  <c r="AG167" i="2"/>
  <c r="AG165" i="2" s="1"/>
  <c r="N3" i="6"/>
  <c r="AG127" i="2"/>
  <c r="O71" i="8"/>
  <c r="AM125" i="2"/>
  <c r="AM121" i="2"/>
  <c r="AM120" i="2" s="1"/>
  <c r="AM161" i="2"/>
  <c r="E79" i="8"/>
  <c r="N160" i="2"/>
  <c r="J79" i="8" s="1"/>
  <c r="AD90" i="2"/>
  <c r="AG90" i="2" s="1"/>
  <c r="K85" i="2"/>
  <c r="E63" i="8" s="1"/>
  <c r="AD89" i="2"/>
  <c r="AG89" i="2" s="1"/>
  <c r="N85" i="2"/>
  <c r="J63" i="8" s="1"/>
  <c r="AG132" i="3"/>
  <c r="AG129" i="3" s="1"/>
  <c r="AD129" i="3"/>
  <c r="K122" i="8" s="1"/>
  <c r="O121" i="8"/>
  <c r="K106" i="2"/>
  <c r="E67" i="8" s="1"/>
  <c r="N106" i="2"/>
  <c r="J67" i="8" s="1"/>
  <c r="N101" i="2"/>
  <c r="J66" i="8" s="1"/>
  <c r="AD93" i="2"/>
  <c r="AG93" i="2" s="1"/>
  <c r="K67" i="3"/>
  <c r="AD73" i="3"/>
  <c r="K112" i="8" s="1"/>
  <c r="AG68" i="3"/>
  <c r="AD68" i="3"/>
  <c r="K111" i="8" s="1"/>
  <c r="AD157" i="2"/>
  <c r="AG157" i="2" s="1"/>
  <c r="N154" i="2"/>
  <c r="J78" i="8" s="1"/>
  <c r="AD156" i="2"/>
  <c r="AG156" i="2" s="1"/>
  <c r="K154" i="2"/>
  <c r="E78" i="8" s="1"/>
  <c r="AM155" i="2"/>
  <c r="AD153" i="2"/>
  <c r="AG153" i="2" s="1"/>
  <c r="N148" i="2"/>
  <c r="J77" i="8" s="1"/>
  <c r="K148" i="2"/>
  <c r="E77" i="8" s="1"/>
  <c r="AM149" i="2"/>
  <c r="O77" i="8"/>
  <c r="AG149" i="2"/>
  <c r="AD150" i="2"/>
  <c r="AG150" i="2" s="1"/>
  <c r="AG151" i="2"/>
  <c r="AG144" i="2"/>
  <c r="AG143" i="2"/>
  <c r="N140" i="2"/>
  <c r="J75" i="8" s="1"/>
  <c r="AM141" i="2"/>
  <c r="AG141" i="2"/>
  <c r="K131" i="2"/>
  <c r="N131" i="2"/>
  <c r="J74" i="8" s="1"/>
  <c r="AM132" i="2"/>
  <c r="AD91" i="3"/>
  <c r="K114" i="8" s="1"/>
  <c r="AG92" i="3"/>
  <c r="AG91" i="3" s="1"/>
  <c r="O117" i="8"/>
  <c r="H117" i="8" s="1"/>
  <c r="AG107" i="3"/>
  <c r="E94" i="8"/>
  <c r="E93" i="8" s="1"/>
  <c r="K4" i="3"/>
  <c r="AD86" i="3"/>
  <c r="K113" i="8" s="1"/>
  <c r="AG87" i="3"/>
  <c r="AG86" i="3" s="1"/>
  <c r="AG73" i="3"/>
  <c r="O95" i="8"/>
  <c r="AM14" i="3"/>
  <c r="AM6" i="3"/>
  <c r="AD43" i="3"/>
  <c r="AG41" i="3"/>
  <c r="AG40" i="3" s="1"/>
  <c r="AG118" i="3"/>
  <c r="AG117" i="3" s="1"/>
  <c r="AD117" i="3"/>
  <c r="K119" i="8" s="1"/>
  <c r="E116" i="8"/>
  <c r="AD101" i="3"/>
  <c r="K117" i="8" s="1"/>
  <c r="N100" i="3"/>
  <c r="K100" i="3"/>
  <c r="N45" i="3"/>
  <c r="AG60" i="3"/>
  <c r="AG59" i="3" s="1"/>
  <c r="AD59" i="3"/>
  <c r="K108" i="8" s="1"/>
  <c r="AD198" i="2"/>
  <c r="K90" i="8" s="1"/>
  <c r="AG30" i="6"/>
  <c r="H30" i="6" s="1"/>
  <c r="AG4" i="6"/>
  <c r="H4" i="6" s="1"/>
  <c r="O61" i="8"/>
  <c r="AD75" i="2"/>
  <c r="AG75" i="2" s="1"/>
  <c r="N73" i="2"/>
  <c r="J61" i="8" s="1"/>
  <c r="AD71" i="2"/>
  <c r="AG71" i="2" s="1"/>
  <c r="AD72" i="2"/>
  <c r="AG72" i="2" s="1"/>
  <c r="AG70" i="2"/>
  <c r="K68" i="2"/>
  <c r="E60" i="8" s="1"/>
  <c r="N68" i="2"/>
  <c r="J60" i="8" s="1"/>
  <c r="AD65" i="2"/>
  <c r="AG65" i="2" s="1"/>
  <c r="AG64" i="2"/>
  <c r="K60" i="2"/>
  <c r="E59" i="8" s="1"/>
  <c r="N60" i="2"/>
  <c r="J59" i="8" s="1"/>
  <c r="N56" i="2"/>
  <c r="J58" i="8" s="1"/>
  <c r="N52" i="2"/>
  <c r="J57" i="8" s="1"/>
  <c r="N49" i="2"/>
  <c r="J56" i="8" s="1"/>
  <c r="AD49" i="2"/>
  <c r="K56" i="8" s="1"/>
  <c r="AD45" i="2"/>
  <c r="AG45" i="2" s="1"/>
  <c r="AG26" i="4"/>
  <c r="H26" i="4" s="1"/>
  <c r="AD26" i="4"/>
  <c r="N126" i="2"/>
  <c r="J72" i="8" s="1"/>
  <c r="J68" i="8" s="1"/>
  <c r="K45" i="3"/>
  <c r="E105" i="8"/>
  <c r="AG47" i="3"/>
  <c r="AG46" i="3" s="1"/>
  <c r="AD46" i="3"/>
  <c r="K106" i="8" s="1"/>
  <c r="AG34" i="3"/>
  <c r="N33" i="3"/>
  <c r="E102" i="8"/>
  <c r="E101" i="8" s="1"/>
  <c r="N15" i="3"/>
  <c r="AG17" i="3"/>
  <c r="AG16" i="3" s="1"/>
  <c r="AD16" i="3"/>
  <c r="K97" i="8" s="1"/>
  <c r="N4" i="3"/>
  <c r="AG5" i="3"/>
  <c r="AD109" i="5"/>
  <c r="AG109" i="5"/>
  <c r="H109" i="5" s="1"/>
  <c r="AG48" i="5"/>
  <c r="H48" i="5" s="1"/>
  <c r="AD48" i="5"/>
  <c r="O144" i="8"/>
  <c r="H144" i="8" s="1"/>
  <c r="AD60" i="4"/>
  <c r="AG60" i="4"/>
  <c r="H60" i="4" s="1"/>
  <c r="AD37" i="4"/>
  <c r="AG37" i="4"/>
  <c r="H37" i="4" s="1"/>
  <c r="N124" i="3"/>
  <c r="AG82" i="4"/>
  <c r="H82" i="4" s="1"/>
  <c r="AG12" i="3"/>
  <c r="AG11" i="3" s="1"/>
  <c r="AD11" i="3"/>
  <c r="K95" i="8" s="1"/>
  <c r="AG99" i="2"/>
  <c r="AG58" i="2"/>
  <c r="AG46" i="2"/>
  <c r="AG123" i="2"/>
  <c r="AG122" i="2" s="1"/>
  <c r="K43" i="2"/>
  <c r="E55" i="8" s="1"/>
  <c r="AD47" i="2"/>
  <c r="AG47" i="2" s="1"/>
  <c r="K49" i="2"/>
  <c r="E56" i="8" s="1"/>
  <c r="K52" i="2"/>
  <c r="E57" i="8" s="1"/>
  <c r="AD66" i="2"/>
  <c r="AG66" i="2" s="1"/>
  <c r="AD74" i="2"/>
  <c r="AD54" i="2"/>
  <c r="AG54" i="2" s="1"/>
  <c r="AD94" i="2"/>
  <c r="AG94" i="2" s="1"/>
  <c r="N77" i="2"/>
  <c r="J62" i="8" s="1"/>
  <c r="AD86" i="2"/>
  <c r="AG114" i="2"/>
  <c r="AD129" i="2"/>
  <c r="AG129" i="2" s="1"/>
  <c r="AD125" i="2"/>
  <c r="AD67" i="2"/>
  <c r="AG67" i="2" s="1"/>
  <c r="AD76" i="2"/>
  <c r="AG76" i="2" s="1"/>
  <c r="AD81" i="2"/>
  <c r="AG81" i="2" s="1"/>
  <c r="AD87" i="2"/>
  <c r="AG87" i="2" s="1"/>
  <c r="AD97" i="2"/>
  <c r="AG97" i="2" s="1"/>
  <c r="AD118" i="2"/>
  <c r="AG118" i="2" s="1"/>
  <c r="AD128" i="2"/>
  <c r="AG128" i="2" s="1"/>
  <c r="AD115" i="2"/>
  <c r="AG115" i="2" s="1"/>
  <c r="AD104" i="2"/>
  <c r="AG104" i="2" s="1"/>
  <c r="AG61" i="2"/>
  <c r="AG63" i="2"/>
  <c r="O58" i="8"/>
  <c r="AG59" i="2"/>
  <c r="AG44" i="2"/>
  <c r="O54" i="8"/>
  <c r="AD41" i="2"/>
  <c r="AG41" i="2" s="1"/>
  <c r="AG50" i="2"/>
  <c r="AG49" i="2" s="1"/>
  <c r="AL49" i="2"/>
  <c r="AG38" i="2"/>
  <c r="AD37" i="2"/>
  <c r="AG37" i="2" s="1"/>
  <c r="AG36" i="2"/>
  <c r="AG20" i="2"/>
  <c r="AC13" i="2"/>
  <c r="J6" i="1"/>
  <c r="AC7" i="2"/>
  <c r="AN77" i="5" l="1"/>
  <c r="S185" i="8"/>
  <c r="AK77" i="5"/>
  <c r="P185" i="8"/>
  <c r="S184" i="8"/>
  <c r="H206" i="8"/>
  <c r="H205" i="8"/>
  <c r="H137" i="8"/>
  <c r="H150" i="8"/>
  <c r="H113" i="8"/>
  <c r="H109" i="8"/>
  <c r="H62" i="8"/>
  <c r="H102" i="8"/>
  <c r="O175" i="8"/>
  <c r="H176" i="8"/>
  <c r="H95" i="8"/>
  <c r="H107" i="8"/>
  <c r="H91" i="8"/>
  <c r="H97" i="8"/>
  <c r="H154" i="8"/>
  <c r="H115" i="8"/>
  <c r="H129" i="8"/>
  <c r="H54" i="8"/>
  <c r="H121" i="8"/>
  <c r="H114" i="8"/>
  <c r="H58" i="8"/>
  <c r="H71" i="8"/>
  <c r="H56" i="8"/>
  <c r="H82" i="8"/>
  <c r="H119" i="8"/>
  <c r="H77" i="8"/>
  <c r="H185" i="8"/>
  <c r="AE45" i="3"/>
  <c r="M106" i="8"/>
  <c r="M105" i="8" s="1"/>
  <c r="AG192" i="2"/>
  <c r="H192" i="2" s="1"/>
  <c r="AG43" i="2"/>
  <c r="AG77" i="2"/>
  <c r="AG92" i="2"/>
  <c r="AG52" i="2"/>
  <c r="AG68" i="2"/>
  <c r="AG56" i="2"/>
  <c r="AG145" i="2"/>
  <c r="AG106" i="2"/>
  <c r="K130" i="2"/>
  <c r="AG148" i="2"/>
  <c r="AG140" i="2"/>
  <c r="AD164" i="2"/>
  <c r="AG60" i="2"/>
  <c r="AG164" i="2"/>
  <c r="H164" i="2" s="1"/>
  <c r="AG126" i="2"/>
  <c r="AG45" i="3"/>
  <c r="AM4" i="5"/>
  <c r="R162" i="8" s="1"/>
  <c r="R117" i="8"/>
  <c r="AM100" i="3"/>
  <c r="R116" i="8" s="1"/>
  <c r="AM83" i="3"/>
  <c r="AM73" i="3" s="1"/>
  <c r="AM67" i="3" s="1"/>
  <c r="R110" i="8" s="1"/>
  <c r="AE15" i="3"/>
  <c r="O112" i="8"/>
  <c r="AM46" i="3"/>
  <c r="R106" i="8" s="1"/>
  <c r="AM166" i="2"/>
  <c r="AM165" i="2" s="1"/>
  <c r="R81" i="8" s="1"/>
  <c r="AD106" i="2"/>
  <c r="K67" i="8" s="1"/>
  <c r="O81" i="8"/>
  <c r="H81" i="8" s="1"/>
  <c r="AD3" i="4"/>
  <c r="K123" i="8" s="1"/>
  <c r="O155" i="8"/>
  <c r="AM97" i="4"/>
  <c r="R147" i="8" s="1"/>
  <c r="O106" i="8"/>
  <c r="AM17" i="5"/>
  <c r="R166" i="8" s="1"/>
  <c r="AM30" i="6"/>
  <c r="R203" i="8" s="1"/>
  <c r="AM203" i="2"/>
  <c r="R91" i="8" s="1"/>
  <c r="AM70" i="2"/>
  <c r="AM142" i="2"/>
  <c r="AM140" i="2" s="1"/>
  <c r="R75" i="8" s="1"/>
  <c r="AM4" i="6"/>
  <c r="O60" i="8"/>
  <c r="AM69" i="2"/>
  <c r="AM97" i="2"/>
  <c r="AM137" i="2"/>
  <c r="O74" i="8"/>
  <c r="H74" i="8" s="1"/>
  <c r="AM139" i="2"/>
  <c r="AM146" i="2"/>
  <c r="AM134" i="2"/>
  <c r="O127" i="8"/>
  <c r="O125" i="8"/>
  <c r="AM64" i="3"/>
  <c r="R109" i="8" s="1"/>
  <c r="AM28" i="3"/>
  <c r="R100" i="8" s="1"/>
  <c r="AM39" i="2"/>
  <c r="R54" i="8" s="1"/>
  <c r="AM159" i="2"/>
  <c r="AM154" i="2" s="1"/>
  <c r="AM56" i="2"/>
  <c r="R58" i="8" s="1"/>
  <c r="AM73" i="2"/>
  <c r="R61" i="8" s="1"/>
  <c r="AM32" i="2"/>
  <c r="AM24" i="2"/>
  <c r="AM28" i="2"/>
  <c r="AM23" i="2"/>
  <c r="AM22" i="2"/>
  <c r="AM31" i="2"/>
  <c r="AM5" i="3"/>
  <c r="R94" i="8" s="1"/>
  <c r="AM77" i="5"/>
  <c r="R184" i="8" s="1"/>
  <c r="AM163" i="2"/>
  <c r="AM160" i="2" s="1"/>
  <c r="R79" i="8" s="1"/>
  <c r="O98" i="8"/>
  <c r="AM85" i="2"/>
  <c r="R63" i="8" s="1"/>
  <c r="O63" i="8"/>
  <c r="AM118" i="2"/>
  <c r="AM115" i="2"/>
  <c r="AM108" i="2"/>
  <c r="AM96" i="2"/>
  <c r="R125" i="8"/>
  <c r="AM62" i="2"/>
  <c r="AM61" i="2"/>
  <c r="AM38" i="2"/>
  <c r="AM37" i="2"/>
  <c r="AM36" i="2"/>
  <c r="AM35" i="2"/>
  <c r="AM33" i="2"/>
  <c r="AM27" i="2"/>
  <c r="AM26" i="2"/>
  <c r="AM25" i="2"/>
  <c r="AM19" i="2"/>
  <c r="AM14" i="2"/>
  <c r="AM13" i="2"/>
  <c r="AM147" i="2"/>
  <c r="AM82" i="4"/>
  <c r="R143" i="8" s="1"/>
  <c r="R205" i="8"/>
  <c r="O72" i="8"/>
  <c r="R185" i="8"/>
  <c r="R163" i="8"/>
  <c r="O162" i="8"/>
  <c r="O147" i="8"/>
  <c r="R145" i="8"/>
  <c r="AM135" i="4"/>
  <c r="R153" i="8" s="1"/>
  <c r="R124" i="8"/>
  <c r="AM26" i="4"/>
  <c r="R127" i="8" s="1"/>
  <c r="R154" i="8"/>
  <c r="AM124" i="3"/>
  <c r="R120" i="8" s="1"/>
  <c r="R119" i="8"/>
  <c r="R121" i="8"/>
  <c r="AM11" i="3"/>
  <c r="O122" i="8"/>
  <c r="O101" i="8"/>
  <c r="O111" i="8"/>
  <c r="AM33" i="3"/>
  <c r="AM77" i="2"/>
  <c r="R62" i="8" s="1"/>
  <c r="N119" i="2"/>
  <c r="AM93" i="2"/>
  <c r="O69" i="8"/>
  <c r="AM148" i="2"/>
  <c r="R77" i="8" s="1"/>
  <c r="AM124" i="2"/>
  <c r="R71" i="8" s="1"/>
  <c r="AM49" i="2"/>
  <c r="R56" i="8" s="1"/>
  <c r="AD3" i="6"/>
  <c r="K198" i="8" s="1"/>
  <c r="M9" i="7" s="1"/>
  <c r="AD160" i="2"/>
  <c r="K79" i="8" s="1"/>
  <c r="K93" i="8"/>
  <c r="K119" i="2"/>
  <c r="N29" i="2"/>
  <c r="J52" i="8" s="1"/>
  <c r="K34" i="2"/>
  <c r="E53" i="8" s="1"/>
  <c r="AD34" i="2"/>
  <c r="K53" i="8" s="1"/>
  <c r="O76" i="8"/>
  <c r="K12" i="2"/>
  <c r="E49" i="8" s="1"/>
  <c r="AD56" i="2"/>
  <c r="K58" i="8" s="1"/>
  <c r="K88" i="8"/>
  <c r="O55" i="8"/>
  <c r="AM44" i="2"/>
  <c r="AG17" i="2"/>
  <c r="O143" i="8"/>
  <c r="H143" i="8" s="1"/>
  <c r="K96" i="8"/>
  <c r="K103" i="8"/>
  <c r="K104" i="8"/>
  <c r="K105" i="8"/>
  <c r="AG18" i="2"/>
  <c r="O52" i="8"/>
  <c r="AM30" i="2"/>
  <c r="AD39" i="2"/>
  <c r="K54" i="8" s="1"/>
  <c r="AD43" i="2"/>
  <c r="K55" i="8" s="1"/>
  <c r="K120" i="8"/>
  <c r="AM23" i="3"/>
  <c r="AM55" i="2"/>
  <c r="J73" i="8"/>
  <c r="E74" i="8"/>
  <c r="E73" i="8" s="1"/>
  <c r="J198" i="8"/>
  <c r="S9" i="7" s="1"/>
  <c r="K81" i="8"/>
  <c r="K80" i="8" s="1"/>
  <c r="K116" i="8"/>
  <c r="K110" i="8"/>
  <c r="R89" i="8"/>
  <c r="AD3" i="5"/>
  <c r="K161" i="8" s="1"/>
  <c r="R155" i="8"/>
  <c r="AD77" i="2"/>
  <c r="K62" i="8" s="1"/>
  <c r="AD124" i="3"/>
  <c r="AG124" i="3"/>
  <c r="H124" i="3" s="1"/>
  <c r="AG33" i="3"/>
  <c r="H33" i="3" s="1"/>
  <c r="AD126" i="2"/>
  <c r="K72" i="8" s="1"/>
  <c r="AM127" i="2"/>
  <c r="AM123" i="2"/>
  <c r="R69" i="8"/>
  <c r="N3" i="3"/>
  <c r="J92" i="8" s="1"/>
  <c r="S6" i="7" s="1"/>
  <c r="AM103" i="2"/>
  <c r="AD154" i="2"/>
  <c r="K78" i="8" s="1"/>
  <c r="AG155" i="2"/>
  <c r="AG154" i="2" s="1"/>
  <c r="AD148" i="2"/>
  <c r="AD140" i="2"/>
  <c r="K75" i="8" s="1"/>
  <c r="N130" i="2"/>
  <c r="AG132" i="2"/>
  <c r="AG131" i="2" s="1"/>
  <c r="AD131" i="2"/>
  <c r="K74" i="8" s="1"/>
  <c r="AD67" i="3"/>
  <c r="AG67" i="3"/>
  <c r="H67" i="3" s="1"/>
  <c r="O94" i="8"/>
  <c r="H94" i="8" s="1"/>
  <c r="AG100" i="3"/>
  <c r="H100" i="3" s="1"/>
  <c r="AD100" i="3"/>
  <c r="K3" i="3"/>
  <c r="E92" i="8" s="1"/>
  <c r="E6" i="7" s="1"/>
  <c r="AD192" i="2"/>
  <c r="AG3" i="6"/>
  <c r="AD68" i="2"/>
  <c r="K60" i="8" s="1"/>
  <c r="AD60" i="2"/>
  <c r="K59" i="8" s="1"/>
  <c r="AD52" i="2"/>
  <c r="K57" i="8" s="1"/>
  <c r="AG40" i="2"/>
  <c r="AG39" i="2" s="1"/>
  <c r="K29" i="2"/>
  <c r="E52" i="8" s="1"/>
  <c r="AG24" i="2"/>
  <c r="AD22" i="2"/>
  <c r="AG22" i="2" s="1"/>
  <c r="AG19" i="2"/>
  <c r="AG14" i="2"/>
  <c r="AD12" i="2"/>
  <c r="K49" i="8" s="1"/>
  <c r="E48" i="8"/>
  <c r="AG3" i="5"/>
  <c r="AG3" i="4"/>
  <c r="AD45" i="3"/>
  <c r="H45" i="3"/>
  <c r="AD15" i="3"/>
  <c r="AG15" i="3"/>
  <c r="H15" i="3" s="1"/>
  <c r="AD4" i="3"/>
  <c r="AG4" i="3"/>
  <c r="H4" i="3" s="1"/>
  <c r="K69" i="8"/>
  <c r="AG121" i="2"/>
  <c r="AG120" i="2" s="1"/>
  <c r="N39" i="2"/>
  <c r="J54" i="8" s="1"/>
  <c r="AG86" i="2"/>
  <c r="AG85" i="2" s="1"/>
  <c r="AD85" i="2"/>
  <c r="K63" i="8" s="1"/>
  <c r="AD30" i="2"/>
  <c r="O51" i="8"/>
  <c r="AG31" i="2"/>
  <c r="O53" i="8"/>
  <c r="AG74" i="2"/>
  <c r="AG73" i="2" s="1"/>
  <c r="AD73" i="2"/>
  <c r="K61" i="8" s="1"/>
  <c r="K21" i="2"/>
  <c r="E51" i="8" s="1"/>
  <c r="N21" i="2"/>
  <c r="J51" i="8" s="1"/>
  <c r="AG125" i="2"/>
  <c r="AG124" i="2" s="1"/>
  <c r="AD124" i="2"/>
  <c r="K71" i="8" s="1"/>
  <c r="AG25" i="2"/>
  <c r="K39" i="2"/>
  <c r="E54" i="8" s="1"/>
  <c r="N12" i="2"/>
  <c r="J49" i="8" s="1"/>
  <c r="AD92" i="2"/>
  <c r="K65" i="8" s="1"/>
  <c r="AG102" i="2"/>
  <c r="AG101" i="2" s="1"/>
  <c r="AD101" i="2"/>
  <c r="K66" i="8" s="1"/>
  <c r="AG16" i="2"/>
  <c r="AD23" i="2"/>
  <c r="AG23" i="2" s="1"/>
  <c r="M39" i="2"/>
  <c r="AF7" i="2"/>
  <c r="AG27" i="2"/>
  <c r="AG33" i="2"/>
  <c r="J48" i="8"/>
  <c r="AG26" i="2"/>
  <c r="AG32" i="2"/>
  <c r="AD28" i="2"/>
  <c r="AG28" i="2" s="1"/>
  <c r="N34" i="2"/>
  <c r="J53" i="8" s="1"/>
  <c r="AG35" i="2"/>
  <c r="AG34" i="2" s="1"/>
  <c r="O49" i="8"/>
  <c r="AD8" i="2"/>
  <c r="AG8" i="2" s="1"/>
  <c r="AG9" i="2"/>
  <c r="AG10" i="2"/>
  <c r="AD8" i="1"/>
  <c r="G100" i="2"/>
  <c r="AC175" i="1"/>
  <c r="AD197" i="1"/>
  <c r="AG197" i="1" s="1"/>
  <c r="AD193" i="1"/>
  <c r="AD191" i="1"/>
  <c r="AG191" i="1" s="1"/>
  <c r="AG189" i="1"/>
  <c r="AG183" i="1"/>
  <c r="AD181" i="1"/>
  <c r="AG181" i="1" s="1"/>
  <c r="AG177" i="1"/>
  <c r="J45" i="8"/>
  <c r="N208" i="1"/>
  <c r="N207" i="1"/>
  <c r="K207" i="1"/>
  <c r="N204" i="1"/>
  <c r="N205" i="1"/>
  <c r="K205" i="1"/>
  <c r="K204" i="1"/>
  <c r="N202" i="1"/>
  <c r="N201" i="1"/>
  <c r="N200" i="1"/>
  <c r="K202" i="1"/>
  <c r="K201" i="1"/>
  <c r="K200" i="1"/>
  <c r="N198" i="1"/>
  <c r="N197" i="1"/>
  <c r="N196" i="1"/>
  <c r="K198" i="1"/>
  <c r="K197" i="1"/>
  <c r="K196" i="1"/>
  <c r="K194" i="1"/>
  <c r="N194" i="1"/>
  <c r="N193" i="1"/>
  <c r="K193" i="1"/>
  <c r="N189" i="1"/>
  <c r="N191" i="1"/>
  <c r="N190" i="1"/>
  <c r="N188" i="1"/>
  <c r="N187" i="1"/>
  <c r="K191" i="1"/>
  <c r="K190" i="1"/>
  <c r="K189" i="1"/>
  <c r="K188" i="1"/>
  <c r="K187" i="1"/>
  <c r="N185" i="1"/>
  <c r="N184" i="1" s="1"/>
  <c r="J38" i="8" s="1"/>
  <c r="K185" i="1"/>
  <c r="K184" i="1" s="1"/>
  <c r="E38" i="8" s="1"/>
  <c r="N183" i="1"/>
  <c r="N182" i="1"/>
  <c r="N181" i="1"/>
  <c r="N180" i="1"/>
  <c r="K183" i="1"/>
  <c r="K182" i="1"/>
  <c r="K181" i="1"/>
  <c r="K180" i="1"/>
  <c r="N178" i="1"/>
  <c r="N177" i="1"/>
  <c r="N176" i="1"/>
  <c r="K178" i="1"/>
  <c r="K176" i="1"/>
  <c r="N174" i="1"/>
  <c r="N173" i="1"/>
  <c r="K177" i="1"/>
  <c r="K174" i="1"/>
  <c r="K173" i="1"/>
  <c r="AL166" i="1"/>
  <c r="N170" i="1"/>
  <c r="N169" i="1"/>
  <c r="N168" i="1"/>
  <c r="N167" i="1"/>
  <c r="M168" i="1"/>
  <c r="M169" i="1"/>
  <c r="M170" i="1"/>
  <c r="M167" i="1"/>
  <c r="K170" i="1"/>
  <c r="K169" i="1"/>
  <c r="K168" i="1"/>
  <c r="K167" i="1"/>
  <c r="N165" i="1"/>
  <c r="N164" i="1"/>
  <c r="N163" i="1"/>
  <c r="N162" i="1"/>
  <c r="N161" i="1"/>
  <c r="K164" i="1"/>
  <c r="K162" i="1"/>
  <c r="K163" i="1"/>
  <c r="K165" i="1"/>
  <c r="K161" i="1"/>
  <c r="N156" i="1"/>
  <c r="N154" i="1"/>
  <c r="N159" i="1"/>
  <c r="N157" i="1"/>
  <c r="N155" i="1"/>
  <c r="K159" i="1"/>
  <c r="K157" i="1"/>
  <c r="K156" i="1"/>
  <c r="K155" i="1"/>
  <c r="N152" i="1"/>
  <c r="N150" i="1"/>
  <c r="K152" i="1"/>
  <c r="K150" i="1"/>
  <c r="N147" i="1"/>
  <c r="N146" i="1"/>
  <c r="N145" i="1"/>
  <c r="N144" i="1"/>
  <c r="K147" i="1"/>
  <c r="K146" i="1"/>
  <c r="K145" i="1"/>
  <c r="K144" i="1"/>
  <c r="N142" i="1"/>
  <c r="N141" i="1"/>
  <c r="K142" i="1"/>
  <c r="K141" i="1"/>
  <c r="N139" i="1"/>
  <c r="N137" i="1"/>
  <c r="N135" i="1"/>
  <c r="N133" i="1"/>
  <c r="N132" i="1"/>
  <c r="K139" i="1"/>
  <c r="K137" i="1"/>
  <c r="K135" i="1"/>
  <c r="K133" i="1"/>
  <c r="K132" i="1"/>
  <c r="AD165" i="1"/>
  <c r="AG165" i="1" s="1"/>
  <c r="AM158" i="1"/>
  <c r="AD127" i="1"/>
  <c r="AF124" i="1"/>
  <c r="K127" i="1"/>
  <c r="AD104" i="1"/>
  <c r="AM103" i="1"/>
  <c r="N120" i="1"/>
  <c r="N124" i="1"/>
  <c r="N123" i="1"/>
  <c r="N122" i="1"/>
  <c r="N119" i="1"/>
  <c r="N118" i="1"/>
  <c r="N117" i="1"/>
  <c r="N116" i="1"/>
  <c r="N115" i="1"/>
  <c r="N114" i="1"/>
  <c r="N113" i="1"/>
  <c r="N106" i="1"/>
  <c r="K113" i="1"/>
  <c r="K114" i="1"/>
  <c r="K115" i="1"/>
  <c r="K116" i="1"/>
  <c r="K117" i="1"/>
  <c r="K118" i="1"/>
  <c r="K119" i="1"/>
  <c r="K120" i="1"/>
  <c r="K122" i="1"/>
  <c r="K123" i="1"/>
  <c r="K124" i="1"/>
  <c r="K106" i="1"/>
  <c r="N103" i="1"/>
  <c r="N104" i="1"/>
  <c r="K104" i="1"/>
  <c r="K103" i="1"/>
  <c r="N101" i="1"/>
  <c r="K101" i="1"/>
  <c r="N100" i="1"/>
  <c r="K100" i="1"/>
  <c r="AG96" i="1"/>
  <c r="AG97" i="1"/>
  <c r="AD98" i="1"/>
  <c r="AG98" i="1" s="1"/>
  <c r="N94" i="1"/>
  <c r="N95" i="1"/>
  <c r="N96" i="1"/>
  <c r="N97" i="1"/>
  <c r="N98" i="1"/>
  <c r="N93" i="1"/>
  <c r="K94" i="1"/>
  <c r="K95" i="1"/>
  <c r="K96" i="1"/>
  <c r="K97" i="1"/>
  <c r="K98" i="1"/>
  <c r="K93" i="1"/>
  <c r="AD89" i="1"/>
  <c r="AD90" i="1"/>
  <c r="AG90" i="1" s="1"/>
  <c r="N89" i="1"/>
  <c r="N90" i="1"/>
  <c r="K89" i="1"/>
  <c r="K90" i="1"/>
  <c r="N78" i="1"/>
  <c r="K81" i="1"/>
  <c r="K82" i="1"/>
  <c r="K83" i="1"/>
  <c r="K84" i="1"/>
  <c r="K85" i="1"/>
  <c r="K86" i="1"/>
  <c r="K78" i="1"/>
  <c r="K67" i="1"/>
  <c r="K68" i="1"/>
  <c r="K70" i="1"/>
  <c r="K73" i="1"/>
  <c r="K74" i="1"/>
  <c r="K59" i="1"/>
  <c r="K60" i="1"/>
  <c r="K61" i="1"/>
  <c r="K56" i="1"/>
  <c r="AD81" i="1"/>
  <c r="AD82" i="1"/>
  <c r="AG82" i="1" s="1"/>
  <c r="AD84" i="1"/>
  <c r="AG84" i="1" s="1"/>
  <c r="AD86" i="1"/>
  <c r="AG86" i="1" s="1"/>
  <c r="N81" i="1"/>
  <c r="N82" i="1"/>
  <c r="N83" i="1"/>
  <c r="N84" i="1"/>
  <c r="N85" i="1"/>
  <c r="N86" i="1"/>
  <c r="P184" i="8" l="1"/>
  <c r="AD87" i="1"/>
  <c r="AG81" i="1"/>
  <c r="AG119" i="2"/>
  <c r="H119" i="2" s="1"/>
  <c r="H98" i="8"/>
  <c r="H106" i="8"/>
  <c r="H49" i="8"/>
  <c r="H76" i="8"/>
  <c r="H155" i="8"/>
  <c r="H112" i="8"/>
  <c r="H55" i="8"/>
  <c r="H69" i="8"/>
  <c r="H72" i="8"/>
  <c r="H63" i="8"/>
  <c r="H53" i="8"/>
  <c r="H111" i="8"/>
  <c r="H51" i="8"/>
  <c r="O124" i="8"/>
  <c r="H124" i="8" s="1"/>
  <c r="H125" i="8"/>
  <c r="H60" i="8"/>
  <c r="H147" i="8"/>
  <c r="H127" i="8"/>
  <c r="H162" i="8"/>
  <c r="H101" i="8"/>
  <c r="AE3" i="3"/>
  <c r="M92" i="8" s="1"/>
  <c r="AG91" i="2"/>
  <c r="H91" i="2" s="1"/>
  <c r="AG15" i="2"/>
  <c r="AG21" i="2"/>
  <c r="AG130" i="2"/>
  <c r="H130" i="2" s="1"/>
  <c r="R112" i="8"/>
  <c r="R101" i="8"/>
  <c r="O79" i="8"/>
  <c r="H79" i="8" s="1"/>
  <c r="AM85" i="1"/>
  <c r="AD119" i="1"/>
  <c r="AG119" i="1" s="1"/>
  <c r="O153" i="8"/>
  <c r="AG127" i="1"/>
  <c r="AG125" i="1" s="1"/>
  <c r="AD125" i="1"/>
  <c r="K25" i="8" s="1"/>
  <c r="AG121" i="1"/>
  <c r="O57" i="8"/>
  <c r="AM210" i="1"/>
  <c r="AM211" i="1"/>
  <c r="AD211" i="1"/>
  <c r="AM3" i="6"/>
  <c r="R198" i="8" s="1"/>
  <c r="AM131" i="2"/>
  <c r="R74" i="8" s="1"/>
  <c r="AM68" i="2"/>
  <c r="R60" i="8" s="1"/>
  <c r="R199" i="8"/>
  <c r="AM188" i="1"/>
  <c r="AM178" i="1"/>
  <c r="AM202" i="1"/>
  <c r="AM154" i="1"/>
  <c r="AM159" i="1"/>
  <c r="AM78" i="1"/>
  <c r="AM145" i="2"/>
  <c r="R76" i="8" s="1"/>
  <c r="AM45" i="3"/>
  <c r="R105" i="8" s="1"/>
  <c r="AM4" i="3"/>
  <c r="R93" i="8" s="1"/>
  <c r="AM60" i="2"/>
  <c r="R59" i="8" s="1"/>
  <c r="O78" i="8"/>
  <c r="AM156" i="1"/>
  <c r="AM168" i="1"/>
  <c r="AD168" i="1"/>
  <c r="AG168" i="1" s="1"/>
  <c r="AG151" i="1"/>
  <c r="AM174" i="1"/>
  <c r="AD111" i="1"/>
  <c r="AG111" i="1" s="1"/>
  <c r="AD170" i="1"/>
  <c r="AG170" i="1" s="1"/>
  <c r="AM21" i="2"/>
  <c r="R51" i="8" s="1"/>
  <c r="AM12" i="2"/>
  <c r="R49" i="8" s="1"/>
  <c r="AM167" i="1"/>
  <c r="AM163" i="1"/>
  <c r="AM162" i="1"/>
  <c r="AG134" i="1"/>
  <c r="AM117" i="2"/>
  <c r="AM116" i="2"/>
  <c r="AM34" i="2"/>
  <c r="R53" i="8" s="1"/>
  <c r="AM18" i="2"/>
  <c r="AM20" i="2"/>
  <c r="AM124" i="1"/>
  <c r="AM123" i="1"/>
  <c r="AM122" i="1"/>
  <c r="AM120" i="1"/>
  <c r="AM118" i="1"/>
  <c r="AM117" i="1"/>
  <c r="AM116" i="1"/>
  <c r="AM115" i="1"/>
  <c r="AM114" i="1"/>
  <c r="AM113" i="1"/>
  <c r="AM106" i="1"/>
  <c r="AM102" i="1"/>
  <c r="R23" i="8" s="1"/>
  <c r="AM101" i="1"/>
  <c r="AM155" i="1"/>
  <c r="AM83" i="1"/>
  <c r="AM205" i="1"/>
  <c r="AM200" i="1"/>
  <c r="AM198" i="1"/>
  <c r="AM190" i="1"/>
  <c r="AM180" i="1"/>
  <c r="AM182" i="1"/>
  <c r="AM169" i="1"/>
  <c r="AM161" i="1"/>
  <c r="AM152" i="1"/>
  <c r="AM150" i="1"/>
  <c r="AM147" i="1"/>
  <c r="AM145" i="1"/>
  <c r="AM144" i="1"/>
  <c r="AM146" i="1"/>
  <c r="AM142" i="1"/>
  <c r="AM141" i="1"/>
  <c r="AM139" i="1"/>
  <c r="AM137" i="1"/>
  <c r="AM135" i="1"/>
  <c r="AM132" i="1"/>
  <c r="O110" i="8"/>
  <c r="H110" i="8" s="1"/>
  <c r="O120" i="8"/>
  <c r="AM21" i="3"/>
  <c r="AM15" i="3" s="1"/>
  <c r="R96" i="8" s="1"/>
  <c r="R95" i="8"/>
  <c r="AM29" i="2"/>
  <c r="R52" i="8" s="1"/>
  <c r="AM43" i="2"/>
  <c r="R55" i="8" s="1"/>
  <c r="AM122" i="2"/>
  <c r="R70" i="8" s="1"/>
  <c r="AM101" i="2"/>
  <c r="AM126" i="2"/>
  <c r="R72" i="8" s="1"/>
  <c r="R78" i="8"/>
  <c r="AM52" i="2"/>
  <c r="R57" i="8" s="1"/>
  <c r="AD33" i="3"/>
  <c r="AD3" i="3" s="1"/>
  <c r="K92" i="8" s="1"/>
  <c r="K172" i="1"/>
  <c r="E35" i="8" s="1"/>
  <c r="K199" i="1"/>
  <c r="E42" i="8" s="1"/>
  <c r="N203" i="1"/>
  <c r="J43" i="8" s="1"/>
  <c r="K101" i="8"/>
  <c r="AG13" i="2"/>
  <c r="AG12" i="2" s="1"/>
  <c r="O93" i="8"/>
  <c r="H93" i="8" s="1"/>
  <c r="N199" i="1"/>
  <c r="J42" i="8" s="1"/>
  <c r="M8" i="7"/>
  <c r="K68" i="8"/>
  <c r="M7" i="7"/>
  <c r="K77" i="8"/>
  <c r="AD145" i="2"/>
  <c r="K76" i="8" s="1"/>
  <c r="K64" i="8"/>
  <c r="AG103" i="1"/>
  <c r="K195" i="1"/>
  <c r="E41" i="8" s="1"/>
  <c r="K175" i="1"/>
  <c r="E36" i="8" s="1"/>
  <c r="AD149" i="1"/>
  <c r="AG149" i="1" s="1"/>
  <c r="AG169" i="1"/>
  <c r="N172" i="1"/>
  <c r="J35" i="8" s="1"/>
  <c r="AG208" i="1"/>
  <c r="O70" i="8"/>
  <c r="H70" i="8" s="1"/>
  <c r="K125" i="1"/>
  <c r="E25" i="8" s="1"/>
  <c r="AG207" i="1"/>
  <c r="AD205" i="1"/>
  <c r="AG205" i="1" s="1"/>
  <c r="K203" i="1"/>
  <c r="E43" i="8" s="1"/>
  <c r="N195" i="1"/>
  <c r="J41" i="8" s="1"/>
  <c r="N192" i="1"/>
  <c r="J40" i="8" s="1"/>
  <c r="K186" i="1"/>
  <c r="E39" i="8" s="1"/>
  <c r="N175" i="1"/>
  <c r="J36" i="8" s="1"/>
  <c r="AD173" i="1"/>
  <c r="AG173" i="1" s="1"/>
  <c r="K166" i="1"/>
  <c r="E33" i="8" s="1"/>
  <c r="AG159" i="1"/>
  <c r="N179" i="1"/>
  <c r="J37" i="8" s="1"/>
  <c r="AG78" i="1"/>
  <c r="N125" i="1"/>
  <c r="J25" i="8" s="1"/>
  <c r="AD162" i="1"/>
  <c r="AG162" i="1" s="1"/>
  <c r="K192" i="1"/>
  <c r="E40" i="8" s="1"/>
  <c r="N206" i="1"/>
  <c r="J44" i="8" s="1"/>
  <c r="K87" i="1"/>
  <c r="E19" i="8" s="1"/>
  <c r="AG120" i="1"/>
  <c r="AG150" i="1"/>
  <c r="K179" i="1"/>
  <c r="E37" i="8" s="1"/>
  <c r="AD185" i="1"/>
  <c r="AG185" i="1" s="1"/>
  <c r="AG184" i="1" s="1"/>
  <c r="AG123" i="1"/>
  <c r="AG152" i="1"/>
  <c r="AM207" i="1"/>
  <c r="AM201" i="1"/>
  <c r="AM196" i="1"/>
  <c r="AM185" i="1"/>
  <c r="O38" i="8"/>
  <c r="AM173" i="1"/>
  <c r="AG193" i="1"/>
  <c r="AM204" i="1"/>
  <c r="O43" i="8"/>
  <c r="AD110" i="1"/>
  <c r="AG110" i="1" s="1"/>
  <c r="AG108" i="1"/>
  <c r="K140" i="1"/>
  <c r="E28" i="8" s="1"/>
  <c r="AD161" i="1"/>
  <c r="AG161" i="1" s="1"/>
  <c r="N186" i="1"/>
  <c r="J39" i="8" s="1"/>
  <c r="K206" i="1"/>
  <c r="AG174" i="1"/>
  <c r="K102" i="1"/>
  <c r="E23" i="8" s="1"/>
  <c r="M166" i="1"/>
  <c r="K99" i="1"/>
  <c r="E22" i="8" s="1"/>
  <c r="AD182" i="1"/>
  <c r="AG182" i="1" s="1"/>
  <c r="AD190" i="1"/>
  <c r="AG190" i="1" s="1"/>
  <c r="AD194" i="1"/>
  <c r="AG194" i="1" s="1"/>
  <c r="AD107" i="1"/>
  <c r="AG107" i="1" s="1"/>
  <c r="E45" i="8"/>
  <c r="AD198" i="1"/>
  <c r="AG198" i="1" s="1"/>
  <c r="AD147" i="1"/>
  <c r="AG147" i="1" s="1"/>
  <c r="AG157" i="1"/>
  <c r="AD201" i="1"/>
  <c r="AG201" i="1" s="1"/>
  <c r="AD116" i="1"/>
  <c r="AG116" i="1" s="1"/>
  <c r="N140" i="1"/>
  <c r="J28" i="8" s="1"/>
  <c r="AD156" i="1"/>
  <c r="AG156" i="1" s="1"/>
  <c r="AD163" i="1"/>
  <c r="AG163" i="1" s="1"/>
  <c r="AD178" i="1"/>
  <c r="AG178" i="1" s="1"/>
  <c r="AD202" i="1"/>
  <c r="AG202" i="1" s="1"/>
  <c r="AG94" i="1"/>
  <c r="AG92" i="1" s="1"/>
  <c r="AG188" i="1"/>
  <c r="N160" i="1"/>
  <c r="J32" i="8" s="1"/>
  <c r="N166" i="1"/>
  <c r="J33" i="8" s="1"/>
  <c r="AD167" i="1"/>
  <c r="AG164" i="1"/>
  <c r="K160" i="1"/>
  <c r="E32" i="8" s="1"/>
  <c r="K153" i="1"/>
  <c r="E31" i="8" s="1"/>
  <c r="N153" i="1"/>
  <c r="J31" i="8" s="1"/>
  <c r="AD144" i="1"/>
  <c r="AG144" i="1" s="1"/>
  <c r="AD146" i="1"/>
  <c r="AG146" i="1" s="1"/>
  <c r="O29" i="8"/>
  <c r="AD145" i="1"/>
  <c r="AG145" i="1" s="1"/>
  <c r="K143" i="1"/>
  <c r="E29" i="8" s="1"/>
  <c r="N143" i="1"/>
  <c r="J29" i="8" s="1"/>
  <c r="O28" i="8"/>
  <c r="AG142" i="1"/>
  <c r="AG135" i="1"/>
  <c r="AG139" i="1"/>
  <c r="AG133" i="1"/>
  <c r="AD137" i="1"/>
  <c r="AG137" i="1" s="1"/>
  <c r="AD155" i="1"/>
  <c r="AG155" i="1" s="1"/>
  <c r="AD154" i="1"/>
  <c r="N87" i="1"/>
  <c r="J19" i="8" s="1"/>
  <c r="AG89" i="1"/>
  <c r="AG87" i="1" s="1"/>
  <c r="K19" i="8"/>
  <c r="AG85" i="1"/>
  <c r="AD83" i="1"/>
  <c r="AG83" i="1" s="1"/>
  <c r="AG79" i="1"/>
  <c r="AD29" i="2"/>
  <c r="K52" i="8" s="1"/>
  <c r="AD21" i="2"/>
  <c r="K51" i="8" s="1"/>
  <c r="AD15" i="2"/>
  <c r="K50" i="8" s="1"/>
  <c r="AG3" i="3"/>
  <c r="AD124" i="1"/>
  <c r="AG124" i="1" s="1"/>
  <c r="AG122" i="1"/>
  <c r="AD118" i="1"/>
  <c r="AG118" i="1" s="1"/>
  <c r="AD115" i="1"/>
  <c r="AG115" i="1" s="1"/>
  <c r="AD117" i="1"/>
  <c r="AG117" i="1" s="1"/>
  <c r="AG114" i="1"/>
  <c r="AD113" i="1"/>
  <c r="AG113" i="1" s="1"/>
  <c r="AD112" i="1"/>
  <c r="AG112" i="1" s="1"/>
  <c r="AG109" i="1"/>
  <c r="AD106" i="1"/>
  <c r="AG104" i="1"/>
  <c r="AG101" i="1"/>
  <c r="N102" i="1"/>
  <c r="J23" i="8" s="1"/>
  <c r="N99" i="1"/>
  <c r="J22" i="8" s="1"/>
  <c r="N92" i="1"/>
  <c r="J21" i="8" s="1"/>
  <c r="K92" i="1"/>
  <c r="AG30" i="2"/>
  <c r="AG29" i="2" s="1"/>
  <c r="AD119" i="2"/>
  <c r="AD91" i="2"/>
  <c r="AD11" i="2"/>
  <c r="AG11" i="2" s="1"/>
  <c r="AD7" i="2"/>
  <c r="AG100" i="1"/>
  <c r="AG73" i="1"/>
  <c r="AD66" i="1"/>
  <c r="AD67" i="1"/>
  <c r="AG67" i="1" s="1"/>
  <c r="AD68" i="1"/>
  <c r="AG68" i="1" s="1"/>
  <c r="AD59" i="1"/>
  <c r="AG59" i="1" s="1"/>
  <c r="AD60" i="1"/>
  <c r="AG60" i="1" s="1"/>
  <c r="AD61" i="1"/>
  <c r="AG61" i="1" s="1"/>
  <c r="AD62" i="1"/>
  <c r="AG62" i="1" s="1"/>
  <c r="AD54" i="1"/>
  <c r="AG54" i="1" s="1"/>
  <c r="AG55" i="1"/>
  <c r="AD56" i="1"/>
  <c r="AG56" i="1" s="1"/>
  <c r="AG49" i="1"/>
  <c r="AM50" i="1"/>
  <c r="AG51" i="1"/>
  <c r="AD46" i="1"/>
  <c r="AG46" i="1" s="1"/>
  <c r="AM47" i="1"/>
  <c r="N67" i="1"/>
  <c r="N68" i="1"/>
  <c r="N70" i="1"/>
  <c r="N72" i="1"/>
  <c r="N73" i="1"/>
  <c r="N74" i="1"/>
  <c r="N59" i="1"/>
  <c r="N60" i="1"/>
  <c r="N61" i="1"/>
  <c r="N53" i="1"/>
  <c r="N54" i="1"/>
  <c r="N55" i="1"/>
  <c r="N56" i="1"/>
  <c r="K54" i="1"/>
  <c r="K55" i="1"/>
  <c r="K53" i="1"/>
  <c r="N47" i="1"/>
  <c r="N46" i="1"/>
  <c r="N48" i="1"/>
  <c r="N49" i="1"/>
  <c r="N50" i="1"/>
  <c r="K46" i="1"/>
  <c r="K47" i="1"/>
  <c r="K48" i="1"/>
  <c r="K50" i="1"/>
  <c r="AD41" i="1"/>
  <c r="AG41" i="1" s="1"/>
  <c r="AG42" i="1"/>
  <c r="N41" i="1"/>
  <c r="N42" i="1"/>
  <c r="N43" i="1"/>
  <c r="N40" i="1"/>
  <c r="K41" i="1"/>
  <c r="K42" i="1"/>
  <c r="K43" i="1"/>
  <c r="K40" i="1"/>
  <c r="N38" i="1"/>
  <c r="N37" i="1"/>
  <c r="K38" i="1"/>
  <c r="K37" i="1"/>
  <c r="AD37" i="1"/>
  <c r="N34" i="1"/>
  <c r="N35" i="1"/>
  <c r="K34" i="1"/>
  <c r="K35" i="1"/>
  <c r="N33" i="1"/>
  <c r="K33" i="1"/>
  <c r="AG77" i="1" l="1"/>
  <c r="AD77" i="1"/>
  <c r="O6" i="7"/>
  <c r="H43" i="8"/>
  <c r="H28" i="8"/>
  <c r="H78" i="8"/>
  <c r="H29" i="8"/>
  <c r="H38" i="8"/>
  <c r="H153" i="8"/>
  <c r="H120" i="8"/>
  <c r="AM153" i="1"/>
  <c r="AM3" i="3"/>
  <c r="R92" i="8" s="1"/>
  <c r="R66" i="8"/>
  <c r="AM81" i="1"/>
  <c r="AM119" i="1"/>
  <c r="O45" i="8"/>
  <c r="AD209" i="1"/>
  <c r="E44" i="8"/>
  <c r="E34" i="8" s="1"/>
  <c r="K171" i="1"/>
  <c r="AM130" i="2"/>
  <c r="R73" i="8" s="1"/>
  <c r="O73" i="8"/>
  <c r="AM203" i="1"/>
  <c r="R43" i="8" s="1"/>
  <c r="AM48" i="1"/>
  <c r="AM140" i="1"/>
  <c r="R28" i="8" s="1"/>
  <c r="AM209" i="1"/>
  <c r="R45" i="8" s="1"/>
  <c r="AM53" i="1"/>
  <c r="R31" i="8"/>
  <c r="AM106" i="2"/>
  <c r="R67" i="8" s="1"/>
  <c r="AM172" i="1"/>
  <c r="R35" i="8" s="1"/>
  <c r="AM208" i="1"/>
  <c r="O44" i="8"/>
  <c r="O33" i="8"/>
  <c r="H33" i="8" s="1"/>
  <c r="AM90" i="1"/>
  <c r="AD166" i="1"/>
  <c r="K33" i="8" s="1"/>
  <c r="AM170" i="1"/>
  <c r="AM166" i="1" s="1"/>
  <c r="R33" i="8" s="1"/>
  <c r="AM187" i="1"/>
  <c r="AM40" i="1"/>
  <c r="AM199" i="1"/>
  <c r="R42" i="8" s="1"/>
  <c r="AM143" i="1"/>
  <c r="R29" i="8" s="1"/>
  <c r="AM8" i="2"/>
  <c r="AM176" i="1"/>
  <c r="U9" i="7"/>
  <c r="AM164" i="1"/>
  <c r="AM11" i="2"/>
  <c r="AM9" i="2"/>
  <c r="AM10" i="2"/>
  <c r="AM7" i="2"/>
  <c r="AM6" i="2"/>
  <c r="AM43" i="1"/>
  <c r="O23" i="8"/>
  <c r="AM97" i="1"/>
  <c r="AM96" i="1"/>
  <c r="AM94" i="1"/>
  <c r="O31" i="8"/>
  <c r="AM84" i="1"/>
  <c r="AM82" i="1"/>
  <c r="AM75" i="1"/>
  <c r="AM70" i="1"/>
  <c r="AM197" i="1"/>
  <c r="AM195" i="1" s="1"/>
  <c r="R41" i="8" s="1"/>
  <c r="AM191" i="1"/>
  <c r="AM189" i="1"/>
  <c r="AM181" i="1"/>
  <c r="AM183" i="1"/>
  <c r="AM177" i="1"/>
  <c r="AM27" i="1"/>
  <c r="AM165" i="1"/>
  <c r="AM38" i="1"/>
  <c r="AM35" i="1"/>
  <c r="AM34" i="1"/>
  <c r="R98" i="8"/>
  <c r="K73" i="8"/>
  <c r="AM119" i="2"/>
  <c r="R68" i="8" s="1"/>
  <c r="AM149" i="1"/>
  <c r="AM184" i="1"/>
  <c r="AM89" i="1"/>
  <c r="AD130" i="2"/>
  <c r="AD102" i="1"/>
  <c r="K23" i="8" s="1"/>
  <c r="AG102" i="1"/>
  <c r="M6" i="7"/>
  <c r="O68" i="8"/>
  <c r="H68" i="8" s="1"/>
  <c r="AD92" i="1"/>
  <c r="K21" i="8" s="1"/>
  <c r="AG148" i="1"/>
  <c r="O35" i="8"/>
  <c r="AG160" i="1"/>
  <c r="AD206" i="1"/>
  <c r="K44" i="8" s="1"/>
  <c r="AG206" i="1"/>
  <c r="AD192" i="1"/>
  <c r="K40" i="8" s="1"/>
  <c r="AD186" i="1"/>
  <c r="K39" i="8" s="1"/>
  <c r="AD184" i="1"/>
  <c r="K38" i="8" s="1"/>
  <c r="AD179" i="1"/>
  <c r="K37" i="8" s="1"/>
  <c r="J34" i="8"/>
  <c r="AD172" i="1"/>
  <c r="AG172" i="1"/>
  <c r="AG187" i="1"/>
  <c r="AG186" i="1" s="1"/>
  <c r="K32" i="1"/>
  <c r="K39" i="1"/>
  <c r="E14" i="8" s="1"/>
  <c r="O32" i="8"/>
  <c r="AG180" i="1"/>
  <c r="AG179" i="1" s="1"/>
  <c r="AG143" i="1"/>
  <c r="AD148" i="1"/>
  <c r="K30" i="8" s="1"/>
  <c r="E21" i="8"/>
  <c r="AM193" i="1"/>
  <c r="O40" i="8"/>
  <c r="AG200" i="1"/>
  <c r="AG199" i="1" s="1"/>
  <c r="AD199" i="1"/>
  <c r="K42" i="8" s="1"/>
  <c r="AG192" i="1"/>
  <c r="N171" i="1"/>
  <c r="K36" i="1"/>
  <c r="E13" i="8" s="1"/>
  <c r="O22" i="8"/>
  <c r="AM100" i="1"/>
  <c r="AD160" i="1"/>
  <c r="K32" i="8" s="1"/>
  <c r="AD143" i="1"/>
  <c r="K29" i="8" s="1"/>
  <c r="O41" i="8"/>
  <c r="AD195" i="1"/>
  <c r="K41" i="8" s="1"/>
  <c r="AG196" i="1"/>
  <c r="AG195" i="1" s="1"/>
  <c r="AG204" i="1"/>
  <c r="AG203" i="1" s="1"/>
  <c r="AD203" i="1"/>
  <c r="K43" i="8" s="1"/>
  <c r="O37" i="8"/>
  <c r="AD175" i="1"/>
  <c r="K36" i="8" s="1"/>
  <c r="AG176" i="1"/>
  <c r="AG175" i="1" s="1"/>
  <c r="AM86" i="1"/>
  <c r="AG106" i="1"/>
  <c r="AG105" i="1" s="1"/>
  <c r="AD105" i="1"/>
  <c r="K24" i="8" s="1"/>
  <c r="AG167" i="1"/>
  <c r="AG166" i="1" s="1"/>
  <c r="AG141" i="1"/>
  <c r="AG140" i="1" s="1"/>
  <c r="AD140" i="1"/>
  <c r="K28" i="8" s="1"/>
  <c r="AD131" i="1"/>
  <c r="AG131" i="1"/>
  <c r="AG154" i="1"/>
  <c r="AG153" i="1" s="1"/>
  <c r="AD153" i="1"/>
  <c r="K31" i="8" s="1"/>
  <c r="K18" i="8"/>
  <c r="AD70" i="1"/>
  <c r="AG70" i="1" s="1"/>
  <c r="AD52" i="1"/>
  <c r="K16" i="8" s="1"/>
  <c r="N52" i="1"/>
  <c r="J16" i="8" s="1"/>
  <c r="AD47" i="1"/>
  <c r="AG47" i="1" s="1"/>
  <c r="N39" i="1"/>
  <c r="J14" i="8" s="1"/>
  <c r="AG7" i="2"/>
  <c r="AG5" i="2" s="1"/>
  <c r="AG4" i="2" s="1"/>
  <c r="H4" i="2" s="1"/>
  <c r="AG3" i="2" s="1"/>
  <c r="AD5" i="2"/>
  <c r="K48" i="8" s="1"/>
  <c r="K47" i="8" s="1"/>
  <c r="N32" i="1"/>
  <c r="J12" i="8" s="1"/>
  <c r="AD99" i="1"/>
  <c r="K22" i="8" s="1"/>
  <c r="AG99" i="1"/>
  <c r="AG37" i="1"/>
  <c r="AM66" i="1"/>
  <c r="N36" i="1"/>
  <c r="J13" i="8" s="1"/>
  <c r="AG34" i="1"/>
  <c r="AG33" i="1"/>
  <c r="AD45" i="1"/>
  <c r="AD40" i="1"/>
  <c r="AG48" i="1"/>
  <c r="AD38" i="1"/>
  <c r="AG38" i="1" s="1"/>
  <c r="AG43" i="1"/>
  <c r="K52" i="1"/>
  <c r="E16" i="8" s="1"/>
  <c r="AD50" i="1"/>
  <c r="AG50" i="1" s="1"/>
  <c r="AG35" i="1"/>
  <c r="AI27" i="1"/>
  <c r="AG27" i="1"/>
  <c r="AD28" i="1"/>
  <c r="N30" i="1"/>
  <c r="N28" i="1"/>
  <c r="N29" i="1"/>
  <c r="N27" i="1"/>
  <c r="N24" i="1"/>
  <c r="N22" i="1"/>
  <c r="N21" i="1"/>
  <c r="N18" i="1"/>
  <c r="N19" i="1"/>
  <c r="N20" i="1"/>
  <c r="N14" i="1"/>
  <c r="N12" i="1" s="1"/>
  <c r="J7" i="8" s="1"/>
  <c r="N11" i="1"/>
  <c r="N5" i="1" s="1"/>
  <c r="M7" i="1"/>
  <c r="K28" i="1"/>
  <c r="K29" i="1"/>
  <c r="K30" i="1"/>
  <c r="K27" i="1"/>
  <c r="K24" i="1"/>
  <c r="AD22" i="1"/>
  <c r="AG22" i="1" s="1"/>
  <c r="AD18" i="1"/>
  <c r="K18" i="1"/>
  <c r="K19" i="1"/>
  <c r="K20" i="1"/>
  <c r="K21" i="1"/>
  <c r="K22" i="1"/>
  <c r="K14" i="1"/>
  <c r="AF6" i="1"/>
  <c r="AG8" i="1"/>
  <c r="AC9" i="1"/>
  <c r="AF9" i="1" s="1"/>
  <c r="AI6" i="1"/>
  <c r="M14" i="1"/>
  <c r="M12" i="1" s="1"/>
  <c r="M6" i="1"/>
  <c r="K8" i="1"/>
  <c r="K9" i="1"/>
  <c r="K11" i="1"/>
  <c r="AG91" i="1" l="1"/>
  <c r="H91" i="1" s="1"/>
  <c r="AG18" i="1"/>
  <c r="E12" i="8"/>
  <c r="K5" i="1"/>
  <c r="E6" i="8" s="1"/>
  <c r="AG28" i="1"/>
  <c r="AD26" i="1"/>
  <c r="H41" i="8"/>
  <c r="H32" i="8"/>
  <c r="H35" i="8"/>
  <c r="H31" i="8"/>
  <c r="H23" i="8"/>
  <c r="H22" i="8"/>
  <c r="H37" i="8"/>
  <c r="H40" i="8"/>
  <c r="H44" i="8"/>
  <c r="H73" i="8"/>
  <c r="AM5" i="2"/>
  <c r="R48" i="8" s="1"/>
  <c r="AD171" i="1"/>
  <c r="K45" i="8"/>
  <c r="AM46" i="1"/>
  <c r="AM54" i="1"/>
  <c r="AM206" i="1"/>
  <c r="R44" i="8" s="1"/>
  <c r="AM160" i="1"/>
  <c r="R32" i="8" s="1"/>
  <c r="AM186" i="1"/>
  <c r="R39" i="8" s="1"/>
  <c r="AM175" i="1"/>
  <c r="R36" i="8" s="1"/>
  <c r="AM87" i="1"/>
  <c r="R19" i="8" s="1"/>
  <c r="AM9" i="1"/>
  <c r="AM19" i="1"/>
  <c r="AM20" i="1"/>
  <c r="AM71" i="1"/>
  <c r="AM69" i="1"/>
  <c r="AM41" i="1"/>
  <c r="AM179" i="1"/>
  <c r="R37" i="8" s="1"/>
  <c r="AM11" i="1"/>
  <c r="AM21" i="1"/>
  <c r="AM73" i="1"/>
  <c r="AM67" i="1"/>
  <c r="AM61" i="1"/>
  <c r="AM60" i="1"/>
  <c r="AM55" i="1"/>
  <c r="AM42" i="1"/>
  <c r="O39" i="8"/>
  <c r="AM30" i="1"/>
  <c r="AM29" i="1"/>
  <c r="U6" i="7"/>
  <c r="AM99" i="1"/>
  <c r="R22" i="8" s="1"/>
  <c r="R38" i="8"/>
  <c r="AM192" i="1"/>
  <c r="AM6" i="1"/>
  <c r="AM14" i="1"/>
  <c r="J6" i="8"/>
  <c r="AD91" i="1"/>
  <c r="K20" i="8"/>
  <c r="K35" i="8"/>
  <c r="K27" i="8"/>
  <c r="K26" i="8" s="1"/>
  <c r="AD130" i="1"/>
  <c r="AG17" i="1"/>
  <c r="AG20" i="1"/>
  <c r="AM127" i="1"/>
  <c r="O36" i="8"/>
  <c r="O13" i="8"/>
  <c r="AM37" i="1"/>
  <c r="AM56" i="1"/>
  <c r="AG53" i="1"/>
  <c r="AG52" i="1" s="1"/>
  <c r="AG171" i="1"/>
  <c r="H171" i="1" s="1"/>
  <c r="K16" i="1"/>
  <c r="N23" i="1"/>
  <c r="J9" i="8" s="1"/>
  <c r="O12" i="8"/>
  <c r="AM33" i="1"/>
  <c r="AM32" i="1" s="1"/>
  <c r="O9" i="8"/>
  <c r="AM24" i="1"/>
  <c r="AM45" i="1"/>
  <c r="AD24" i="1"/>
  <c r="AD23" i="1" s="1"/>
  <c r="O14" i="8"/>
  <c r="AD36" i="1"/>
  <c r="K13" i="8" s="1"/>
  <c r="AG36" i="1"/>
  <c r="AG130" i="1"/>
  <c r="H130" i="1" s="1"/>
  <c r="AD4" i="2"/>
  <c r="O48" i="8"/>
  <c r="K26" i="1"/>
  <c r="AD32" i="1"/>
  <c r="K12" i="8" s="1"/>
  <c r="K23" i="1"/>
  <c r="E9" i="8" s="1"/>
  <c r="K12" i="1"/>
  <c r="E7" i="8" s="1"/>
  <c r="AD21" i="1"/>
  <c r="AG21" i="1" s="1"/>
  <c r="N26" i="1"/>
  <c r="J10" i="8" s="1"/>
  <c r="AG45" i="1"/>
  <c r="AG44" i="1" s="1"/>
  <c r="AD44" i="1"/>
  <c r="K15" i="8" s="1"/>
  <c r="AD19" i="1"/>
  <c r="AG19" i="1" s="1"/>
  <c r="AG30" i="1"/>
  <c r="AG32" i="1"/>
  <c r="AG29" i="1"/>
  <c r="AD14" i="1"/>
  <c r="AD12" i="1" s="1"/>
  <c r="AG58" i="1"/>
  <c r="AG57" i="1" s="1"/>
  <c r="AD57" i="1"/>
  <c r="K17" i="8" s="1"/>
  <c r="AD39" i="1"/>
  <c r="K14" i="8" s="1"/>
  <c r="AG40" i="1"/>
  <c r="AG39" i="1" s="1"/>
  <c r="N16" i="1"/>
  <c r="J8" i="8" s="1"/>
  <c r="AD11" i="1"/>
  <c r="AG11" i="1" s="1"/>
  <c r="AD9" i="1"/>
  <c r="AG10" i="1"/>
  <c r="AD5" i="1" l="1"/>
  <c r="N4" i="1"/>
  <c r="K4" i="1"/>
  <c r="AG16" i="1"/>
  <c r="AD16" i="1"/>
  <c r="K8" i="8" s="1"/>
  <c r="H48" i="8"/>
  <c r="H9" i="8"/>
  <c r="H39" i="8"/>
  <c r="H14" i="8"/>
  <c r="H13" i="8"/>
  <c r="K11" i="8"/>
  <c r="AD3" i="2"/>
  <c r="K46" i="8" s="1"/>
  <c r="AM12" i="1"/>
  <c r="K6" i="8"/>
  <c r="K34" i="8"/>
  <c r="AM52" i="1"/>
  <c r="R16" i="8" s="1"/>
  <c r="AM171" i="1"/>
  <c r="R34" i="8" s="1"/>
  <c r="AM39" i="1"/>
  <c r="R14" i="8" s="1"/>
  <c r="AM18" i="1"/>
  <c r="AM22" i="1"/>
  <c r="AM68" i="1"/>
  <c r="AM15" i="1"/>
  <c r="AM8" i="1"/>
  <c r="AM23" i="1"/>
  <c r="R9" i="8" s="1"/>
  <c r="AM125" i="1"/>
  <c r="R25" i="8" s="1"/>
  <c r="AM17" i="1"/>
  <c r="O8" i="8"/>
  <c r="AM36" i="1"/>
  <c r="R13" i="8" s="1"/>
  <c r="R40" i="8"/>
  <c r="O7" i="8"/>
  <c r="J5" i="8"/>
  <c r="AG9" i="1"/>
  <c r="AG5" i="1" s="1"/>
  <c r="E8" i="8"/>
  <c r="AG24" i="1"/>
  <c r="AG23" i="1" s="1"/>
  <c r="K9" i="8"/>
  <c r="AM7" i="1"/>
  <c r="AG14" i="1"/>
  <c r="AG12" i="1" s="1"/>
  <c r="K7" i="8"/>
  <c r="O10" i="8"/>
  <c r="AM28" i="1"/>
  <c r="AM26" i="1" s="1"/>
  <c r="R12" i="8"/>
  <c r="AG26" i="1"/>
  <c r="E10" i="8"/>
  <c r="K10" i="8"/>
  <c r="AD31" i="1"/>
  <c r="AG31" i="1"/>
  <c r="H31" i="1" s="1"/>
  <c r="AM5" i="1" l="1"/>
  <c r="H10" i="8"/>
  <c r="H7" i="8"/>
  <c r="H8" i="8"/>
  <c r="M5" i="7"/>
  <c r="R7" i="8"/>
  <c r="AM16" i="1"/>
  <c r="R8" i="8" s="1"/>
  <c r="R6" i="8"/>
  <c r="O6" i="8"/>
  <c r="H6" i="8" s="1"/>
  <c r="K5" i="8"/>
  <c r="AG4" i="1"/>
  <c r="H4" i="1" s="1"/>
  <c r="AG3" i="1" s="1"/>
  <c r="E5" i="8"/>
  <c r="AD4" i="1"/>
  <c r="F100" i="2"/>
  <c r="AL97" i="2"/>
  <c r="AF97" i="2"/>
  <c r="AF96" i="2"/>
  <c r="AD3" i="1" l="1"/>
  <c r="K4" i="8" s="1"/>
  <c r="O5" i="8"/>
  <c r="AM4" i="1"/>
  <c r="R10" i="8"/>
  <c r="K92" i="2"/>
  <c r="N92" i="2"/>
  <c r="AC52" i="4"/>
  <c r="AF52" i="4" s="1"/>
  <c r="AF50" i="4" s="1"/>
  <c r="M52" i="4"/>
  <c r="M50" i="4" s="1"/>
  <c r="J52" i="4"/>
  <c r="J50" i="4" s="1"/>
  <c r="K3" i="8" l="1"/>
  <c r="M3" i="7" s="1"/>
  <c r="M4" i="7"/>
  <c r="H5" i="8"/>
  <c r="R5" i="8"/>
  <c r="N91" i="2"/>
  <c r="J65" i="8"/>
  <c r="J64" i="8" s="1"/>
  <c r="K91" i="2"/>
  <c r="E65" i="8"/>
  <c r="E64" i="8" s="1"/>
  <c r="AC50" i="4"/>
  <c r="AC97" i="3"/>
  <c r="AF97" i="3" s="1"/>
  <c r="AF96" i="3" s="1"/>
  <c r="E12" i="9" l="1"/>
  <c r="AC49" i="4"/>
  <c r="AF49" i="4" s="1"/>
  <c r="J142" i="4" l="1"/>
  <c r="M31" i="4"/>
  <c r="M27" i="4" s="1"/>
  <c r="J31" i="4"/>
  <c r="J27" i="4" s="1"/>
  <c r="AC171" i="2" l="1"/>
  <c r="F17" i="1" l="1"/>
  <c r="M17" i="1" l="1"/>
  <c r="AI103" i="1"/>
  <c r="AI102" i="1" s="1"/>
  <c r="AC103" i="1"/>
  <c r="J101" i="1"/>
  <c r="AI100" i="1"/>
  <c r="AL100" i="1" s="1"/>
  <c r="AL17" i="1" l="1"/>
  <c r="AC173" i="2"/>
  <c r="AI11" i="1" l="1"/>
  <c r="AL11" i="1" s="1"/>
  <c r="AC11" i="1"/>
  <c r="AF11" i="1" s="1"/>
  <c r="M11" i="1"/>
  <c r="J11" i="1"/>
  <c r="AI47" i="3" l="1"/>
  <c r="AL47" i="3" s="1"/>
  <c r="AF47" i="3"/>
  <c r="M47" i="3"/>
  <c r="J47" i="3"/>
  <c r="M9" i="3"/>
  <c r="AI14" i="3"/>
  <c r="AL14" i="3" s="1"/>
  <c r="AC14" i="3"/>
  <c r="AF14" i="3" s="1"/>
  <c r="M14" i="3"/>
  <c r="J14" i="3"/>
  <c r="AI13" i="3"/>
  <c r="AL13" i="3" s="1"/>
  <c r="AC13" i="3"/>
  <c r="AF13" i="3" s="1"/>
  <c r="M13" i="3"/>
  <c r="J13" i="3"/>
  <c r="AI12" i="3"/>
  <c r="AC12" i="3"/>
  <c r="AF12" i="3" s="1"/>
  <c r="M12" i="3"/>
  <c r="J12" i="3"/>
  <c r="AC10" i="3"/>
  <c r="AI141" i="5"/>
  <c r="AL141" i="5" s="1"/>
  <c r="AC141" i="5"/>
  <c r="AF141" i="5" s="1"/>
  <c r="M141" i="5"/>
  <c r="J141" i="5"/>
  <c r="AI140" i="5"/>
  <c r="AC140" i="5"/>
  <c r="AF140" i="5" s="1"/>
  <c r="M140" i="5"/>
  <c r="J140" i="5"/>
  <c r="M138" i="5"/>
  <c r="M50" i="5"/>
  <c r="M51" i="5"/>
  <c r="J11" i="3" l="1"/>
  <c r="M11" i="3"/>
  <c r="AF139" i="5"/>
  <c r="J139" i="5"/>
  <c r="AL140" i="5"/>
  <c r="AL139" i="5" s="1"/>
  <c r="AI139" i="5"/>
  <c r="AF11" i="3"/>
  <c r="AL12" i="3"/>
  <c r="AL11" i="3" s="1"/>
  <c r="AI11" i="3"/>
  <c r="M139" i="5"/>
  <c r="AC139" i="5"/>
  <c r="AC11" i="3"/>
  <c r="J176" i="1"/>
  <c r="AF132" i="2" l="1"/>
  <c r="M49" i="4" l="1"/>
  <c r="J49" i="4"/>
  <c r="AC130" i="3" l="1"/>
  <c r="AC35" i="2" l="1"/>
  <c r="AF95" i="5" l="1"/>
  <c r="AI87" i="5"/>
  <c r="AC87" i="5"/>
  <c r="AF87" i="5" s="1"/>
  <c r="M87" i="5"/>
  <c r="J87" i="5"/>
  <c r="AL87" i="5" l="1"/>
  <c r="AF63" i="2"/>
  <c r="AL63" i="2"/>
  <c r="AF54" i="2"/>
  <c r="AL54" i="2"/>
  <c r="AL55" i="2"/>
  <c r="AF53" i="2"/>
  <c r="AL42" i="2"/>
  <c r="AC42" i="2"/>
  <c r="AF42" i="2" s="1"/>
  <c r="AL38" i="2"/>
  <c r="AC38" i="2"/>
  <c r="AF38" i="2" s="1"/>
  <c r="AL37" i="2"/>
  <c r="AC37" i="2"/>
  <c r="AF37" i="2" s="1"/>
  <c r="AI52" i="2" l="1"/>
  <c r="AL53" i="2"/>
  <c r="AC23" i="6"/>
  <c r="AC22" i="6" s="1"/>
  <c r="AI23" i="6"/>
  <c r="M23" i="6"/>
  <c r="M22" i="6" s="1"/>
  <c r="J23" i="6"/>
  <c r="J22" i="6" s="1"/>
  <c r="AL23" i="6" l="1"/>
  <c r="AL22" i="6" s="1"/>
  <c r="AI22" i="6"/>
  <c r="AF23" i="6"/>
  <c r="AF22" i="6" s="1"/>
  <c r="O202" i="8" l="1"/>
  <c r="AC111" i="1"/>
  <c r="AF111" i="1" s="1"/>
  <c r="AF101" i="1"/>
  <c r="AF100" i="1"/>
  <c r="AI93" i="1"/>
  <c r="H202" i="8" l="1"/>
  <c r="AF99" i="1"/>
  <c r="AL93" i="1"/>
  <c r="AM93" i="1" l="1"/>
  <c r="M90" i="3"/>
  <c r="M87" i="3"/>
  <c r="AI97" i="3"/>
  <c r="AI96" i="3" s="1"/>
  <c r="M97" i="3"/>
  <c r="M96" i="3" s="1"/>
  <c r="J97" i="3"/>
  <c r="J96" i="3" s="1"/>
  <c r="AL97" i="3" l="1"/>
  <c r="AL96" i="3" s="1"/>
  <c r="AC96" i="3"/>
  <c r="AC79" i="5" l="1"/>
  <c r="AC111" i="4" l="1"/>
  <c r="AF111" i="4" s="1"/>
  <c r="AC120" i="4"/>
  <c r="AF120" i="4" s="1"/>
  <c r="AI114" i="5" l="1"/>
  <c r="AL114" i="5" s="1"/>
  <c r="AF114" i="5"/>
  <c r="AC6" i="4"/>
  <c r="AF6" i="4" s="1"/>
  <c r="AF210" i="1" l="1"/>
  <c r="AC136" i="2" l="1"/>
  <c r="AF136" i="2" s="1"/>
  <c r="AC135" i="2"/>
  <c r="AF135" i="2" s="1"/>
  <c r="AL135" i="2"/>
  <c r="AL136" i="2"/>
  <c r="AF74" i="2" l="1"/>
  <c r="AC72" i="2"/>
  <c r="AL59" i="2"/>
  <c r="AC59" i="2"/>
  <c r="AF59" i="2" s="1"/>
  <c r="AL30" i="2"/>
  <c r="AF30" i="2"/>
  <c r="AL33" i="2"/>
  <c r="AC33" i="2"/>
  <c r="AF33" i="2" s="1"/>
  <c r="AL32" i="2"/>
  <c r="AF32" i="2"/>
  <c r="AI51" i="3" l="1"/>
  <c r="AL51" i="3" s="1"/>
  <c r="AF51" i="3"/>
  <c r="M51" i="3"/>
  <c r="J51" i="3"/>
  <c r="AI49" i="3"/>
  <c r="AL49" i="3" s="1"/>
  <c r="AF49" i="3"/>
  <c r="J49" i="3"/>
  <c r="M49" i="3"/>
  <c r="AI48" i="3"/>
  <c r="AL48" i="3" s="1"/>
  <c r="AF48" i="3"/>
  <c r="M48" i="3"/>
  <c r="J48" i="3"/>
  <c r="AC31" i="3"/>
  <c r="M31" i="3"/>
  <c r="M28" i="3" s="1"/>
  <c r="J31" i="3"/>
  <c r="J28" i="3" s="1"/>
  <c r="AL19" i="3"/>
  <c r="AF19" i="3"/>
  <c r="M19" i="3"/>
  <c r="J19" i="3"/>
  <c r="AI10" i="3"/>
  <c r="AL10" i="3" s="1"/>
  <c r="AF10" i="3"/>
  <c r="M10" i="3"/>
  <c r="J10" i="3"/>
  <c r="AI8" i="3"/>
  <c r="AL8" i="3" s="1"/>
  <c r="AC8" i="3"/>
  <c r="AF8" i="3" s="1"/>
  <c r="M8" i="3"/>
  <c r="J8" i="3"/>
  <c r="AF31" i="3" l="1"/>
  <c r="AF28" i="3" s="1"/>
  <c r="AC28" i="3"/>
  <c r="AC72" i="4"/>
  <c r="AF72" i="4" s="1"/>
  <c r="AF69" i="4" s="1"/>
  <c r="M72" i="4"/>
  <c r="J72" i="4"/>
  <c r="G70" i="4"/>
  <c r="AC153" i="4" l="1"/>
  <c r="AF153" i="4" s="1"/>
  <c r="M153" i="4"/>
  <c r="J153" i="4"/>
  <c r="AI21" i="5"/>
  <c r="AL21" i="5" s="1"/>
  <c r="AC21" i="5"/>
  <c r="AF21" i="5" s="1"/>
  <c r="M21" i="5"/>
  <c r="J21" i="5"/>
  <c r="AC56" i="4"/>
  <c r="AF56" i="4" s="1"/>
  <c r="M56" i="4"/>
  <c r="J56" i="4"/>
  <c r="J55" i="4"/>
  <c r="M55" i="4"/>
  <c r="AI46" i="5" l="1"/>
  <c r="J116" i="4"/>
  <c r="J113" i="4"/>
  <c r="J114" i="4"/>
  <c r="J115" i="4"/>
  <c r="J118" i="4"/>
  <c r="AL64" i="2" l="1"/>
  <c r="AC64" i="2"/>
  <c r="AF64" i="2" s="1"/>
  <c r="AL48" i="2"/>
  <c r="AF48" i="2"/>
  <c r="AC108" i="1" l="1"/>
  <c r="AI89" i="3" l="1"/>
  <c r="AI43" i="1" l="1"/>
  <c r="F62" i="1" l="1"/>
  <c r="M62" i="1" l="1"/>
  <c r="K62" i="1"/>
  <c r="K57" i="1" s="1"/>
  <c r="E17" i="8" s="1"/>
  <c r="N62" i="1"/>
  <c r="N57" i="1" s="1"/>
  <c r="J17" i="8" s="1"/>
  <c r="AF123" i="2"/>
  <c r="O17" i="8" l="1"/>
  <c r="AM62" i="1"/>
  <c r="H17" i="8" l="1"/>
  <c r="AM57" i="1"/>
  <c r="R17" i="8" s="1"/>
  <c r="F76" i="4"/>
  <c r="K76" i="4" l="1"/>
  <c r="K73" i="4" s="1"/>
  <c r="K60" i="4" s="1"/>
  <c r="N76" i="4"/>
  <c r="N73" i="4" s="1"/>
  <c r="AI76" i="4"/>
  <c r="J104" i="4"/>
  <c r="J140" i="8" l="1"/>
  <c r="J136" i="8" s="1"/>
  <c r="N60" i="4"/>
  <c r="AL76" i="4"/>
  <c r="AL73" i="4" s="1"/>
  <c r="AL60" i="4" s="1"/>
  <c r="AI73" i="4"/>
  <c r="AI60" i="4" s="1"/>
  <c r="AM76" i="4"/>
  <c r="AM73" i="4" s="1"/>
  <c r="AM60" i="4" s="1"/>
  <c r="R136" i="8" s="1"/>
  <c r="E140" i="8"/>
  <c r="E136" i="8" s="1"/>
  <c r="Q171" i="8"/>
  <c r="O140" i="8" l="1"/>
  <c r="H140" i="8" s="1"/>
  <c r="R140" i="8"/>
  <c r="AF169" i="2"/>
  <c r="AL169" i="2"/>
  <c r="O136" i="8" l="1"/>
  <c r="H136" i="8" s="1"/>
  <c r="J90" i="1"/>
  <c r="M90" i="1"/>
  <c r="AC90" i="1"/>
  <c r="AF90" i="1" s="1"/>
  <c r="AI90" i="1"/>
  <c r="AL90" i="1" s="1"/>
  <c r="F51" i="1"/>
  <c r="K51" i="1" l="1"/>
  <c r="K44" i="1" s="1"/>
  <c r="N51" i="1"/>
  <c r="N44" i="1" s="1"/>
  <c r="J15" i="8" s="1"/>
  <c r="AI8" i="1"/>
  <c r="AC8" i="1"/>
  <c r="AF8" i="1" s="1"/>
  <c r="AC10" i="5"/>
  <c r="AC11" i="5"/>
  <c r="M13" i="5"/>
  <c r="AC131" i="4"/>
  <c r="AF131" i="4" s="1"/>
  <c r="G143" i="4"/>
  <c r="E15" i="8" l="1"/>
  <c r="AL6" i="1"/>
  <c r="AC87" i="3"/>
  <c r="AF87" i="3" s="1"/>
  <c r="AI87" i="3"/>
  <c r="AL87" i="3" l="1"/>
  <c r="F39" i="4"/>
  <c r="F200" i="2"/>
  <c r="N198" i="2" l="1"/>
  <c r="K198" i="2"/>
  <c r="K192" i="2" s="1"/>
  <c r="N39" i="4"/>
  <c r="N38" i="4" s="1"/>
  <c r="K39" i="4"/>
  <c r="K38" i="4" s="1"/>
  <c r="AI39" i="4"/>
  <c r="AI7" i="1"/>
  <c r="AC147" i="1"/>
  <c r="AF147" i="1" s="1"/>
  <c r="AI147" i="1"/>
  <c r="AL147" i="1" s="1"/>
  <c r="J147" i="1"/>
  <c r="M147" i="1"/>
  <c r="AC132" i="1"/>
  <c r="F134" i="1"/>
  <c r="AI173" i="1"/>
  <c r="AI172" i="1" s="1"/>
  <c r="M173" i="1"/>
  <c r="J173" i="1"/>
  <c r="M180" i="1"/>
  <c r="J183" i="1"/>
  <c r="E131" i="8" l="1"/>
  <c r="E130" i="8" s="1"/>
  <c r="K37" i="4"/>
  <c r="K3" i="4" s="1"/>
  <c r="E123" i="8" s="1"/>
  <c r="AL39" i="4"/>
  <c r="AL38" i="4" s="1"/>
  <c r="AL37" i="4" s="1"/>
  <c r="AL3" i="4" s="1"/>
  <c r="AI38" i="4"/>
  <c r="K134" i="1"/>
  <c r="K131" i="1" s="1"/>
  <c r="N134" i="1"/>
  <c r="N131" i="1" s="1"/>
  <c r="J131" i="8"/>
  <c r="J130" i="8" s="1"/>
  <c r="N37" i="4"/>
  <c r="N3" i="4" s="1"/>
  <c r="J123" i="8" s="1"/>
  <c r="E90" i="8"/>
  <c r="E88" i="8" s="1"/>
  <c r="AM39" i="4"/>
  <c r="AM38" i="4" s="1"/>
  <c r="AM37" i="4" s="1"/>
  <c r="AM3" i="4" s="1"/>
  <c r="AM200" i="2"/>
  <c r="AM198" i="2" s="1"/>
  <c r="AM192" i="2" s="1"/>
  <c r="R88" i="8" s="1"/>
  <c r="J90" i="8"/>
  <c r="J88" i="8" s="1"/>
  <c r="N192" i="2"/>
  <c r="G61" i="1"/>
  <c r="G60" i="1"/>
  <c r="F79" i="1"/>
  <c r="AI79" i="1"/>
  <c r="AC79" i="1"/>
  <c r="AF79" i="1" s="1"/>
  <c r="AC68" i="1"/>
  <c r="AF68" i="1" s="1"/>
  <c r="AI68" i="1"/>
  <c r="AL68" i="1" s="1"/>
  <c r="AC67" i="1"/>
  <c r="AF67" i="1" s="1"/>
  <c r="AI67" i="1"/>
  <c r="AL67" i="1" s="1"/>
  <c r="AI66" i="1"/>
  <c r="AL66" i="1" s="1"/>
  <c r="AC66" i="1"/>
  <c r="AF66" i="1" s="1"/>
  <c r="R130" i="8" l="1"/>
  <c r="R123" i="8"/>
  <c r="AI37" i="4"/>
  <c r="AI3" i="4" s="1"/>
  <c r="O90" i="8"/>
  <c r="H90" i="8" s="1"/>
  <c r="R90" i="8"/>
  <c r="E27" i="8"/>
  <c r="J27" i="8"/>
  <c r="N79" i="1"/>
  <c r="N77" i="1" s="1"/>
  <c r="J18" i="8" s="1"/>
  <c r="J11" i="8" s="1"/>
  <c r="K79" i="1"/>
  <c r="K77" i="1" s="1"/>
  <c r="K31" i="1" s="1"/>
  <c r="R131" i="8"/>
  <c r="E7" i="7"/>
  <c r="O131" i="8"/>
  <c r="H131" i="8" s="1"/>
  <c r="S7" i="7"/>
  <c r="AL79" i="1"/>
  <c r="AF39" i="3"/>
  <c r="AI31" i="3"/>
  <c r="AI28" i="3" s="1"/>
  <c r="O123" i="8" l="1"/>
  <c r="H123" i="8" s="1"/>
  <c r="U7" i="7"/>
  <c r="AM79" i="1"/>
  <c r="AM77" i="1" s="1"/>
  <c r="E18" i="8"/>
  <c r="E11" i="8" s="1"/>
  <c r="O130" i="8"/>
  <c r="H130" i="8" s="1"/>
  <c r="AL31" i="3"/>
  <c r="F178" i="2"/>
  <c r="AC178" i="2"/>
  <c r="AF188" i="2"/>
  <c r="I7" i="7" l="1"/>
  <c r="AL188" i="2"/>
  <c r="O18" i="8"/>
  <c r="H18" i="8" s="1"/>
  <c r="R18" i="8"/>
  <c r="N176" i="2"/>
  <c r="K176" i="2"/>
  <c r="AL171" i="2"/>
  <c r="AF95" i="2"/>
  <c r="H7" i="7" l="1"/>
  <c r="P7" i="7" s="1"/>
  <c r="G7" i="7"/>
  <c r="J84" i="8"/>
  <c r="J80" i="8" s="1"/>
  <c r="N164" i="2"/>
  <c r="AL95" i="2"/>
  <c r="E84" i="8"/>
  <c r="E80" i="8" s="1"/>
  <c r="K164" i="2"/>
  <c r="AM178" i="2"/>
  <c r="AM176" i="2" s="1"/>
  <c r="AM164" i="2" s="1"/>
  <c r="R80" i="8" s="1"/>
  <c r="F17" i="2"/>
  <c r="O84" i="8" l="1"/>
  <c r="H84" i="8" s="1"/>
  <c r="R84" i="8"/>
  <c r="N15" i="2"/>
  <c r="J50" i="8" s="1"/>
  <c r="J47" i="8" s="1"/>
  <c r="K15" i="2"/>
  <c r="AC7" i="6"/>
  <c r="AC4" i="7"/>
  <c r="J137" i="5"/>
  <c r="M137" i="5"/>
  <c r="J138" i="5"/>
  <c r="AI126" i="5"/>
  <c r="AL126" i="5" s="1"/>
  <c r="AF126" i="5"/>
  <c r="Q158" i="8"/>
  <c r="Q128" i="8"/>
  <c r="O80" i="8" l="1"/>
  <c r="H80" i="8" s="1"/>
  <c r="K4" i="2"/>
  <c r="K3" i="2" s="1"/>
  <c r="E46" i="8" s="1"/>
  <c r="E50" i="8"/>
  <c r="E47" i="8" s="1"/>
  <c r="N4" i="2"/>
  <c r="N3" i="2" s="1"/>
  <c r="J46" i="8" s="1"/>
  <c r="AI17" i="3"/>
  <c r="AL17" i="3" s="1"/>
  <c r="S5" i="7" l="1"/>
  <c r="E5" i="7"/>
  <c r="Q79" i="8"/>
  <c r="Q56" i="8"/>
  <c r="AL96" i="2" l="1"/>
  <c r="AL27" i="1"/>
  <c r="AI24" i="1"/>
  <c r="AL24" i="1" s="1"/>
  <c r="J27" i="1"/>
  <c r="M27" i="1" l="1"/>
  <c r="J34" i="4" l="1"/>
  <c r="M6" i="4"/>
  <c r="F121" i="1" l="1"/>
  <c r="AI120" i="1"/>
  <c r="AL120" i="1" s="1"/>
  <c r="AC119" i="1"/>
  <c r="F107" i="1"/>
  <c r="M106" i="1"/>
  <c r="M95" i="1"/>
  <c r="N107" i="1" l="1"/>
  <c r="K107" i="1"/>
  <c r="N121" i="1"/>
  <c r="K121" i="1"/>
  <c r="AC7" i="1"/>
  <c r="J7" i="1"/>
  <c r="AM121" i="1" l="1"/>
  <c r="AM107" i="1"/>
  <c r="AF7" i="1"/>
  <c r="AF5" i="1" s="1"/>
  <c r="AC5" i="1"/>
  <c r="AL7" i="1"/>
  <c r="AI132" i="3" l="1"/>
  <c r="AL132" i="3" s="1"/>
  <c r="AC132" i="3"/>
  <c r="AF132" i="3" s="1"/>
  <c r="M132" i="3"/>
  <c r="J132" i="3"/>
  <c r="AI131" i="3"/>
  <c r="AL131" i="3" s="1"/>
  <c r="AC131" i="3"/>
  <c r="AF131" i="3" s="1"/>
  <c r="J131" i="3"/>
  <c r="AI130" i="3"/>
  <c r="J130" i="3"/>
  <c r="AI126" i="3"/>
  <c r="AC126" i="3"/>
  <c r="AC125" i="3" s="1"/>
  <c r="M126" i="3"/>
  <c r="J126" i="3"/>
  <c r="J125" i="3" s="1"/>
  <c r="AI119" i="3"/>
  <c r="AL119" i="3" s="1"/>
  <c r="AC119" i="3"/>
  <c r="AF119" i="3" s="1"/>
  <c r="M119" i="3"/>
  <c r="J119" i="3"/>
  <c r="AI114" i="3"/>
  <c r="AL114" i="3" s="1"/>
  <c r="AC114" i="3"/>
  <c r="AF114" i="3" s="1"/>
  <c r="M114" i="3"/>
  <c r="J114" i="3"/>
  <c r="AI111" i="3"/>
  <c r="AL111" i="3" s="1"/>
  <c r="AC111" i="3"/>
  <c r="AF111" i="3" s="1"/>
  <c r="M111" i="3"/>
  <c r="J111" i="3"/>
  <c r="AI109" i="3"/>
  <c r="AF109" i="3"/>
  <c r="M109" i="3"/>
  <c r="J109" i="3"/>
  <c r="AI106" i="3"/>
  <c r="AL106" i="3" s="1"/>
  <c r="AC106" i="3"/>
  <c r="AF106" i="3" s="1"/>
  <c r="M106" i="3"/>
  <c r="J106" i="3"/>
  <c r="AI105" i="3"/>
  <c r="AL105" i="3" s="1"/>
  <c r="AC105" i="3"/>
  <c r="AF105" i="3" s="1"/>
  <c r="M105" i="3"/>
  <c r="J105" i="3"/>
  <c r="AI104" i="3"/>
  <c r="AL104" i="3" s="1"/>
  <c r="AC104" i="3"/>
  <c r="AF104" i="3" s="1"/>
  <c r="M104" i="3"/>
  <c r="J104" i="3"/>
  <c r="AI103" i="3"/>
  <c r="AL103" i="3" s="1"/>
  <c r="M103" i="3"/>
  <c r="J103" i="3"/>
  <c r="AI102" i="3"/>
  <c r="AL102" i="3" s="1"/>
  <c r="AC102" i="3"/>
  <c r="M102" i="3"/>
  <c r="J102" i="3"/>
  <c r="AI90" i="3"/>
  <c r="AL90" i="3" s="1"/>
  <c r="J90" i="3"/>
  <c r="AL89" i="3"/>
  <c r="M89" i="3"/>
  <c r="J89" i="3"/>
  <c r="AI88" i="3"/>
  <c r="AC88" i="3"/>
  <c r="AF88" i="3" s="1"/>
  <c r="AF86" i="3" s="1"/>
  <c r="AF67" i="3" s="1"/>
  <c r="M88" i="3"/>
  <c r="J88" i="3"/>
  <c r="J87" i="3"/>
  <c r="AI62" i="3"/>
  <c r="AL62" i="3" s="1"/>
  <c r="AF62" i="3"/>
  <c r="M62" i="3"/>
  <c r="J62" i="3"/>
  <c r="AI60" i="3"/>
  <c r="AL60" i="3" s="1"/>
  <c r="AF60" i="3"/>
  <c r="M60" i="3"/>
  <c r="J60" i="3"/>
  <c r="AI56" i="3"/>
  <c r="M56" i="3"/>
  <c r="J56" i="3"/>
  <c r="AI52" i="3"/>
  <c r="AL52" i="3" s="1"/>
  <c r="AC52" i="3"/>
  <c r="M52" i="3"/>
  <c r="J52" i="3"/>
  <c r="J46" i="3" s="1"/>
  <c r="AI44" i="3"/>
  <c r="AC43" i="3"/>
  <c r="M44" i="3"/>
  <c r="M43" i="3" s="1"/>
  <c r="I104" i="8" s="1"/>
  <c r="J44" i="3"/>
  <c r="J43" i="3" s="1"/>
  <c r="D104" i="8" s="1"/>
  <c r="AI41" i="3"/>
  <c r="AI40" i="3" s="1"/>
  <c r="AF41" i="3"/>
  <c r="M41" i="3"/>
  <c r="J41" i="3"/>
  <c r="J40" i="3" s="1"/>
  <c r="AI39" i="3"/>
  <c r="AL39" i="3" s="1"/>
  <c r="M39" i="3"/>
  <c r="J39" i="3"/>
  <c r="AI38" i="3"/>
  <c r="AL38" i="3" s="1"/>
  <c r="AC38" i="3"/>
  <c r="AF38" i="3" s="1"/>
  <c r="M38" i="3"/>
  <c r="J38" i="3"/>
  <c r="AI37" i="3"/>
  <c r="AL37" i="3" s="1"/>
  <c r="AC37" i="3"/>
  <c r="AF37" i="3" s="1"/>
  <c r="M37" i="3"/>
  <c r="J37" i="3"/>
  <c r="AI25" i="3"/>
  <c r="AI24" i="3" s="1"/>
  <c r="M25" i="3"/>
  <c r="J25" i="3"/>
  <c r="AI23" i="3"/>
  <c r="AL23" i="3" s="1"/>
  <c r="AF23" i="3"/>
  <c r="M23" i="3"/>
  <c r="J23" i="3"/>
  <c r="AI22" i="3"/>
  <c r="M22" i="3"/>
  <c r="J22" i="3"/>
  <c r="AI20" i="3"/>
  <c r="AL20" i="3" s="1"/>
  <c r="AC20" i="3"/>
  <c r="AF20" i="3" s="1"/>
  <c r="M20" i="3"/>
  <c r="J20" i="3"/>
  <c r="AI18" i="3"/>
  <c r="AL18" i="3" s="1"/>
  <c r="AC18" i="3"/>
  <c r="AF18" i="3" s="1"/>
  <c r="M18" i="3"/>
  <c r="J18" i="3"/>
  <c r="AC17" i="3"/>
  <c r="M17" i="3"/>
  <c r="J17" i="3"/>
  <c r="AI9" i="3"/>
  <c r="AL9" i="3" s="1"/>
  <c r="AC9" i="3"/>
  <c r="AF9" i="3" s="1"/>
  <c r="J9" i="3"/>
  <c r="AI7" i="3"/>
  <c r="AL7" i="3" s="1"/>
  <c r="AC7" i="3"/>
  <c r="AF7" i="3" s="1"/>
  <c r="M7" i="3"/>
  <c r="J7" i="3"/>
  <c r="AI6" i="3"/>
  <c r="AL6" i="3" s="1"/>
  <c r="M6" i="3"/>
  <c r="AC157" i="4"/>
  <c r="AF157" i="4" s="1"/>
  <c r="M157" i="4"/>
  <c r="J157" i="4"/>
  <c r="AC156" i="4"/>
  <c r="AF156" i="4" s="1"/>
  <c r="M156" i="4"/>
  <c r="J156" i="4"/>
  <c r="AC154" i="4"/>
  <c r="AF154" i="4" s="1"/>
  <c r="M154" i="4"/>
  <c r="J154" i="4"/>
  <c r="AC152" i="4"/>
  <c r="AF152" i="4" s="1"/>
  <c r="M152" i="4"/>
  <c r="J152" i="4"/>
  <c r="AC151" i="4"/>
  <c r="AF151" i="4" s="1"/>
  <c r="M151" i="4"/>
  <c r="J151" i="4"/>
  <c r="AC148" i="4"/>
  <c r="AF148" i="4" s="1"/>
  <c r="M148" i="4"/>
  <c r="J148" i="4"/>
  <c r="AC147" i="4"/>
  <c r="AF147" i="4" s="1"/>
  <c r="M147" i="4"/>
  <c r="J147" i="4"/>
  <c r="AC146" i="4"/>
  <c r="AF146" i="4" s="1"/>
  <c r="M146" i="4"/>
  <c r="J146" i="4"/>
  <c r="AC143" i="4"/>
  <c r="AF143" i="4" s="1"/>
  <c r="M143" i="4"/>
  <c r="J143" i="4"/>
  <c r="M142" i="4"/>
  <c r="AC141" i="4"/>
  <c r="AF141" i="4" s="1"/>
  <c r="M141" i="4"/>
  <c r="J141" i="4"/>
  <c r="M137" i="4"/>
  <c r="J137" i="4"/>
  <c r="AC134" i="4"/>
  <c r="AF134" i="4" s="1"/>
  <c r="M134" i="4"/>
  <c r="J134" i="4"/>
  <c r="AC133" i="4"/>
  <c r="AF133" i="4" s="1"/>
  <c r="M133" i="4"/>
  <c r="J133" i="4"/>
  <c r="M131" i="4"/>
  <c r="J131" i="4"/>
  <c r="M128" i="4"/>
  <c r="J128" i="4"/>
  <c r="M127" i="4"/>
  <c r="J127" i="4"/>
  <c r="AC125" i="4"/>
  <c r="AF125" i="4" s="1"/>
  <c r="M125" i="4"/>
  <c r="AC122" i="4"/>
  <c r="AF122" i="4" s="1"/>
  <c r="M122" i="4"/>
  <c r="J122" i="4"/>
  <c r="M120" i="4"/>
  <c r="J120" i="4"/>
  <c r="AC118" i="4"/>
  <c r="AF118" i="4" s="1"/>
  <c r="M118" i="4"/>
  <c r="AC116" i="4"/>
  <c r="AF116" i="4" s="1"/>
  <c r="M116" i="4"/>
  <c r="M115" i="4"/>
  <c r="AC114" i="4"/>
  <c r="AF114" i="4" s="1"/>
  <c r="M114" i="4"/>
  <c r="AC113" i="4"/>
  <c r="AF113" i="4" s="1"/>
  <c r="M113" i="4"/>
  <c r="M111" i="4"/>
  <c r="J111" i="4"/>
  <c r="M110" i="4"/>
  <c r="J110" i="4"/>
  <c r="AC108" i="4"/>
  <c r="AF108" i="4" s="1"/>
  <c r="M108" i="4"/>
  <c r="J108" i="4"/>
  <c r="AC107" i="4"/>
  <c r="AF107" i="4" s="1"/>
  <c r="M107" i="4"/>
  <c r="J107" i="4"/>
  <c r="AC106" i="4"/>
  <c r="J106" i="4"/>
  <c r="M104" i="4"/>
  <c r="M102" i="4"/>
  <c r="J102" i="4"/>
  <c r="M101" i="4"/>
  <c r="J101" i="4"/>
  <c r="I148" i="8"/>
  <c r="D148" i="8"/>
  <c r="M96" i="4"/>
  <c r="M95" i="4" s="1"/>
  <c r="I146" i="8" s="1"/>
  <c r="J96" i="4"/>
  <c r="J95" i="4" s="1"/>
  <c r="D146" i="8" s="1"/>
  <c r="AC94" i="4"/>
  <c r="AF94" i="4" s="1"/>
  <c r="M94" i="4"/>
  <c r="J94" i="4"/>
  <c r="AC92" i="4"/>
  <c r="AF92" i="4" s="1"/>
  <c r="M92" i="4"/>
  <c r="J92" i="4"/>
  <c r="AC90" i="4"/>
  <c r="AF90" i="4" s="1"/>
  <c r="M90" i="4"/>
  <c r="J90" i="4"/>
  <c r="AC86" i="4"/>
  <c r="AF86" i="4" s="1"/>
  <c r="M86" i="4"/>
  <c r="J86" i="4"/>
  <c r="AC85" i="4"/>
  <c r="AF85" i="4" s="1"/>
  <c r="M85" i="4"/>
  <c r="J85" i="4"/>
  <c r="M81" i="4"/>
  <c r="J81" i="4"/>
  <c r="AC80" i="4"/>
  <c r="AF80" i="4" s="1"/>
  <c r="AF79" i="4" s="1"/>
  <c r="M80" i="4"/>
  <c r="J80" i="4"/>
  <c r="AC78" i="4"/>
  <c r="M78" i="4"/>
  <c r="M77" i="4" s="1"/>
  <c r="I141" i="8" s="1"/>
  <c r="J78" i="4"/>
  <c r="J77" i="4" s="1"/>
  <c r="D141" i="8" s="1"/>
  <c r="AC76" i="4"/>
  <c r="AF76" i="4" s="1"/>
  <c r="M76" i="4"/>
  <c r="J76" i="4"/>
  <c r="AC75" i="4"/>
  <c r="AF75" i="4" s="1"/>
  <c r="M75" i="4"/>
  <c r="J75" i="4"/>
  <c r="M74" i="4"/>
  <c r="J74" i="4"/>
  <c r="M71" i="4"/>
  <c r="J71" i="4"/>
  <c r="AC69" i="4"/>
  <c r="M70" i="4"/>
  <c r="J70" i="4"/>
  <c r="M68" i="4"/>
  <c r="J68" i="4"/>
  <c r="AC67" i="4"/>
  <c r="AF67" i="4" s="1"/>
  <c r="M67" i="4"/>
  <c r="J67" i="4"/>
  <c r="AC66" i="4"/>
  <c r="AF66" i="4" s="1"/>
  <c r="M66" i="4"/>
  <c r="J66" i="4"/>
  <c r="M65" i="4"/>
  <c r="J65" i="4"/>
  <c r="AC62" i="4"/>
  <c r="M62" i="4"/>
  <c r="M61" i="4" s="1"/>
  <c r="J62" i="4"/>
  <c r="J61" i="4" s="1"/>
  <c r="AC59" i="4"/>
  <c r="M59" i="4"/>
  <c r="J59" i="4"/>
  <c r="Q134" i="8"/>
  <c r="AC54" i="4"/>
  <c r="AF54" i="4" s="1"/>
  <c r="AF53" i="4" s="1"/>
  <c r="M54" i="4"/>
  <c r="J54" i="4"/>
  <c r="AC48" i="4"/>
  <c r="AF48" i="4" s="1"/>
  <c r="M48" i="4"/>
  <c r="J48" i="4"/>
  <c r="AC47" i="4"/>
  <c r="AF47" i="4" s="1"/>
  <c r="M47" i="4"/>
  <c r="J47" i="4"/>
  <c r="AC45" i="4"/>
  <c r="AF45" i="4" s="1"/>
  <c r="M45" i="4"/>
  <c r="J45" i="4"/>
  <c r="AC40" i="4"/>
  <c r="AF40" i="4" s="1"/>
  <c r="M40" i="4"/>
  <c r="J40" i="4"/>
  <c r="AC39" i="4"/>
  <c r="AF39" i="4" s="1"/>
  <c r="M39" i="4"/>
  <c r="J39" i="4"/>
  <c r="M36" i="4"/>
  <c r="J36" i="4"/>
  <c r="J33" i="4" s="1"/>
  <c r="J26" i="4" s="1"/>
  <c r="M34" i="4"/>
  <c r="M25" i="4"/>
  <c r="J25" i="4"/>
  <c r="M23" i="4"/>
  <c r="J23" i="4"/>
  <c r="AC18" i="4"/>
  <c r="AF18" i="4" s="1"/>
  <c r="M18" i="4"/>
  <c r="J18" i="4"/>
  <c r="AC17" i="4"/>
  <c r="AF17" i="4" s="1"/>
  <c r="M17" i="4"/>
  <c r="J17" i="4"/>
  <c r="AC16" i="4"/>
  <c r="AF16" i="4" s="1"/>
  <c r="M16" i="4"/>
  <c r="J16" i="4"/>
  <c r="AC15" i="4"/>
  <c r="AF15" i="4" s="1"/>
  <c r="M15" i="4"/>
  <c r="J15" i="4"/>
  <c r="AC14" i="4"/>
  <c r="AF14" i="4" s="1"/>
  <c r="M14" i="4"/>
  <c r="J14" i="4"/>
  <c r="AC13" i="4"/>
  <c r="AF13" i="4" s="1"/>
  <c r="M13" i="4"/>
  <c r="J13" i="4"/>
  <c r="AC7" i="4"/>
  <c r="AF7" i="4" s="1"/>
  <c r="M7" i="4"/>
  <c r="J7" i="4"/>
  <c r="J6" i="4"/>
  <c r="AI138" i="5"/>
  <c r="AL138" i="5" s="1"/>
  <c r="AC138" i="5"/>
  <c r="AF138" i="5" s="1"/>
  <c r="AI137" i="5"/>
  <c r="AC137" i="5"/>
  <c r="AF137" i="5" s="1"/>
  <c r="AI133" i="5"/>
  <c r="AL133" i="5" s="1"/>
  <c r="AF133" i="5"/>
  <c r="M133" i="5"/>
  <c r="J133" i="5"/>
  <c r="AI132" i="5"/>
  <c r="AL132" i="5" s="1"/>
  <c r="AC132" i="5"/>
  <c r="M132" i="5"/>
  <c r="J132" i="5"/>
  <c r="AC129" i="5"/>
  <c r="AF129" i="5" s="1"/>
  <c r="F129" i="5"/>
  <c r="AI127" i="5"/>
  <c r="AL127" i="5" s="1"/>
  <c r="AC127" i="5"/>
  <c r="AF127" i="5" s="1"/>
  <c r="M127" i="5"/>
  <c r="J127" i="5"/>
  <c r="M126" i="5"/>
  <c r="J126" i="5"/>
  <c r="AI125" i="5"/>
  <c r="AC125" i="5"/>
  <c r="AF125" i="5" s="1"/>
  <c r="M125" i="5"/>
  <c r="J125" i="5"/>
  <c r="AI124" i="5"/>
  <c r="AL124" i="5" s="1"/>
  <c r="M124" i="5"/>
  <c r="J124" i="5"/>
  <c r="AI122" i="5"/>
  <c r="AL122" i="5" s="1"/>
  <c r="AC122" i="5"/>
  <c r="AF122" i="5" s="1"/>
  <c r="M122" i="5"/>
  <c r="J122" i="5"/>
  <c r="AI121" i="5"/>
  <c r="AL121" i="5" s="1"/>
  <c r="AC121" i="5"/>
  <c r="AF121" i="5" s="1"/>
  <c r="M121" i="5"/>
  <c r="J121" i="5"/>
  <c r="AI120" i="5"/>
  <c r="AL120" i="5" s="1"/>
  <c r="AC120" i="5"/>
  <c r="AF120" i="5" s="1"/>
  <c r="M120" i="5"/>
  <c r="J120" i="5"/>
  <c r="AI119" i="5"/>
  <c r="AL119" i="5" s="1"/>
  <c r="AC119" i="5"/>
  <c r="AF119" i="5" s="1"/>
  <c r="M119" i="5"/>
  <c r="AI118" i="5"/>
  <c r="AL118" i="5" s="1"/>
  <c r="AC118" i="5"/>
  <c r="AF118" i="5" s="1"/>
  <c r="M118" i="5"/>
  <c r="J118" i="5"/>
  <c r="AI117" i="5"/>
  <c r="AL117" i="5" s="1"/>
  <c r="AC117" i="5"/>
  <c r="M117" i="5"/>
  <c r="J117" i="5"/>
  <c r="M114" i="5"/>
  <c r="J114" i="5"/>
  <c r="AI113" i="5"/>
  <c r="AF113" i="5"/>
  <c r="AF110" i="5" s="1"/>
  <c r="M113" i="5"/>
  <c r="J113" i="5"/>
  <c r="AI108" i="5"/>
  <c r="AL108" i="5" s="1"/>
  <c r="AC108" i="5"/>
  <c r="AF108" i="5" s="1"/>
  <c r="M108" i="5"/>
  <c r="J108" i="5"/>
  <c r="AI107" i="5"/>
  <c r="AL107" i="5" s="1"/>
  <c r="AC107" i="5"/>
  <c r="AF107" i="5" s="1"/>
  <c r="M107" i="5"/>
  <c r="J107" i="5"/>
  <c r="AI106" i="5"/>
  <c r="AC106" i="5"/>
  <c r="AF106" i="5" s="1"/>
  <c r="M106" i="5"/>
  <c r="J106" i="5"/>
  <c r="AI104" i="5"/>
  <c r="AL104" i="5" s="1"/>
  <c r="AC104" i="5"/>
  <c r="AF104" i="5" s="1"/>
  <c r="M104" i="5"/>
  <c r="J104" i="5"/>
  <c r="AI103" i="5"/>
  <c r="AL103" i="5" s="1"/>
  <c r="AC103" i="5"/>
  <c r="AF103" i="5" s="1"/>
  <c r="M103" i="5"/>
  <c r="J103" i="5"/>
  <c r="AI102" i="5"/>
  <c r="AL102" i="5" s="1"/>
  <c r="AF102" i="5"/>
  <c r="M102" i="5"/>
  <c r="J102" i="5"/>
  <c r="AI97" i="5"/>
  <c r="AL97" i="5" s="1"/>
  <c r="AC97" i="5"/>
  <c r="AF97" i="5" s="1"/>
  <c r="M97" i="5"/>
  <c r="J97" i="5"/>
  <c r="AI96" i="5"/>
  <c r="AL96" i="5" s="1"/>
  <c r="AC96" i="5"/>
  <c r="AF96" i="5" s="1"/>
  <c r="M96" i="5"/>
  <c r="J96" i="5"/>
  <c r="AI95" i="5"/>
  <c r="AL95" i="5" s="1"/>
  <c r="M95" i="5"/>
  <c r="J95" i="5"/>
  <c r="I187" i="8"/>
  <c r="D187" i="8"/>
  <c r="AI90" i="5"/>
  <c r="AI85" i="5" s="1"/>
  <c r="AF90" i="5"/>
  <c r="AF85" i="5" s="1"/>
  <c r="M90" i="5"/>
  <c r="M85" i="5" s="1"/>
  <c r="J90" i="5"/>
  <c r="J85" i="5" s="1"/>
  <c r="AI84" i="5"/>
  <c r="AL84" i="5" s="1"/>
  <c r="AC84" i="5"/>
  <c r="AF84" i="5" s="1"/>
  <c r="M84" i="5"/>
  <c r="J84" i="5"/>
  <c r="AI83" i="5"/>
  <c r="AL83" i="5" s="1"/>
  <c r="AC83" i="5"/>
  <c r="M83" i="5"/>
  <c r="J83" i="5"/>
  <c r="AI82" i="5"/>
  <c r="AL82" i="5" s="1"/>
  <c r="AF82" i="5"/>
  <c r="M82" i="5"/>
  <c r="J82" i="5"/>
  <c r="AI81" i="5"/>
  <c r="AL81" i="5" s="1"/>
  <c r="AC81" i="5"/>
  <c r="M81" i="5"/>
  <c r="J81" i="5"/>
  <c r="AI80" i="5"/>
  <c r="AL80" i="5" s="1"/>
  <c r="AF80" i="5"/>
  <c r="M80" i="5"/>
  <c r="J80" i="5"/>
  <c r="AI79" i="5"/>
  <c r="AF79" i="5"/>
  <c r="M79" i="5"/>
  <c r="J79" i="5"/>
  <c r="AI76" i="5"/>
  <c r="AL76" i="5" s="1"/>
  <c r="AC76" i="5"/>
  <c r="AF76" i="5" s="1"/>
  <c r="M76" i="5"/>
  <c r="J76" i="5"/>
  <c r="AI75" i="5"/>
  <c r="AL75" i="5" s="1"/>
  <c r="AC75" i="5"/>
  <c r="M75" i="5"/>
  <c r="J75" i="5"/>
  <c r="AI73" i="5"/>
  <c r="AL73" i="5" s="1"/>
  <c r="AC73" i="5"/>
  <c r="AF73" i="5" s="1"/>
  <c r="M73" i="5"/>
  <c r="J73" i="5"/>
  <c r="AI70" i="5"/>
  <c r="AL70" i="5" s="1"/>
  <c r="AC70" i="5"/>
  <c r="AF70" i="5" s="1"/>
  <c r="M70" i="5"/>
  <c r="J70" i="5"/>
  <c r="AI69" i="5"/>
  <c r="AC69" i="5"/>
  <c r="AF69" i="5" s="1"/>
  <c r="M69" i="5"/>
  <c r="J69" i="5"/>
  <c r="AI67" i="5"/>
  <c r="AC67" i="5"/>
  <c r="AC66" i="5" s="1"/>
  <c r="M67" i="5"/>
  <c r="M66" i="5" s="1"/>
  <c r="I181" i="8" s="1"/>
  <c r="J67" i="5"/>
  <c r="J66" i="5" s="1"/>
  <c r="D181" i="8" s="1"/>
  <c r="AI65" i="5"/>
  <c r="AL65" i="5" s="1"/>
  <c r="AC65" i="5"/>
  <c r="AF65" i="5" s="1"/>
  <c r="M65" i="5"/>
  <c r="J65" i="5"/>
  <c r="AI64" i="5"/>
  <c r="AL64" i="5" s="1"/>
  <c r="AC64" i="5"/>
  <c r="AF64" i="5" s="1"/>
  <c r="M64" i="5"/>
  <c r="J64" i="5"/>
  <c r="AI63" i="5"/>
  <c r="AL63" i="5" s="1"/>
  <c r="AF63" i="5"/>
  <c r="M63" i="5"/>
  <c r="J63" i="5"/>
  <c r="AI62" i="5"/>
  <c r="AL62" i="5" s="1"/>
  <c r="M62" i="5"/>
  <c r="J62" i="5"/>
  <c r="AI60" i="5"/>
  <c r="AL60" i="5" s="1"/>
  <c r="AC60" i="5"/>
  <c r="AF60" i="5" s="1"/>
  <c r="M60" i="5"/>
  <c r="J60" i="5"/>
  <c r="AI59" i="5"/>
  <c r="AL59" i="5" s="1"/>
  <c r="M59" i="5"/>
  <c r="J59" i="5"/>
  <c r="I177" i="8"/>
  <c r="D177" i="8"/>
  <c r="AI54" i="5"/>
  <c r="AL54" i="5" s="1"/>
  <c r="AC54" i="5"/>
  <c r="AF54" i="5" s="1"/>
  <c r="M54" i="5"/>
  <c r="J54" i="5"/>
  <c r="AI53" i="5"/>
  <c r="AL53" i="5" s="1"/>
  <c r="AF53" i="5"/>
  <c r="M53" i="5"/>
  <c r="J53" i="5"/>
  <c r="AI52" i="5"/>
  <c r="AL52" i="5" s="1"/>
  <c r="AF52" i="5"/>
  <c r="M52" i="5"/>
  <c r="J52" i="5"/>
  <c r="AI51" i="5"/>
  <c r="AL51" i="5" s="1"/>
  <c r="AC51" i="5"/>
  <c r="AF51" i="5" s="1"/>
  <c r="J51" i="5"/>
  <c r="AI50" i="5"/>
  <c r="AF50" i="5"/>
  <c r="J50" i="5"/>
  <c r="AL46" i="5"/>
  <c r="AF46" i="5"/>
  <c r="M46" i="5"/>
  <c r="J46" i="5"/>
  <c r="AI45" i="5"/>
  <c r="AL45" i="5" s="1"/>
  <c r="AC45" i="5"/>
  <c r="AF45" i="5" s="1"/>
  <c r="M45" i="5"/>
  <c r="J45" i="5"/>
  <c r="AI38" i="5"/>
  <c r="AL38" i="5" s="1"/>
  <c r="AC38" i="5"/>
  <c r="AF38" i="5" s="1"/>
  <c r="M38" i="5"/>
  <c r="J38" i="5"/>
  <c r="AI37" i="5"/>
  <c r="AL37" i="5" s="1"/>
  <c r="AF37" i="5"/>
  <c r="M37" i="5"/>
  <c r="J37" i="5"/>
  <c r="AI31" i="5"/>
  <c r="AC30" i="5"/>
  <c r="M31" i="5"/>
  <c r="M30" i="5" s="1"/>
  <c r="I170" i="8" s="1"/>
  <c r="J31" i="5"/>
  <c r="J30" i="5" s="1"/>
  <c r="D170" i="8" s="1"/>
  <c r="AI28" i="5"/>
  <c r="AL28" i="5" s="1"/>
  <c r="AF28" i="5"/>
  <c r="M28" i="5"/>
  <c r="J28" i="5"/>
  <c r="AI27" i="5"/>
  <c r="AC27" i="5"/>
  <c r="AF27" i="5" s="1"/>
  <c r="M27" i="5"/>
  <c r="J27" i="5"/>
  <c r="AI25" i="5"/>
  <c r="AL25" i="5" s="1"/>
  <c r="AC25" i="5"/>
  <c r="AF25" i="5" s="1"/>
  <c r="M25" i="5"/>
  <c r="J25" i="5"/>
  <c r="AI24" i="5"/>
  <c r="AL24" i="5" s="1"/>
  <c r="AC24" i="5"/>
  <c r="M24" i="5"/>
  <c r="J24" i="5"/>
  <c r="AI22" i="5"/>
  <c r="AL22" i="5" s="1"/>
  <c r="AC22" i="5"/>
  <c r="AF22" i="5" s="1"/>
  <c r="M22" i="5"/>
  <c r="J22" i="5"/>
  <c r="AI19" i="5"/>
  <c r="AF19" i="5"/>
  <c r="M19" i="5"/>
  <c r="J19" i="5"/>
  <c r="AI16" i="5"/>
  <c r="AL16" i="5" s="1"/>
  <c r="AC16" i="5"/>
  <c r="AF16" i="5" s="1"/>
  <c r="M16" i="5"/>
  <c r="J16" i="5"/>
  <c r="AI15" i="5"/>
  <c r="AL15" i="5" s="1"/>
  <c r="AC15" i="5"/>
  <c r="AF15" i="5" s="1"/>
  <c r="M15" i="5"/>
  <c r="J15" i="5"/>
  <c r="AL14" i="5"/>
  <c r="AC14" i="5"/>
  <c r="AF14" i="5" s="1"/>
  <c r="M14" i="5"/>
  <c r="J14" i="5"/>
  <c r="AI13" i="5"/>
  <c r="AL13" i="5" s="1"/>
  <c r="AC13" i="5"/>
  <c r="J13" i="5"/>
  <c r="AI11" i="5"/>
  <c r="AL11" i="5" s="1"/>
  <c r="AF11" i="5"/>
  <c r="M11" i="5"/>
  <c r="J11" i="5"/>
  <c r="AI10" i="5"/>
  <c r="AC9" i="5"/>
  <c r="M10" i="5"/>
  <c r="J10" i="5"/>
  <c r="AL27" i="5" l="1"/>
  <c r="AI26" i="5"/>
  <c r="N169" i="8" s="1"/>
  <c r="G169" i="8" s="1"/>
  <c r="AF106" i="4"/>
  <c r="AF105" i="4" s="1"/>
  <c r="AC105" i="4"/>
  <c r="O186" i="8"/>
  <c r="H186" i="8" s="1"/>
  <c r="M58" i="5"/>
  <c r="J36" i="5"/>
  <c r="D172" i="8" s="1"/>
  <c r="AF46" i="4"/>
  <c r="AF91" i="4"/>
  <c r="AF121" i="4"/>
  <c r="M5" i="3"/>
  <c r="M4" i="3" s="1"/>
  <c r="AL113" i="5"/>
  <c r="AL110" i="5" s="1"/>
  <c r="Q192" i="8" s="1"/>
  <c r="AI110" i="5"/>
  <c r="J129" i="5"/>
  <c r="J123" i="5" s="1"/>
  <c r="N129" i="5"/>
  <c r="N123" i="5" s="1"/>
  <c r="K129" i="5"/>
  <c r="K123" i="5" s="1"/>
  <c r="AF64" i="4"/>
  <c r="AL137" i="5"/>
  <c r="AL134" i="5" s="1"/>
  <c r="Q196" i="8" s="1"/>
  <c r="AI134" i="5"/>
  <c r="AL50" i="5"/>
  <c r="AL49" i="5" s="1"/>
  <c r="AL48" i="5" s="1"/>
  <c r="AI49" i="5"/>
  <c r="AI48" i="5" s="1"/>
  <c r="AF83" i="4"/>
  <c r="AL19" i="5"/>
  <c r="AL18" i="5" s="1"/>
  <c r="Q167" i="8" s="1"/>
  <c r="AI18" i="5"/>
  <c r="AL26" i="5"/>
  <c r="Q169" i="8" s="1"/>
  <c r="AL125" i="5"/>
  <c r="AF38" i="4"/>
  <c r="AL10" i="5"/>
  <c r="AL9" i="5" s="1"/>
  <c r="Q164" i="8" s="1"/>
  <c r="AI9" i="5"/>
  <c r="AF134" i="5"/>
  <c r="J5" i="4"/>
  <c r="AF73" i="4"/>
  <c r="AF144" i="4"/>
  <c r="AC77" i="4"/>
  <c r="AF78" i="4"/>
  <c r="AF77" i="4" s="1"/>
  <c r="AF5" i="4"/>
  <c r="AF4" i="4" s="1"/>
  <c r="D137" i="8"/>
  <c r="AC57" i="4"/>
  <c r="AF59" i="4"/>
  <c r="AF57" i="4" s="1"/>
  <c r="AF109" i="4"/>
  <c r="AF140" i="4"/>
  <c r="AF150" i="4"/>
  <c r="AC61" i="4"/>
  <c r="AF62" i="4"/>
  <c r="AF61" i="4" s="1"/>
  <c r="AL130" i="3"/>
  <c r="AL129" i="3" s="1"/>
  <c r="Q122" i="8" s="1"/>
  <c r="AI129" i="3"/>
  <c r="N122" i="8" s="1"/>
  <c r="G122" i="8" s="1"/>
  <c r="AF59" i="3"/>
  <c r="O99" i="8"/>
  <c r="AC16" i="3"/>
  <c r="AL109" i="3"/>
  <c r="AL107" i="3" s="1"/>
  <c r="Q118" i="8" s="1"/>
  <c r="AI107" i="3"/>
  <c r="AL22" i="3"/>
  <c r="AL21" i="3" s="1"/>
  <c r="AI21" i="3"/>
  <c r="M34" i="3"/>
  <c r="M43" i="5"/>
  <c r="I174" i="8" s="1"/>
  <c r="AL79" i="5"/>
  <c r="AL78" i="5" s="1"/>
  <c r="AI78" i="5"/>
  <c r="AC78" i="5"/>
  <c r="J110" i="5"/>
  <c r="AL126" i="3"/>
  <c r="AL125" i="3" s="1"/>
  <c r="Q121" i="8" s="1"/>
  <c r="AI125" i="3"/>
  <c r="N121" i="8" s="1"/>
  <c r="G121" i="8" s="1"/>
  <c r="AF52" i="3"/>
  <c r="AF46" i="3" s="1"/>
  <c r="AC46" i="3"/>
  <c r="AL41" i="3"/>
  <c r="AL40" i="3" s="1"/>
  <c r="Q103" i="8" s="1"/>
  <c r="N103" i="8"/>
  <c r="G103" i="8" s="1"/>
  <c r="AL25" i="3"/>
  <c r="AL24" i="3" s="1"/>
  <c r="Q99" i="8" s="1"/>
  <c r="AL56" i="3"/>
  <c r="AL54" i="3" s="1"/>
  <c r="Q107" i="8" s="1"/>
  <c r="AI54" i="3"/>
  <c r="N125" i="8"/>
  <c r="G125" i="8" s="1"/>
  <c r="J121" i="4"/>
  <c r="D152" i="8" s="1"/>
  <c r="Q156" i="8"/>
  <c r="N156" i="8"/>
  <c r="G156" i="8" s="1"/>
  <c r="J144" i="4"/>
  <c r="D156" i="8" s="1"/>
  <c r="AC79" i="4"/>
  <c r="Q142" i="8"/>
  <c r="J18" i="5"/>
  <c r="AL90" i="5"/>
  <c r="AL85" i="5" s="1"/>
  <c r="N186" i="8"/>
  <c r="G186" i="8" s="1"/>
  <c r="Q151" i="8"/>
  <c r="N151" i="8"/>
  <c r="G151" i="8" s="1"/>
  <c r="AL88" i="3"/>
  <c r="AL86" i="3" s="1"/>
  <c r="AL67" i="3" s="1"/>
  <c r="AI86" i="3"/>
  <c r="AI67" i="3" s="1"/>
  <c r="AF83" i="5"/>
  <c r="AF102" i="3"/>
  <c r="AC101" i="3"/>
  <c r="AC109" i="4"/>
  <c r="AF17" i="3"/>
  <c r="AF16" i="3" s="1"/>
  <c r="J69" i="4"/>
  <c r="D139" i="8" s="1"/>
  <c r="AL23" i="5"/>
  <c r="Q168" i="8" s="1"/>
  <c r="D129" i="8"/>
  <c r="AC136" i="4"/>
  <c r="AF49" i="5"/>
  <c r="J9" i="5"/>
  <c r="D160" i="8"/>
  <c r="Q154" i="8"/>
  <c r="AF6" i="3"/>
  <c r="AF5" i="3" s="1"/>
  <c r="AF4" i="3" s="1"/>
  <c r="AC5" i="3"/>
  <c r="AC4" i="3" s="1"/>
  <c r="Q157" i="8"/>
  <c r="Q150" i="8"/>
  <c r="Q149" i="8"/>
  <c r="Q133" i="8"/>
  <c r="Q152" i="8"/>
  <c r="N148" i="8"/>
  <c r="G148" i="8" s="1"/>
  <c r="Q148" i="8"/>
  <c r="Q132" i="8"/>
  <c r="N137" i="8"/>
  <c r="G137" i="8" s="1"/>
  <c r="Q145" i="8"/>
  <c r="N141" i="8"/>
  <c r="G141" i="8" s="1"/>
  <c r="Q141" i="8"/>
  <c r="Q129" i="8"/>
  <c r="Q140" i="8"/>
  <c r="Q138" i="8"/>
  <c r="AL12" i="5"/>
  <c r="N146" i="8"/>
  <c r="G146" i="8" s="1"/>
  <c r="Q146" i="8"/>
  <c r="J12" i="5"/>
  <c r="AL58" i="5"/>
  <c r="AL94" i="5"/>
  <c r="Q188" i="8" s="1"/>
  <c r="AL99" i="5"/>
  <c r="Q189" i="8" s="1"/>
  <c r="Q197" i="8"/>
  <c r="M26" i="5"/>
  <c r="AI30" i="5"/>
  <c r="N170" i="8" s="1"/>
  <c r="G170" i="8" s="1"/>
  <c r="AL31" i="5"/>
  <c r="AL30" i="5" s="1"/>
  <c r="Q170" i="8" s="1"/>
  <c r="AL74" i="5"/>
  <c r="Q183" i="8" s="1"/>
  <c r="N187" i="8"/>
  <c r="G187" i="8" s="1"/>
  <c r="Q187" i="8"/>
  <c r="AI105" i="5"/>
  <c r="N190" i="8" s="1"/>
  <c r="G190" i="8" s="1"/>
  <c r="AL106" i="5"/>
  <c r="AL105" i="5" s="1"/>
  <c r="Q190" i="8" s="1"/>
  <c r="AL131" i="5"/>
  <c r="Q195" i="8" s="1"/>
  <c r="Q173" i="8"/>
  <c r="AL43" i="5"/>
  <c r="Q174" i="8" s="1"/>
  <c r="N177" i="8"/>
  <c r="G177" i="8" s="1"/>
  <c r="Q177" i="8"/>
  <c r="J94" i="5"/>
  <c r="D188" i="8" s="1"/>
  <c r="J86" i="3"/>
  <c r="J67" i="3" s="1"/>
  <c r="D114" i="8"/>
  <c r="I111" i="8"/>
  <c r="AL117" i="3"/>
  <c r="Q119" i="8" s="1"/>
  <c r="AL5" i="3"/>
  <c r="AL4" i="3" s="1"/>
  <c r="AL28" i="3"/>
  <c r="Q100" i="8" s="1"/>
  <c r="AL34" i="3"/>
  <c r="Q102" i="8" s="1"/>
  <c r="Q111" i="8"/>
  <c r="Q112" i="8"/>
  <c r="AL101" i="3"/>
  <c r="Q117" i="8" s="1"/>
  <c r="Q114" i="8"/>
  <c r="Q115" i="8"/>
  <c r="AL16" i="3"/>
  <c r="M46" i="3"/>
  <c r="AI43" i="3"/>
  <c r="N104" i="8" s="1"/>
  <c r="G104" i="8" s="1"/>
  <c r="AL44" i="3"/>
  <c r="AL43" i="3" s="1"/>
  <c r="Q104" i="8" s="1"/>
  <c r="AL46" i="3"/>
  <c r="Q106" i="8" s="1"/>
  <c r="AL59" i="3"/>
  <c r="Q108" i="8" s="1"/>
  <c r="AL36" i="5"/>
  <c r="Q172" i="8" s="1"/>
  <c r="AI68" i="5"/>
  <c r="N182" i="8" s="1"/>
  <c r="G182" i="8" s="1"/>
  <c r="AL69" i="5"/>
  <c r="AL68" i="5" s="1"/>
  <c r="Q182" i="8" s="1"/>
  <c r="AI66" i="5"/>
  <c r="N181" i="8" s="1"/>
  <c r="G181" i="8" s="1"/>
  <c r="AL67" i="5"/>
  <c r="AL66" i="5" s="1"/>
  <c r="Q181" i="8" s="1"/>
  <c r="AL61" i="5"/>
  <c r="Q180" i="8" s="1"/>
  <c r="AI58" i="5"/>
  <c r="AF124" i="5"/>
  <c r="AF123" i="5" s="1"/>
  <c r="AC123" i="5"/>
  <c r="Q144" i="8"/>
  <c r="Q135" i="8"/>
  <c r="Q126" i="8"/>
  <c r="Q109" i="8"/>
  <c r="AL116" i="5"/>
  <c r="Q193" i="8" s="1"/>
  <c r="AC94" i="5"/>
  <c r="M18" i="5"/>
  <c r="M23" i="5"/>
  <c r="I168" i="8" s="1"/>
  <c r="D173" i="8"/>
  <c r="AI61" i="5"/>
  <c r="N180" i="8" s="1"/>
  <c r="G180" i="8" s="1"/>
  <c r="M9" i="5"/>
  <c r="J23" i="5"/>
  <c r="D168" i="8" s="1"/>
  <c r="AC26" i="5"/>
  <c r="AC23" i="5"/>
  <c r="AI74" i="5"/>
  <c r="N183" i="8" s="1"/>
  <c r="G183" i="8" s="1"/>
  <c r="M105" i="5"/>
  <c r="I190" i="8" s="1"/>
  <c r="M78" i="5"/>
  <c r="AF94" i="5"/>
  <c r="D163" i="8"/>
  <c r="I173" i="8"/>
  <c r="J58" i="5"/>
  <c r="D197" i="8"/>
  <c r="M12" i="5"/>
  <c r="N171" i="8"/>
  <c r="G171" i="8" s="1"/>
  <c r="N173" i="8"/>
  <c r="G173" i="8" s="1"/>
  <c r="AI43" i="5"/>
  <c r="M61" i="5"/>
  <c r="I180" i="8" s="1"/>
  <c r="M94" i="5"/>
  <c r="I188" i="8" s="1"/>
  <c r="I197" i="8"/>
  <c r="D186" i="8"/>
  <c r="J105" i="5"/>
  <c r="D190" i="8" s="1"/>
  <c r="J140" i="4"/>
  <c r="D155" i="8" s="1"/>
  <c r="M5" i="4"/>
  <c r="AC22" i="4"/>
  <c r="AC38" i="4"/>
  <c r="AC5" i="4"/>
  <c r="AC134" i="5"/>
  <c r="M134" i="5"/>
  <c r="I196" i="8" s="1"/>
  <c r="J134" i="5"/>
  <c r="D196" i="8" s="1"/>
  <c r="M131" i="5"/>
  <c r="I195" i="8" s="1"/>
  <c r="J131" i="5"/>
  <c r="D195" i="8" s="1"/>
  <c r="AI116" i="5"/>
  <c r="AC33" i="4"/>
  <c r="AC26" i="4" s="1"/>
  <c r="AC36" i="5"/>
  <c r="AC49" i="5"/>
  <c r="AC48" i="5" s="1"/>
  <c r="AF24" i="5"/>
  <c r="AF23" i="5" s="1"/>
  <c r="J49" i="5"/>
  <c r="J48" i="5" s="1"/>
  <c r="AF68" i="5"/>
  <c r="J99" i="5"/>
  <c r="D189" i="8" s="1"/>
  <c r="M129" i="5"/>
  <c r="M123" i="5" s="1"/>
  <c r="AI23" i="5"/>
  <c r="N168" i="8" s="1"/>
  <c r="G168" i="8" s="1"/>
  <c r="M36" i="5"/>
  <c r="I172" i="8" s="1"/>
  <c r="M49" i="5"/>
  <c r="M48" i="5" s="1"/>
  <c r="M99" i="5"/>
  <c r="I189" i="8" s="1"/>
  <c r="AF105" i="5"/>
  <c r="J116" i="5"/>
  <c r="D193" i="8" s="1"/>
  <c r="M110" i="5"/>
  <c r="AF26" i="5"/>
  <c r="D171" i="8"/>
  <c r="AF36" i="5"/>
  <c r="AC99" i="5"/>
  <c r="M116" i="5"/>
  <c r="I193" i="8" s="1"/>
  <c r="AI129" i="5"/>
  <c r="N197" i="8"/>
  <c r="G197" i="8" s="1"/>
  <c r="N163" i="8"/>
  <c r="G163" i="8" s="1"/>
  <c r="I171" i="8"/>
  <c r="AI36" i="5"/>
  <c r="N172" i="8" s="1"/>
  <c r="G172" i="8" s="1"/>
  <c r="M68" i="5"/>
  <c r="I182" i="8" s="1"/>
  <c r="J74" i="5"/>
  <c r="D183" i="8" s="1"/>
  <c r="AC110" i="5"/>
  <c r="AC116" i="5"/>
  <c r="AC131" i="5"/>
  <c r="AC18" i="5"/>
  <c r="AC68" i="5"/>
  <c r="J78" i="5"/>
  <c r="AI131" i="5"/>
  <c r="N195" i="8" s="1"/>
  <c r="G195" i="8" s="1"/>
  <c r="N135" i="8"/>
  <c r="G135" i="8" s="1"/>
  <c r="M22" i="4"/>
  <c r="J105" i="4"/>
  <c r="D150" i="8" s="1"/>
  <c r="M38" i="4"/>
  <c r="AC95" i="4"/>
  <c r="I133" i="8"/>
  <c r="I137" i="8"/>
  <c r="AC91" i="4"/>
  <c r="J64" i="4"/>
  <c r="J79" i="4"/>
  <c r="M46" i="4"/>
  <c r="I132" i="8" s="1"/>
  <c r="J136" i="4"/>
  <c r="M33" i="4"/>
  <c r="M26" i="4" s="1"/>
  <c r="AC53" i="4"/>
  <c r="J73" i="4"/>
  <c r="D140" i="8" s="1"/>
  <c r="N133" i="8"/>
  <c r="G133" i="8" s="1"/>
  <c r="M69" i="4"/>
  <c r="I139" i="8" s="1"/>
  <c r="N145" i="8"/>
  <c r="G145" i="8" s="1"/>
  <c r="M100" i="4"/>
  <c r="D133" i="8"/>
  <c r="AC100" i="4"/>
  <c r="M64" i="4"/>
  <c r="I138" i="8" s="1"/>
  <c r="M109" i="4"/>
  <c r="AC140" i="4"/>
  <c r="N128" i="8"/>
  <c r="G128" i="8" s="1"/>
  <c r="AC46" i="4"/>
  <c r="J57" i="4"/>
  <c r="N140" i="8"/>
  <c r="G140" i="8" s="1"/>
  <c r="J91" i="4"/>
  <c r="D145" i="8" s="1"/>
  <c r="J46" i="4"/>
  <c r="M79" i="4"/>
  <c r="AC150" i="4"/>
  <c r="J150" i="4"/>
  <c r="D157" i="8" s="1"/>
  <c r="M105" i="4"/>
  <c r="I150" i="8" s="1"/>
  <c r="J100" i="4"/>
  <c r="N132" i="8"/>
  <c r="G132" i="8" s="1"/>
  <c r="N138" i="8"/>
  <c r="G138" i="8" s="1"/>
  <c r="M140" i="4"/>
  <c r="I155" i="8" s="1"/>
  <c r="J22" i="4"/>
  <c r="M53" i="4"/>
  <c r="I134" i="8" s="1"/>
  <c r="J53" i="4"/>
  <c r="D134" i="8" s="1"/>
  <c r="N139" i="8"/>
  <c r="G139" i="8" s="1"/>
  <c r="N150" i="8"/>
  <c r="G150" i="8" s="1"/>
  <c r="N157" i="8"/>
  <c r="G157" i="8" s="1"/>
  <c r="D103" i="8"/>
  <c r="AC34" i="3"/>
  <c r="J54" i="3"/>
  <c r="D107" i="8" s="1"/>
  <c r="J21" i="3"/>
  <c r="D98" i="8" s="1"/>
  <c r="M54" i="3"/>
  <c r="I107" i="8" s="1"/>
  <c r="AC40" i="3"/>
  <c r="AC24" i="3"/>
  <c r="I114" i="8"/>
  <c r="AI59" i="3"/>
  <c r="N109" i="8"/>
  <c r="G109" i="8" s="1"/>
  <c r="AI16" i="3"/>
  <c r="I112" i="8"/>
  <c r="M21" i="3"/>
  <c r="I98" i="8" s="1"/>
  <c r="D100" i="8"/>
  <c r="AF40" i="3"/>
  <c r="N112" i="8"/>
  <c r="G112" i="8" s="1"/>
  <c r="D115" i="8"/>
  <c r="N115" i="8"/>
  <c r="M125" i="3"/>
  <c r="M129" i="3"/>
  <c r="I122" i="8" s="1"/>
  <c r="M86" i="3"/>
  <c r="M67" i="3" s="1"/>
  <c r="AC117" i="3"/>
  <c r="AC129" i="3"/>
  <c r="M101" i="3"/>
  <c r="AF103" i="3"/>
  <c r="J107" i="3"/>
  <c r="D118" i="8" s="1"/>
  <c r="J16" i="3"/>
  <c r="M16" i="3"/>
  <c r="AI34" i="3"/>
  <c r="M59" i="3"/>
  <c r="I108" i="8" s="1"/>
  <c r="I115" i="8"/>
  <c r="J129" i="3"/>
  <c r="D122" i="8" s="1"/>
  <c r="AC59" i="3"/>
  <c r="M40" i="3"/>
  <c r="I103" i="8" s="1"/>
  <c r="D95" i="8"/>
  <c r="J34" i="3"/>
  <c r="J33" i="3" s="1"/>
  <c r="N114" i="8"/>
  <c r="G114" i="8" s="1"/>
  <c r="AI117" i="3"/>
  <c r="N119" i="8" s="1"/>
  <c r="G119" i="8" s="1"/>
  <c r="J5" i="3"/>
  <c r="J4" i="3" s="1"/>
  <c r="J24" i="3"/>
  <c r="D99" i="8" s="1"/>
  <c r="AI46" i="3"/>
  <c r="N111" i="8"/>
  <c r="G111" i="8" s="1"/>
  <c r="J101" i="3"/>
  <c r="M107" i="3"/>
  <c r="I118" i="8" s="1"/>
  <c r="J117" i="3"/>
  <c r="D119" i="8" s="1"/>
  <c r="AI5" i="3"/>
  <c r="AI4" i="3" s="1"/>
  <c r="M24" i="3"/>
  <c r="I99" i="8" s="1"/>
  <c r="J59" i="3"/>
  <c r="D108" i="8" s="1"/>
  <c r="D112" i="8"/>
  <c r="AI101" i="3"/>
  <c r="M117" i="3"/>
  <c r="I119" i="8" s="1"/>
  <c r="AF126" i="3"/>
  <c r="AF125" i="3" s="1"/>
  <c r="AF107" i="3"/>
  <c r="AF117" i="3"/>
  <c r="AC86" i="3"/>
  <c r="AC67" i="3" s="1"/>
  <c r="AC107" i="3"/>
  <c r="AF44" i="3"/>
  <c r="AF43" i="3" s="1"/>
  <c r="AC54" i="3"/>
  <c r="AF130" i="3"/>
  <c r="AF129" i="3" s="1"/>
  <c r="AF22" i="3"/>
  <c r="AF21" i="3" s="1"/>
  <c r="AF34" i="3"/>
  <c r="AF25" i="3"/>
  <c r="AF24" i="3" s="1"/>
  <c r="M57" i="4"/>
  <c r="AC83" i="4"/>
  <c r="M91" i="4"/>
  <c r="I145" i="8" s="1"/>
  <c r="M121" i="4"/>
  <c r="I152" i="8" s="1"/>
  <c r="N134" i="8"/>
  <c r="G134" i="8" s="1"/>
  <c r="AC121" i="4"/>
  <c r="J38" i="4"/>
  <c r="M136" i="4"/>
  <c r="M73" i="4"/>
  <c r="I140" i="8" s="1"/>
  <c r="J83" i="4"/>
  <c r="J109" i="4"/>
  <c r="N152" i="8"/>
  <c r="M144" i="4"/>
  <c r="I156" i="8" s="1"/>
  <c r="M150" i="4"/>
  <c r="I157" i="8" s="1"/>
  <c r="AC73" i="4"/>
  <c r="M83" i="4"/>
  <c r="AC144" i="4"/>
  <c r="AF10" i="5"/>
  <c r="AF9" i="5" s="1"/>
  <c r="AF62" i="5"/>
  <c r="AF61" i="5" s="1"/>
  <c r="AC61" i="5"/>
  <c r="AF99" i="5"/>
  <c r="AF132" i="5"/>
  <c r="AF131" i="5" s="1"/>
  <c r="J26" i="5"/>
  <c r="J43" i="5"/>
  <c r="D174" i="8" s="1"/>
  <c r="J68" i="5"/>
  <c r="D182" i="8" s="1"/>
  <c r="AI99" i="5"/>
  <c r="N189" i="8" s="1"/>
  <c r="G189" i="8" s="1"/>
  <c r="AC12" i="5"/>
  <c r="AC4" i="5" s="1"/>
  <c r="AF18" i="5"/>
  <c r="M74" i="5"/>
  <c r="I183" i="8" s="1"/>
  <c r="AF81" i="5"/>
  <c r="AF13" i="5"/>
  <c r="AF12" i="5" s="1"/>
  <c r="AF31" i="5"/>
  <c r="AF30" i="5" s="1"/>
  <c r="AC43" i="5"/>
  <c r="AF43" i="5"/>
  <c r="AC74" i="5"/>
  <c r="I186" i="8"/>
  <c r="AI12" i="5"/>
  <c r="AC85" i="5"/>
  <c r="AI94" i="5"/>
  <c r="AC58" i="5"/>
  <c r="J61" i="5"/>
  <c r="D180" i="8" s="1"/>
  <c r="AC105" i="5"/>
  <c r="AF59" i="5"/>
  <c r="AF58" i="5" s="1"/>
  <c r="AF75" i="5"/>
  <c r="AF74" i="5" s="1"/>
  <c r="AF117" i="5"/>
  <c r="AF116" i="5" s="1"/>
  <c r="AF67" i="5"/>
  <c r="AF66" i="5" s="1"/>
  <c r="AI45" i="3" l="1"/>
  <c r="AI15" i="3"/>
  <c r="N108" i="8"/>
  <c r="G108" i="8" s="1"/>
  <c r="O108" i="8"/>
  <c r="H108" i="8" s="1"/>
  <c r="N118" i="8"/>
  <c r="G118" i="8" s="1"/>
  <c r="N174" i="8"/>
  <c r="G174" i="8" s="1"/>
  <c r="N196" i="8"/>
  <c r="G196" i="8" s="1"/>
  <c r="O196" i="8"/>
  <c r="N188" i="8"/>
  <c r="G188" i="8" s="1"/>
  <c r="AI17" i="5"/>
  <c r="N164" i="8"/>
  <c r="G164" i="8" s="1"/>
  <c r="AI4" i="5"/>
  <c r="AL4" i="5"/>
  <c r="J17" i="5"/>
  <c r="AF37" i="4"/>
  <c r="F37" i="4" s="1"/>
  <c r="AF82" i="4"/>
  <c r="F82" i="4" s="1"/>
  <c r="AF97" i="4"/>
  <c r="F97" i="4" s="1"/>
  <c r="J97" i="4"/>
  <c r="D159" i="8"/>
  <c r="O96" i="8"/>
  <c r="H96" i="8" s="1"/>
  <c r="AF48" i="5"/>
  <c r="F48" i="5" s="1"/>
  <c r="J60" i="4"/>
  <c r="AL129" i="5"/>
  <c r="AL123" i="5" s="1"/>
  <c r="Q194" i="8" s="1"/>
  <c r="Q191" i="8" s="1"/>
  <c r="AM129" i="5"/>
  <c r="E194" i="8"/>
  <c r="E191" i="8" s="1"/>
  <c r="K109" i="5"/>
  <c r="K3" i="5" s="1"/>
  <c r="E161" i="8" s="1"/>
  <c r="J109" i="5"/>
  <c r="J194" i="8"/>
  <c r="J191" i="8" s="1"/>
  <c r="N109" i="5"/>
  <c r="N3" i="5" s="1"/>
  <c r="J161" i="8" s="1"/>
  <c r="S8" i="7" s="1"/>
  <c r="J77" i="5"/>
  <c r="AI77" i="5"/>
  <c r="AF57" i="5"/>
  <c r="F57" i="5" s="1"/>
  <c r="AC109" i="5"/>
  <c r="J57" i="5"/>
  <c r="AC17" i="5"/>
  <c r="AM125" i="5"/>
  <c r="AC97" i="4"/>
  <c r="AF135" i="4"/>
  <c r="F135" i="4" s="1"/>
  <c r="J135" i="4"/>
  <c r="AF60" i="4"/>
  <c r="J124" i="3"/>
  <c r="AF101" i="3"/>
  <c r="AF100" i="3" s="1"/>
  <c r="F100" i="3" s="1"/>
  <c r="M45" i="3"/>
  <c r="J100" i="3"/>
  <c r="I165" i="8"/>
  <c r="M4" i="5"/>
  <c r="D165" i="8"/>
  <c r="J4" i="5"/>
  <c r="I169" i="8"/>
  <c r="M17" i="5"/>
  <c r="AF45" i="3"/>
  <c r="F45" i="3" s="1"/>
  <c r="AI33" i="3"/>
  <c r="M124" i="3"/>
  <c r="J15" i="3"/>
  <c r="AC45" i="3"/>
  <c r="M100" i="3"/>
  <c r="AF4" i="5"/>
  <c r="F4" i="5" s="1"/>
  <c r="M109" i="5"/>
  <c r="Q176" i="8"/>
  <c r="AF109" i="5"/>
  <c r="F109" i="5" s="1"/>
  <c r="AL57" i="5"/>
  <c r="AC37" i="4"/>
  <c r="Q131" i="8"/>
  <c r="M37" i="4"/>
  <c r="J37" i="4"/>
  <c r="N117" i="8"/>
  <c r="G117" i="8" s="1"/>
  <c r="AI100" i="3"/>
  <c r="N102" i="8"/>
  <c r="G102" i="8" s="1"/>
  <c r="AF15" i="3"/>
  <c r="F15" i="3" s="1"/>
  <c r="J45" i="3"/>
  <c r="Q186" i="8"/>
  <c r="AL77" i="5"/>
  <c r="J82" i="4"/>
  <c r="D125" i="8"/>
  <c r="J4" i="4"/>
  <c r="N106" i="8"/>
  <c r="G106" i="8" s="1"/>
  <c r="D132" i="8"/>
  <c r="Q113" i="8"/>
  <c r="D138" i="8"/>
  <c r="D164" i="8"/>
  <c r="AC77" i="5"/>
  <c r="AF78" i="5"/>
  <c r="AF77" i="5" s="1"/>
  <c r="F77" i="5" s="1"/>
  <c r="M33" i="3"/>
  <c r="M15" i="3"/>
  <c r="Q94" i="8"/>
  <c r="N94" i="8"/>
  <c r="G94" i="8" s="1"/>
  <c r="N144" i="8"/>
  <c r="G144" i="8" s="1"/>
  <c r="N165" i="8"/>
  <c r="G165" i="8" s="1"/>
  <c r="Q165" i="8"/>
  <c r="Q98" i="8"/>
  <c r="AL15" i="3"/>
  <c r="AC64" i="4"/>
  <c r="I97" i="8"/>
  <c r="D97" i="8"/>
  <c r="D106" i="8"/>
  <c r="I106" i="8"/>
  <c r="N97" i="8"/>
  <c r="G97" i="8" s="1"/>
  <c r="I94" i="8"/>
  <c r="N107" i="8"/>
  <c r="G107" i="8" s="1"/>
  <c r="I113" i="8"/>
  <c r="I110" i="8" s="1"/>
  <c r="D113" i="8"/>
  <c r="N113" i="8"/>
  <c r="I167" i="8"/>
  <c r="D167" i="8"/>
  <c r="I192" i="8"/>
  <c r="M77" i="5"/>
  <c r="D192" i="8"/>
  <c r="N192" i="8"/>
  <c r="G192" i="8" s="1"/>
  <c r="N167" i="8"/>
  <c r="G167" i="8" s="1"/>
  <c r="D149" i="8"/>
  <c r="AC135" i="4"/>
  <c r="I125" i="8"/>
  <c r="M4" i="4"/>
  <c r="I129" i="8"/>
  <c r="I131" i="8"/>
  <c r="N154" i="8"/>
  <c r="G154" i="8" s="1"/>
  <c r="M135" i="4"/>
  <c r="I149" i="8"/>
  <c r="M97" i="4"/>
  <c r="D131" i="8"/>
  <c r="N131" i="8"/>
  <c r="Q127" i="8"/>
  <c r="N149" i="8"/>
  <c r="G149" i="8" s="1"/>
  <c r="D158" i="8"/>
  <c r="I163" i="8"/>
  <c r="N160" i="8"/>
  <c r="G160" i="8" s="1"/>
  <c r="Q137" i="8"/>
  <c r="AF33" i="3"/>
  <c r="F33" i="3" s="1"/>
  <c r="Q179" i="8"/>
  <c r="Q163" i="8"/>
  <c r="Q139" i="8"/>
  <c r="F4" i="4"/>
  <c r="AL124" i="3"/>
  <c r="I128" i="8"/>
  <c r="D128" i="8"/>
  <c r="Q155" i="8"/>
  <c r="Q153" i="8" s="1"/>
  <c r="Q125" i="8"/>
  <c r="Q160" i="8"/>
  <c r="Q159" i="8" s="1"/>
  <c r="Q147" i="8"/>
  <c r="I160" i="8"/>
  <c r="I158" i="8"/>
  <c r="N155" i="8"/>
  <c r="G155" i="8" s="1"/>
  <c r="D154" i="8"/>
  <c r="I154" i="8"/>
  <c r="Q95" i="8"/>
  <c r="Q143" i="8"/>
  <c r="AI123" i="5"/>
  <c r="Q166" i="8"/>
  <c r="I185" i="8"/>
  <c r="I184" i="8" s="1"/>
  <c r="D185" i="8"/>
  <c r="D176" i="8"/>
  <c r="I176" i="8"/>
  <c r="I175" i="8" s="1"/>
  <c r="AL17" i="5"/>
  <c r="Q185" i="8"/>
  <c r="Q101" i="8"/>
  <c r="F67" i="3"/>
  <c r="D111" i="8"/>
  <c r="I109" i="8"/>
  <c r="I117" i="8"/>
  <c r="I102" i="8"/>
  <c r="Q97" i="8"/>
  <c r="F4" i="3"/>
  <c r="AL45" i="3"/>
  <c r="I95" i="8"/>
  <c r="D102" i="8"/>
  <c r="Q105" i="8"/>
  <c r="AL100" i="3"/>
  <c r="D94" i="8"/>
  <c r="Q116" i="8"/>
  <c r="D117" i="8"/>
  <c r="AL33" i="3"/>
  <c r="I164" i="8"/>
  <c r="Q120" i="8"/>
  <c r="N99" i="8"/>
  <c r="G99" i="8" s="1"/>
  <c r="D169" i="8"/>
  <c r="AC57" i="5"/>
  <c r="AI57" i="5"/>
  <c r="N179" i="8"/>
  <c r="G179" i="8" s="1"/>
  <c r="D179" i="8"/>
  <c r="I179" i="8"/>
  <c r="M57" i="5"/>
  <c r="D194" i="8"/>
  <c r="I194" i="8"/>
  <c r="I151" i="8"/>
  <c r="D151" i="8"/>
  <c r="D144" i="8"/>
  <c r="I144" i="8"/>
  <c r="M82" i="4"/>
  <c r="N142" i="8"/>
  <c r="G142" i="8" s="1"/>
  <c r="I142" i="8"/>
  <c r="M60" i="4"/>
  <c r="D142" i="8"/>
  <c r="D135" i="8"/>
  <c r="I135" i="8"/>
  <c r="D126" i="8"/>
  <c r="AC4" i="4"/>
  <c r="I126" i="8"/>
  <c r="D121" i="8"/>
  <c r="I121" i="8"/>
  <c r="D109" i="8"/>
  <c r="N120" i="8"/>
  <c r="G120" i="8" s="1"/>
  <c r="N193" i="8"/>
  <c r="G193" i="8" s="1"/>
  <c r="N176" i="8"/>
  <c r="G176" i="8" s="1"/>
  <c r="N185" i="8"/>
  <c r="G185" i="8" s="1"/>
  <c r="I100" i="8"/>
  <c r="N129" i="8"/>
  <c r="F26" i="4"/>
  <c r="AC33" i="3"/>
  <c r="AC15" i="3"/>
  <c r="F167" i="4"/>
  <c r="AC82" i="4"/>
  <c r="N126" i="8"/>
  <c r="G126" i="8" s="1"/>
  <c r="AC124" i="3"/>
  <c r="N100" i="8"/>
  <c r="G100" i="8" s="1"/>
  <c r="AC100" i="3"/>
  <c r="AI124" i="3"/>
  <c r="N98" i="8"/>
  <c r="G98" i="8" s="1"/>
  <c r="AF124" i="3"/>
  <c r="F124" i="3" s="1"/>
  <c r="AF17" i="5"/>
  <c r="F17" i="5" s="1"/>
  <c r="B203" i="8"/>
  <c r="B199" i="8"/>
  <c r="B198" i="8"/>
  <c r="B191" i="8"/>
  <c r="B184" i="8"/>
  <c r="B178" i="8"/>
  <c r="B175" i="8"/>
  <c r="B166" i="8"/>
  <c r="B162" i="8"/>
  <c r="B161" i="8"/>
  <c r="B159" i="8"/>
  <c r="B153" i="8"/>
  <c r="B147" i="8"/>
  <c r="B143" i="8"/>
  <c r="B136" i="8"/>
  <c r="B130" i="8"/>
  <c r="B127" i="8"/>
  <c r="B124" i="8"/>
  <c r="B123" i="8"/>
  <c r="B120" i="8"/>
  <c r="B116" i="8"/>
  <c r="B110" i="8"/>
  <c r="B105" i="8"/>
  <c r="B101" i="8"/>
  <c r="B96" i="8"/>
  <c r="B93" i="8"/>
  <c r="B92" i="8"/>
  <c r="B88" i="8"/>
  <c r="B80" i="8"/>
  <c r="B73" i="8"/>
  <c r="B68" i="8"/>
  <c r="B64" i="8"/>
  <c r="B47" i="8"/>
  <c r="B46" i="8"/>
  <c r="B34" i="8"/>
  <c r="B26" i="8"/>
  <c r="B21" i="8"/>
  <c r="B20" i="8"/>
  <c r="B19" i="8"/>
  <c r="B18" i="8"/>
  <c r="B17" i="8"/>
  <c r="B16" i="8"/>
  <c r="B15" i="8"/>
  <c r="B14" i="8"/>
  <c r="B13" i="8"/>
  <c r="B12" i="8"/>
  <c r="B11" i="8"/>
  <c r="B10" i="8"/>
  <c r="B9" i="8"/>
  <c r="B8" i="8"/>
  <c r="B7" i="8"/>
  <c r="B6" i="8"/>
  <c r="B5" i="8"/>
  <c r="H196" i="8" l="1"/>
  <c r="O105" i="8"/>
  <c r="H105" i="8" s="1"/>
  <c r="O118" i="8"/>
  <c r="H118" i="8" s="1"/>
  <c r="O174" i="8"/>
  <c r="H174" i="8" s="1"/>
  <c r="O188" i="8"/>
  <c r="H188" i="8" s="1"/>
  <c r="O182" i="8"/>
  <c r="H182" i="8" s="1"/>
  <c r="AM123" i="5"/>
  <c r="AM109" i="5" s="1"/>
  <c r="J3" i="5"/>
  <c r="D161" i="8" s="1"/>
  <c r="AI3" i="3"/>
  <c r="N92" i="8" s="1"/>
  <c r="G92" i="8" s="1"/>
  <c r="E8" i="7"/>
  <c r="N130" i="8"/>
  <c r="G130" i="8" s="1"/>
  <c r="G131" i="8"/>
  <c r="N127" i="8"/>
  <c r="G127" i="8" s="1"/>
  <c r="G129" i="8"/>
  <c r="G113" i="8"/>
  <c r="D101" i="8"/>
  <c r="D184" i="8"/>
  <c r="AC3" i="5"/>
  <c r="D120" i="8"/>
  <c r="D178" i="8"/>
  <c r="D143" i="8"/>
  <c r="D116" i="8"/>
  <c r="D127" i="8"/>
  <c r="AL109" i="5"/>
  <c r="AL3" i="5" s="1"/>
  <c r="Q161" i="8" s="1"/>
  <c r="I166" i="8"/>
  <c r="J3" i="4"/>
  <c r="D123" i="8" s="1"/>
  <c r="D162" i="8"/>
  <c r="M3" i="5"/>
  <c r="I161" i="8" s="1"/>
  <c r="Q110" i="8"/>
  <c r="N153" i="8"/>
  <c r="G153" i="8" s="1"/>
  <c r="D175" i="8"/>
  <c r="M3" i="4"/>
  <c r="I123" i="8" s="1"/>
  <c r="AF3" i="3"/>
  <c r="I191" i="8"/>
  <c r="AF3" i="5"/>
  <c r="Q175" i="8"/>
  <c r="D191" i="8"/>
  <c r="D130" i="8"/>
  <c r="D124" i="8"/>
  <c r="Q130" i="8"/>
  <c r="I127" i="8"/>
  <c r="D136" i="8"/>
  <c r="I130" i="8"/>
  <c r="N101" i="8"/>
  <c r="G101" i="8" s="1"/>
  <c r="D93" i="8"/>
  <c r="I93" i="8"/>
  <c r="N194" i="8"/>
  <c r="AI109" i="5"/>
  <c r="AI3" i="5" s="1"/>
  <c r="I162" i="8"/>
  <c r="N123" i="8"/>
  <c r="G123" i="8" s="1"/>
  <c r="Q96" i="8"/>
  <c r="I96" i="8"/>
  <c r="N110" i="8"/>
  <c r="N96" i="8"/>
  <c r="G96" i="8" s="1"/>
  <c r="D96" i="8"/>
  <c r="D110" i="8"/>
  <c r="Q162" i="8"/>
  <c r="N162" i="8"/>
  <c r="G162" i="8" s="1"/>
  <c r="D105" i="8"/>
  <c r="I105" i="8"/>
  <c r="N105" i="8"/>
  <c r="G105" i="8" s="1"/>
  <c r="D166" i="8"/>
  <c r="Q184" i="8"/>
  <c r="Q178" i="8"/>
  <c r="N166" i="8"/>
  <c r="G166" i="8" s="1"/>
  <c r="N175" i="8"/>
  <c r="G175" i="8" s="1"/>
  <c r="N147" i="8"/>
  <c r="G147" i="8" s="1"/>
  <c r="I153" i="8"/>
  <c r="D153" i="8"/>
  <c r="Q123" i="8"/>
  <c r="Q124" i="8"/>
  <c r="I147" i="8"/>
  <c r="D147" i="8"/>
  <c r="Q136" i="8"/>
  <c r="Q93" i="8"/>
  <c r="AL3" i="3"/>
  <c r="Q92" i="8" s="1"/>
  <c r="AC3" i="3"/>
  <c r="F60" i="4"/>
  <c r="AF3" i="4" s="1"/>
  <c r="N95" i="8"/>
  <c r="G95" i="8" s="1"/>
  <c r="M3" i="3"/>
  <c r="I92" i="8" s="1"/>
  <c r="J3" i="3"/>
  <c r="B9" i="7"/>
  <c r="B8" i="7"/>
  <c r="B7" i="7"/>
  <c r="B6" i="7"/>
  <c r="B5" i="7"/>
  <c r="B4" i="7"/>
  <c r="AI49" i="6"/>
  <c r="AL49" i="6" s="1"/>
  <c r="AC49" i="6"/>
  <c r="AF49" i="6" s="1"/>
  <c r="M49" i="6"/>
  <c r="J49" i="6"/>
  <c r="AI44" i="6"/>
  <c r="AL44" i="6" s="1"/>
  <c r="AC44" i="6"/>
  <c r="AF44" i="6" s="1"/>
  <c r="M44" i="6"/>
  <c r="J44" i="6"/>
  <c r="AI39" i="6"/>
  <c r="AL39" i="6" s="1"/>
  <c r="AC39" i="6"/>
  <c r="AF39" i="6" s="1"/>
  <c r="M39" i="6"/>
  <c r="J39" i="6"/>
  <c r="AI35" i="6"/>
  <c r="AL35" i="6" s="1"/>
  <c r="AC35" i="6"/>
  <c r="AF35" i="6" s="1"/>
  <c r="M35" i="6"/>
  <c r="J35" i="6"/>
  <c r="AI33" i="6"/>
  <c r="AC33" i="6"/>
  <c r="AF33" i="6" s="1"/>
  <c r="M33" i="6"/>
  <c r="J33" i="6"/>
  <c r="AI18" i="6"/>
  <c r="AL18" i="6" s="1"/>
  <c r="AC18" i="6"/>
  <c r="M18" i="6"/>
  <c r="J18" i="6"/>
  <c r="AI17" i="6"/>
  <c r="AL17" i="6" s="1"/>
  <c r="AC17" i="6"/>
  <c r="AF17" i="6" s="1"/>
  <c r="M17" i="6"/>
  <c r="J17" i="6"/>
  <c r="AI13" i="6"/>
  <c r="AL13" i="6" s="1"/>
  <c r="AC13" i="6"/>
  <c r="AF13" i="6" s="1"/>
  <c r="M13" i="6"/>
  <c r="J13" i="6"/>
  <c r="AI11" i="6"/>
  <c r="AL11" i="6" s="1"/>
  <c r="AC11" i="6"/>
  <c r="AF11" i="6" s="1"/>
  <c r="M11" i="6"/>
  <c r="J11" i="6"/>
  <c r="AI8" i="6"/>
  <c r="AL8" i="6" s="1"/>
  <c r="AC8" i="6"/>
  <c r="AF8" i="6" s="1"/>
  <c r="M8" i="6"/>
  <c r="J8" i="6"/>
  <c r="AI7" i="6"/>
  <c r="AF7" i="6"/>
  <c r="M7" i="6"/>
  <c r="J7" i="6"/>
  <c r="AL205" i="2"/>
  <c r="AF205" i="2"/>
  <c r="AL204" i="2"/>
  <c r="AF204" i="2"/>
  <c r="AL202" i="2"/>
  <c r="AF202" i="2"/>
  <c r="AC201" i="2"/>
  <c r="AF201" i="2" s="1"/>
  <c r="AL200" i="2"/>
  <c r="AC200" i="2"/>
  <c r="AF200" i="2" s="1"/>
  <c r="AL199" i="2"/>
  <c r="AF199" i="2"/>
  <c r="AL197" i="2"/>
  <c r="AC197" i="2"/>
  <c r="AF197" i="2" s="1"/>
  <c r="AL195" i="2"/>
  <c r="AF195" i="2"/>
  <c r="AL191" i="2"/>
  <c r="AF191" i="2"/>
  <c r="AL190" i="2"/>
  <c r="AF190" i="2"/>
  <c r="AF189" i="2"/>
  <c r="AL186" i="2"/>
  <c r="AF185" i="2"/>
  <c r="AI182" i="2"/>
  <c r="M182" i="2"/>
  <c r="I85" i="8" s="1"/>
  <c r="J182" i="2"/>
  <c r="D85" i="8" s="1"/>
  <c r="AL181" i="2"/>
  <c r="AC181" i="2"/>
  <c r="AF181" i="2" s="1"/>
  <c r="AL180" i="2"/>
  <c r="AF180" i="2"/>
  <c r="AL178" i="2"/>
  <c r="AF178" i="2"/>
  <c r="AL177" i="2"/>
  <c r="AF177" i="2"/>
  <c r="AL175" i="2"/>
  <c r="AF175" i="2"/>
  <c r="AF174" i="2"/>
  <c r="AI170" i="2"/>
  <c r="AF172" i="2"/>
  <c r="AL168" i="2"/>
  <c r="AC168" i="2"/>
  <c r="AF168" i="2" s="1"/>
  <c r="AL167" i="2"/>
  <c r="AC167" i="2"/>
  <c r="AF167" i="2" s="1"/>
  <c r="AC166" i="2"/>
  <c r="AL158" i="2"/>
  <c r="AC158" i="2"/>
  <c r="AF158" i="2" s="1"/>
  <c r="AL157" i="2"/>
  <c r="AC157" i="2"/>
  <c r="AF157" i="2" s="1"/>
  <c r="AL156" i="2"/>
  <c r="AC156" i="2"/>
  <c r="AF156" i="2" s="1"/>
  <c r="AF155" i="2"/>
  <c r="AL151" i="2"/>
  <c r="AC151" i="2"/>
  <c r="AF151" i="2" s="1"/>
  <c r="AL150" i="2"/>
  <c r="AC150" i="2"/>
  <c r="AF150" i="2" s="1"/>
  <c r="AL149" i="2"/>
  <c r="AF149" i="2"/>
  <c r="AL147" i="2"/>
  <c r="AF147" i="2"/>
  <c r="AL146" i="2"/>
  <c r="AF146" i="2"/>
  <c r="AL144" i="2"/>
  <c r="AC144" i="2"/>
  <c r="AF144" i="2" s="1"/>
  <c r="AL143" i="2"/>
  <c r="AF143" i="2"/>
  <c r="AL142" i="2"/>
  <c r="AF142" i="2"/>
  <c r="AF141" i="2"/>
  <c r="AL139" i="2"/>
  <c r="AF139" i="2"/>
  <c r="AL137" i="2"/>
  <c r="AC137" i="2"/>
  <c r="AF137" i="2" s="1"/>
  <c r="AL134" i="2"/>
  <c r="AF134" i="2"/>
  <c r="AL133" i="2"/>
  <c r="AC133" i="2"/>
  <c r="AF133" i="2" s="1"/>
  <c r="AL132" i="2"/>
  <c r="AL129" i="2"/>
  <c r="AC129" i="2"/>
  <c r="AF129" i="2" s="1"/>
  <c r="AL127" i="2"/>
  <c r="AC127" i="2"/>
  <c r="AL125" i="2"/>
  <c r="AL124" i="2" s="1"/>
  <c r="Q71" i="8" s="1"/>
  <c r="AC125" i="2"/>
  <c r="AC124" i="2" s="1"/>
  <c r="M124" i="2"/>
  <c r="I71" i="8" s="1"/>
  <c r="J124" i="2"/>
  <c r="D71" i="8" s="1"/>
  <c r="M122" i="2"/>
  <c r="I70" i="8" s="1"/>
  <c r="J122" i="2"/>
  <c r="D70" i="8" s="1"/>
  <c r="AI120" i="2"/>
  <c r="AC121" i="2"/>
  <c r="AC120" i="2" s="1"/>
  <c r="M120" i="2"/>
  <c r="J120" i="2"/>
  <c r="AL108" i="2"/>
  <c r="AC108" i="2"/>
  <c r="AF108" i="2" s="1"/>
  <c r="AC107" i="2"/>
  <c r="AL104" i="2"/>
  <c r="AC104" i="2"/>
  <c r="AF104" i="2" s="1"/>
  <c r="AL103" i="2"/>
  <c r="AL101" i="2" s="1"/>
  <c r="AC103" i="2"/>
  <c r="AF103" i="2" s="1"/>
  <c r="AF102" i="2"/>
  <c r="P100" i="2"/>
  <c r="AL93" i="2"/>
  <c r="AL90" i="2"/>
  <c r="AC90" i="2"/>
  <c r="AF90" i="2" s="1"/>
  <c r="AL89" i="2"/>
  <c r="AF89" i="2"/>
  <c r="AL88" i="2"/>
  <c r="AF88" i="2"/>
  <c r="AL87" i="2"/>
  <c r="AC87" i="2"/>
  <c r="AF87" i="2" s="1"/>
  <c r="AL86" i="2"/>
  <c r="AF86" i="2"/>
  <c r="AL81" i="2"/>
  <c r="AC81" i="2"/>
  <c r="AF81" i="2" s="1"/>
  <c r="AL79" i="2"/>
  <c r="AC79" i="2"/>
  <c r="AF79" i="2" s="1"/>
  <c r="AL76" i="2"/>
  <c r="AC76" i="2"/>
  <c r="AF76" i="2" s="1"/>
  <c r="AL75" i="2"/>
  <c r="AC75" i="2"/>
  <c r="AF75" i="2" s="1"/>
  <c r="AL72" i="2"/>
  <c r="AF72" i="2"/>
  <c r="AL71" i="2"/>
  <c r="AF71" i="2"/>
  <c r="AL70" i="2"/>
  <c r="AC70" i="2"/>
  <c r="AF70" i="2" s="1"/>
  <c r="AL69" i="2"/>
  <c r="AC69" i="2"/>
  <c r="AF69" i="2" s="1"/>
  <c r="AL66" i="2"/>
  <c r="AC66" i="2"/>
  <c r="AF66" i="2" s="1"/>
  <c r="AL62" i="2"/>
  <c r="AC62" i="2"/>
  <c r="AF62" i="2" s="1"/>
  <c r="AL61" i="2"/>
  <c r="AC61" i="2"/>
  <c r="AF61" i="2" s="1"/>
  <c r="AL58" i="2"/>
  <c r="AC58" i="2"/>
  <c r="AF58" i="2" s="1"/>
  <c r="AC57" i="2"/>
  <c r="AC55" i="2"/>
  <c r="AF55" i="2" s="1"/>
  <c r="AF52" i="2" s="1"/>
  <c r="N56" i="8"/>
  <c r="G56" i="8" s="1"/>
  <c r="AL47" i="2"/>
  <c r="AC47" i="2"/>
  <c r="AF47" i="2" s="1"/>
  <c r="AL46" i="2"/>
  <c r="AC46" i="2"/>
  <c r="AF46" i="2" s="1"/>
  <c r="AL45" i="2"/>
  <c r="AC45" i="2"/>
  <c r="AF45" i="2" s="1"/>
  <c r="AL44" i="2"/>
  <c r="AL41" i="2"/>
  <c r="AC41" i="2"/>
  <c r="AF41" i="2" s="1"/>
  <c r="AF40" i="2"/>
  <c r="AL36" i="2"/>
  <c r="AC36" i="2"/>
  <c r="AF36" i="2" s="1"/>
  <c r="AF35" i="2"/>
  <c r="AF31" i="2"/>
  <c r="AL28" i="2"/>
  <c r="AF28" i="2"/>
  <c r="AL27" i="2"/>
  <c r="AF27" i="2"/>
  <c r="AL26" i="2"/>
  <c r="AF26" i="2"/>
  <c r="AL25" i="2"/>
  <c r="AC25" i="2"/>
  <c r="AF25" i="2" s="1"/>
  <c r="AL24" i="2"/>
  <c r="AF24" i="2"/>
  <c r="AL23" i="2"/>
  <c r="AF23" i="2"/>
  <c r="AL22" i="2"/>
  <c r="AF22" i="2"/>
  <c r="AL20" i="2"/>
  <c r="AF20" i="2"/>
  <c r="AL19" i="2"/>
  <c r="AF19" i="2"/>
  <c r="AL18" i="2"/>
  <c r="AC18" i="2"/>
  <c r="AF18" i="2" s="1"/>
  <c r="AC17" i="2"/>
  <c r="AL14" i="2"/>
  <c r="AC14" i="2"/>
  <c r="M12" i="2"/>
  <c r="AF13" i="2"/>
  <c r="AL11" i="2"/>
  <c r="AC11" i="2"/>
  <c r="AF11" i="2" s="1"/>
  <c r="AL10" i="2"/>
  <c r="AF10" i="2"/>
  <c r="AL9" i="2"/>
  <c r="AC9" i="2"/>
  <c r="AF9" i="2" s="1"/>
  <c r="AL8" i="2"/>
  <c r="AC8" i="2"/>
  <c r="AI211" i="1"/>
  <c r="AL211" i="1" s="1"/>
  <c r="AF211" i="1"/>
  <c r="AF209" i="1" s="1"/>
  <c r="M211" i="1"/>
  <c r="J211" i="1"/>
  <c r="AI210" i="1"/>
  <c r="M210" i="1"/>
  <c r="J210" i="1"/>
  <c r="AI208" i="1"/>
  <c r="AL208" i="1" s="1"/>
  <c r="AC208" i="1"/>
  <c r="M208" i="1"/>
  <c r="J208" i="1"/>
  <c r="AI207" i="1"/>
  <c r="AC207" i="1"/>
  <c r="AF207" i="1" s="1"/>
  <c r="M207" i="1"/>
  <c r="J207" i="1"/>
  <c r="AI205" i="1"/>
  <c r="AL205" i="1" s="1"/>
  <c r="AC205" i="1"/>
  <c r="AF205" i="1" s="1"/>
  <c r="M205" i="1"/>
  <c r="J205" i="1"/>
  <c r="AI204" i="1"/>
  <c r="AC204" i="1"/>
  <c r="AF204" i="1" s="1"/>
  <c r="M204" i="1"/>
  <c r="J204" i="1"/>
  <c r="AI201" i="1"/>
  <c r="AL201" i="1" s="1"/>
  <c r="AC201" i="1"/>
  <c r="AF201" i="1" s="1"/>
  <c r="M201" i="1"/>
  <c r="J201" i="1"/>
  <c r="AI200" i="1"/>
  <c r="AL200" i="1" s="1"/>
  <c r="M200" i="1"/>
  <c r="J200" i="1"/>
  <c r="AI198" i="1"/>
  <c r="AL198" i="1" s="1"/>
  <c r="M198" i="1"/>
  <c r="J198" i="1"/>
  <c r="AI197" i="1"/>
  <c r="AL197" i="1" s="1"/>
  <c r="AC197" i="1"/>
  <c r="AF197" i="1" s="1"/>
  <c r="M197" i="1"/>
  <c r="J197" i="1"/>
  <c r="AI196" i="1"/>
  <c r="AL196" i="1" s="1"/>
  <c r="AC196" i="1"/>
  <c r="AF196" i="1" s="1"/>
  <c r="M196" i="1"/>
  <c r="J196" i="1"/>
  <c r="AC193" i="1"/>
  <c r="M193" i="1"/>
  <c r="J193" i="1"/>
  <c r="AI191" i="1"/>
  <c r="AL191" i="1" s="1"/>
  <c r="AF191" i="1"/>
  <c r="M191" i="1"/>
  <c r="J191" i="1"/>
  <c r="AI190" i="1"/>
  <c r="AL190" i="1" s="1"/>
  <c r="AF190" i="1"/>
  <c r="M190" i="1"/>
  <c r="J190" i="1"/>
  <c r="AI189" i="1"/>
  <c r="AL189" i="1" s="1"/>
  <c r="AF189" i="1"/>
  <c r="M189" i="1"/>
  <c r="J189" i="1"/>
  <c r="AI187" i="1"/>
  <c r="AL187" i="1" s="1"/>
  <c r="M187" i="1"/>
  <c r="J187" i="1"/>
  <c r="AI185" i="1"/>
  <c r="AI184" i="1" s="1"/>
  <c r="AC185" i="1"/>
  <c r="AC184" i="1" s="1"/>
  <c r="M185" i="1"/>
  <c r="M184" i="1" s="1"/>
  <c r="I38" i="8" s="1"/>
  <c r="J185" i="1"/>
  <c r="J184" i="1" s="1"/>
  <c r="D38" i="8" s="1"/>
  <c r="AI183" i="1"/>
  <c r="AL183" i="1" s="1"/>
  <c r="AC183" i="1"/>
  <c r="AF183" i="1" s="1"/>
  <c r="M183" i="1"/>
  <c r="AI182" i="1"/>
  <c r="AL182" i="1" s="1"/>
  <c r="AC182" i="1"/>
  <c r="AF182" i="1" s="1"/>
  <c r="M182" i="1"/>
  <c r="J182" i="1"/>
  <c r="AI181" i="1"/>
  <c r="AL181" i="1" s="1"/>
  <c r="AC181" i="1"/>
  <c r="AF181" i="1" s="1"/>
  <c r="M181" i="1"/>
  <c r="J181" i="1"/>
  <c r="AI180" i="1"/>
  <c r="AC180" i="1"/>
  <c r="AF180" i="1" s="1"/>
  <c r="J180" i="1"/>
  <c r="AI177" i="1"/>
  <c r="AF177" i="1"/>
  <c r="M177" i="1"/>
  <c r="J177" i="1"/>
  <c r="AI176" i="1"/>
  <c r="AL176" i="1" s="1"/>
  <c r="M176" i="1"/>
  <c r="M172" i="1"/>
  <c r="AL173" i="1"/>
  <c r="AI165" i="1"/>
  <c r="AL165" i="1" s="1"/>
  <c r="AC165" i="1"/>
  <c r="AF165" i="1" s="1"/>
  <c r="M165" i="1"/>
  <c r="J165" i="1"/>
  <c r="AI164" i="1"/>
  <c r="AL164" i="1" s="1"/>
  <c r="AC164" i="1"/>
  <c r="AF164" i="1" s="1"/>
  <c r="M164" i="1"/>
  <c r="J164" i="1"/>
  <c r="AI163" i="1"/>
  <c r="AL163" i="1" s="1"/>
  <c r="AC163" i="1"/>
  <c r="AF163" i="1" s="1"/>
  <c r="M163" i="1"/>
  <c r="J163" i="1"/>
  <c r="AI162" i="1"/>
  <c r="AL162" i="1" s="1"/>
  <c r="AF162" i="1"/>
  <c r="M162" i="1"/>
  <c r="J162" i="1"/>
  <c r="AI161" i="1"/>
  <c r="AL161" i="1" s="1"/>
  <c r="M161" i="1"/>
  <c r="J161" i="1"/>
  <c r="AI158" i="1"/>
  <c r="AL158" i="1" s="1"/>
  <c r="AC158" i="1"/>
  <c r="AF158" i="1" s="1"/>
  <c r="M158" i="1"/>
  <c r="J158" i="1"/>
  <c r="AI155" i="1"/>
  <c r="AL155" i="1" s="1"/>
  <c r="AF155" i="1"/>
  <c r="M155" i="1"/>
  <c r="J155" i="1"/>
  <c r="AC151" i="1"/>
  <c r="AF151" i="1" s="1"/>
  <c r="F151" i="1"/>
  <c r="AI150" i="1"/>
  <c r="AL150" i="1" s="1"/>
  <c r="AF150" i="1"/>
  <c r="M150" i="1"/>
  <c r="J150" i="1"/>
  <c r="AI149" i="1"/>
  <c r="AC149" i="1"/>
  <c r="AF149" i="1" s="1"/>
  <c r="M149" i="1"/>
  <c r="J149" i="1"/>
  <c r="AI146" i="1"/>
  <c r="AL146" i="1" s="1"/>
  <c r="AC146" i="1"/>
  <c r="AF146" i="1" s="1"/>
  <c r="M146" i="1"/>
  <c r="J146" i="1"/>
  <c r="AI145" i="1"/>
  <c r="AL145" i="1" s="1"/>
  <c r="AC145" i="1"/>
  <c r="AF145" i="1" s="1"/>
  <c r="M145" i="1"/>
  <c r="J145" i="1"/>
  <c r="AI144" i="1"/>
  <c r="AC144" i="1"/>
  <c r="M144" i="1"/>
  <c r="J144" i="1"/>
  <c r="AI142" i="1"/>
  <c r="AL142" i="1" s="1"/>
  <c r="AC142" i="1"/>
  <c r="AF142" i="1" s="1"/>
  <c r="M142" i="1"/>
  <c r="J142" i="1"/>
  <c r="AI141" i="1"/>
  <c r="AL141" i="1" s="1"/>
  <c r="AF141" i="1"/>
  <c r="M141" i="1"/>
  <c r="J141" i="1"/>
  <c r="AI139" i="1"/>
  <c r="AL139" i="1" s="1"/>
  <c r="AC139" i="1"/>
  <c r="AF139" i="1" s="1"/>
  <c r="M139" i="1"/>
  <c r="J139" i="1"/>
  <c r="AI137" i="1"/>
  <c r="AL137" i="1" s="1"/>
  <c r="AF137" i="1"/>
  <c r="M137" i="1"/>
  <c r="J137" i="1"/>
  <c r="AI135" i="1"/>
  <c r="AL135" i="1" s="1"/>
  <c r="AC135" i="1"/>
  <c r="AF135" i="1" s="1"/>
  <c r="M135" i="1"/>
  <c r="J135" i="1"/>
  <c r="AI134" i="1"/>
  <c r="AC134" i="1"/>
  <c r="AF134" i="1" s="1"/>
  <c r="M134" i="1"/>
  <c r="J134" i="1"/>
  <c r="AI133" i="1"/>
  <c r="AC133" i="1"/>
  <c r="AF133" i="1" s="1"/>
  <c r="M133" i="1"/>
  <c r="J133" i="1"/>
  <c r="AL132" i="1"/>
  <c r="AF132" i="1"/>
  <c r="M132" i="1"/>
  <c r="J132" i="1"/>
  <c r="AI127" i="1"/>
  <c r="AC127" i="1"/>
  <c r="M127" i="1"/>
  <c r="J127" i="1"/>
  <c r="M124" i="1"/>
  <c r="J124" i="1"/>
  <c r="AC123" i="1"/>
  <c r="AF123" i="1" s="1"/>
  <c r="AI123" i="1"/>
  <c r="AL123" i="1" s="1"/>
  <c r="M123" i="1"/>
  <c r="J123" i="1"/>
  <c r="AI122" i="1"/>
  <c r="AL122" i="1" s="1"/>
  <c r="AC122" i="1"/>
  <c r="AF122" i="1" s="1"/>
  <c r="M122" i="1"/>
  <c r="J122" i="1"/>
  <c r="AI121" i="1"/>
  <c r="AL121" i="1" s="1"/>
  <c r="AC121" i="1"/>
  <c r="AF121" i="1" s="1"/>
  <c r="M121" i="1"/>
  <c r="J121" i="1"/>
  <c r="AF120" i="1"/>
  <c r="M120" i="1"/>
  <c r="J120" i="1"/>
  <c r="M119" i="1"/>
  <c r="J119" i="1"/>
  <c r="AI118" i="1"/>
  <c r="AL118" i="1" s="1"/>
  <c r="AC118" i="1"/>
  <c r="AF118" i="1" s="1"/>
  <c r="M118" i="1"/>
  <c r="J118" i="1"/>
  <c r="AI117" i="1"/>
  <c r="AL117" i="1" s="1"/>
  <c r="AC117" i="1"/>
  <c r="AF117" i="1" s="1"/>
  <c r="M117" i="1"/>
  <c r="J117" i="1"/>
  <c r="AC116" i="1"/>
  <c r="AF116" i="1" s="1"/>
  <c r="M116" i="1"/>
  <c r="J116" i="1"/>
  <c r="M115" i="1"/>
  <c r="J115" i="1"/>
  <c r="AF114" i="1"/>
  <c r="M114" i="1"/>
  <c r="J114" i="1"/>
  <c r="AI113" i="1"/>
  <c r="AL113" i="1" s="1"/>
  <c r="AC113" i="1"/>
  <c r="AF113" i="1" s="1"/>
  <c r="M113" i="1"/>
  <c r="J113" i="1"/>
  <c r="AC112" i="1"/>
  <c r="AF112" i="1" s="1"/>
  <c r="F112" i="1"/>
  <c r="F111" i="1"/>
  <c r="AF110" i="1"/>
  <c r="F110" i="1"/>
  <c r="F109" i="1"/>
  <c r="AF108" i="1"/>
  <c r="F108" i="1"/>
  <c r="AI107" i="1"/>
  <c r="AL107" i="1" s="1"/>
  <c r="AC107" i="1"/>
  <c r="AF107" i="1" s="1"/>
  <c r="M107" i="1"/>
  <c r="J107" i="1"/>
  <c r="AI106" i="1"/>
  <c r="AC106" i="1"/>
  <c r="J106" i="1"/>
  <c r="AL103" i="1"/>
  <c r="M103" i="1"/>
  <c r="M102" i="1" s="1"/>
  <c r="J103" i="1"/>
  <c r="J102" i="1" s="1"/>
  <c r="D23" i="8" s="1"/>
  <c r="AI101" i="1"/>
  <c r="AI99" i="1" s="1"/>
  <c r="M101" i="1"/>
  <c r="M100" i="1"/>
  <c r="J100" i="1"/>
  <c r="AI97" i="1"/>
  <c r="AL97" i="1" s="1"/>
  <c r="AC97" i="1"/>
  <c r="AF97" i="1" s="1"/>
  <c r="M97" i="1"/>
  <c r="J97" i="1"/>
  <c r="AI96" i="1"/>
  <c r="AL96" i="1" s="1"/>
  <c r="AC96" i="1"/>
  <c r="AF96" i="1" s="1"/>
  <c r="M96" i="1"/>
  <c r="J96" i="1"/>
  <c r="AI95" i="1"/>
  <c r="AC95" i="1"/>
  <c r="AF95" i="1" s="1"/>
  <c r="J95" i="1"/>
  <c r="AI94" i="1"/>
  <c r="AL94" i="1" s="1"/>
  <c r="AF94" i="1"/>
  <c r="M94" i="1"/>
  <c r="J94" i="1"/>
  <c r="M93" i="1"/>
  <c r="J93" i="1"/>
  <c r="AI89" i="1"/>
  <c r="AL89" i="1" s="1"/>
  <c r="AC89" i="1"/>
  <c r="AF89" i="1" s="1"/>
  <c r="M89" i="1"/>
  <c r="J89" i="1"/>
  <c r="AI86" i="1"/>
  <c r="AL86" i="1" s="1"/>
  <c r="AC86" i="1"/>
  <c r="AF86" i="1" s="1"/>
  <c r="M86" i="1"/>
  <c r="J86" i="1"/>
  <c r="AI84" i="1"/>
  <c r="AL84" i="1" s="1"/>
  <c r="AC84" i="1"/>
  <c r="AF84" i="1" s="1"/>
  <c r="M84" i="1"/>
  <c r="J84" i="1"/>
  <c r="AI83" i="1"/>
  <c r="AL83" i="1" s="1"/>
  <c r="AC83" i="1"/>
  <c r="AF83" i="1" s="1"/>
  <c r="M83" i="1"/>
  <c r="J83" i="1"/>
  <c r="AI82" i="1"/>
  <c r="AC82" i="1"/>
  <c r="AF82" i="1" s="1"/>
  <c r="M82" i="1"/>
  <c r="J82" i="1"/>
  <c r="M79" i="1"/>
  <c r="J79" i="1"/>
  <c r="AI73" i="1"/>
  <c r="AL73" i="1" s="1"/>
  <c r="AC73" i="1"/>
  <c r="AF73" i="1" s="1"/>
  <c r="M73" i="1"/>
  <c r="J73" i="1"/>
  <c r="AI71" i="1"/>
  <c r="AL71" i="1" s="1"/>
  <c r="AC71" i="1"/>
  <c r="AF71" i="1" s="1"/>
  <c r="M71" i="1"/>
  <c r="J71" i="1"/>
  <c r="AI70" i="1"/>
  <c r="AL70" i="1" s="1"/>
  <c r="AC70" i="1"/>
  <c r="AF70" i="1" s="1"/>
  <c r="M70" i="1"/>
  <c r="J70" i="1"/>
  <c r="AI69" i="1"/>
  <c r="AL69" i="1" s="1"/>
  <c r="AC69" i="1"/>
  <c r="AF69" i="1" s="1"/>
  <c r="M69" i="1"/>
  <c r="J69" i="1"/>
  <c r="M68" i="1"/>
  <c r="J68" i="1"/>
  <c r="M67" i="1"/>
  <c r="J67" i="1"/>
  <c r="M66" i="1"/>
  <c r="J66" i="1"/>
  <c r="AI62" i="1"/>
  <c r="AL62" i="1" s="1"/>
  <c r="AC62" i="1"/>
  <c r="AF62" i="1" s="1"/>
  <c r="J62" i="1"/>
  <c r="AI61" i="1"/>
  <c r="AL61" i="1" s="1"/>
  <c r="AC61" i="1"/>
  <c r="AF61" i="1" s="1"/>
  <c r="M61" i="1"/>
  <c r="J61" i="1"/>
  <c r="AI60" i="1"/>
  <c r="AL60" i="1" s="1"/>
  <c r="AC60" i="1"/>
  <c r="AF60" i="1" s="1"/>
  <c r="M60" i="1"/>
  <c r="J60" i="1"/>
  <c r="AI59" i="1"/>
  <c r="AC59" i="1"/>
  <c r="AF59" i="1" s="1"/>
  <c r="M59" i="1"/>
  <c r="J59" i="1"/>
  <c r="AI56" i="1"/>
  <c r="AL56" i="1" s="1"/>
  <c r="AC56" i="1"/>
  <c r="AF56" i="1" s="1"/>
  <c r="M56" i="1"/>
  <c r="J56" i="1"/>
  <c r="AI55" i="1"/>
  <c r="AF55" i="1"/>
  <c r="M55" i="1"/>
  <c r="J55" i="1"/>
  <c r="AI51" i="1"/>
  <c r="AC51" i="1"/>
  <c r="AF51" i="1" s="1"/>
  <c r="M51" i="1"/>
  <c r="J51" i="1"/>
  <c r="AI47" i="1"/>
  <c r="AL47" i="1" s="1"/>
  <c r="AC47" i="1"/>
  <c r="AF47" i="1" s="1"/>
  <c r="M47" i="1"/>
  <c r="J47" i="1"/>
  <c r="AI45" i="1"/>
  <c r="AC45" i="1"/>
  <c r="AF45" i="1" s="1"/>
  <c r="M45" i="1"/>
  <c r="J45" i="1"/>
  <c r="AL43" i="1"/>
  <c r="AF43" i="1"/>
  <c r="M43" i="1"/>
  <c r="J43" i="1"/>
  <c r="AI42" i="1"/>
  <c r="AL42" i="1" s="1"/>
  <c r="AC42" i="1"/>
  <c r="AF42" i="1" s="1"/>
  <c r="M42" i="1"/>
  <c r="J42" i="1"/>
  <c r="AI41" i="1"/>
  <c r="AL41" i="1" s="1"/>
  <c r="AF41" i="1"/>
  <c r="M41" i="1"/>
  <c r="J41" i="1"/>
  <c r="AI40" i="1"/>
  <c r="AC40" i="1"/>
  <c r="M40" i="1"/>
  <c r="J40" i="1"/>
  <c r="AI38" i="1"/>
  <c r="AL38" i="1" s="1"/>
  <c r="AC38" i="1"/>
  <c r="M38" i="1"/>
  <c r="J38" i="1"/>
  <c r="AI37" i="1"/>
  <c r="AF37" i="1"/>
  <c r="M37" i="1"/>
  <c r="J37" i="1"/>
  <c r="AI35" i="1"/>
  <c r="AL35" i="1" s="1"/>
  <c r="AC35" i="1"/>
  <c r="M35" i="1"/>
  <c r="J35" i="1"/>
  <c r="AI34" i="1"/>
  <c r="AL34" i="1" s="1"/>
  <c r="AF34" i="1"/>
  <c r="M34" i="1"/>
  <c r="AI33" i="1"/>
  <c r="M33" i="1"/>
  <c r="J33" i="1"/>
  <c r="AI30" i="1"/>
  <c r="AL30" i="1" s="1"/>
  <c r="AC30" i="1"/>
  <c r="AF30" i="1" s="1"/>
  <c r="M30" i="1"/>
  <c r="J30" i="1"/>
  <c r="AI29" i="1"/>
  <c r="AL29" i="1" s="1"/>
  <c r="AC29" i="1"/>
  <c r="AF29" i="1" s="1"/>
  <c r="M29" i="1"/>
  <c r="J29" i="1"/>
  <c r="AI28" i="1"/>
  <c r="AF28" i="1"/>
  <c r="M28" i="1"/>
  <c r="J28" i="1"/>
  <c r="AL25" i="1"/>
  <c r="AL23" i="1" s="1"/>
  <c r="Q9" i="8" s="1"/>
  <c r="M25" i="1"/>
  <c r="J25" i="1"/>
  <c r="AC24" i="1"/>
  <c r="AF24" i="1" s="1"/>
  <c r="M24" i="1"/>
  <c r="J24" i="1"/>
  <c r="AI22" i="1"/>
  <c r="AL22" i="1" s="1"/>
  <c r="AF22" i="1"/>
  <c r="M22" i="1"/>
  <c r="J22" i="1"/>
  <c r="AI21" i="1"/>
  <c r="AL21" i="1" s="1"/>
  <c r="AC21" i="1"/>
  <c r="AF21" i="1" s="1"/>
  <c r="M21" i="1"/>
  <c r="J21" i="1"/>
  <c r="AI20" i="1"/>
  <c r="AL20" i="1" s="1"/>
  <c r="AC20" i="1"/>
  <c r="AF20" i="1" s="1"/>
  <c r="M20" i="1"/>
  <c r="J20" i="1"/>
  <c r="AI19" i="1"/>
  <c r="AF19" i="1"/>
  <c r="M19" i="1"/>
  <c r="J19" i="1"/>
  <c r="AL18" i="1"/>
  <c r="AC18" i="1"/>
  <c r="AF18" i="1" s="1"/>
  <c r="M18" i="1"/>
  <c r="J18" i="1"/>
  <c r="J17" i="1"/>
  <c r="AI15" i="1"/>
  <c r="AC15" i="1"/>
  <c r="J15" i="1"/>
  <c r="AL14" i="1"/>
  <c r="AC14" i="1"/>
  <c r="AF14" i="1" s="1"/>
  <c r="AF12" i="1" s="1"/>
  <c r="J14" i="1"/>
  <c r="AI9" i="1"/>
  <c r="AI5" i="1" s="1"/>
  <c r="M9" i="1"/>
  <c r="J9" i="1"/>
  <c r="AL8" i="1"/>
  <c r="M8" i="1"/>
  <c r="M5" i="1" s="1"/>
  <c r="J8" i="1"/>
  <c r="AF16" i="1" l="1"/>
  <c r="AF92" i="1"/>
  <c r="AK4" i="2"/>
  <c r="AN15" i="2"/>
  <c r="O194" i="8"/>
  <c r="O161" i="8"/>
  <c r="H161" i="8" s="1"/>
  <c r="AL134" i="1"/>
  <c r="AI193" i="2"/>
  <c r="J209" i="1"/>
  <c r="D45" i="8" s="1"/>
  <c r="AL77" i="2"/>
  <c r="Q62" i="8" s="1"/>
  <c r="AL51" i="1"/>
  <c r="AI77" i="1"/>
  <c r="N18" i="8" s="1"/>
  <c r="G18" i="8" s="1"/>
  <c r="AL194" i="2"/>
  <c r="AL193" i="2" s="1"/>
  <c r="O67" i="8"/>
  <c r="O92" i="8"/>
  <c r="O116" i="8"/>
  <c r="H116" i="8" s="1"/>
  <c r="O184" i="8"/>
  <c r="H184" i="8" s="1"/>
  <c r="O166" i="8"/>
  <c r="H166" i="8" s="1"/>
  <c r="AI5" i="6"/>
  <c r="AL33" i="6"/>
  <c r="AL31" i="6" s="1"/>
  <c r="Q204" i="8" s="1"/>
  <c r="AM3" i="5"/>
  <c r="R161" i="8" s="1"/>
  <c r="U8" i="7" s="1"/>
  <c r="R191" i="8"/>
  <c r="N161" i="8"/>
  <c r="G161" i="8" s="1"/>
  <c r="O178" i="8"/>
  <c r="H178" i="8" s="1"/>
  <c r="AI44" i="1"/>
  <c r="AL19" i="1"/>
  <c r="AL16" i="1" s="1"/>
  <c r="Q8" i="8" s="1"/>
  <c r="AI16" i="1"/>
  <c r="N8" i="8" s="1"/>
  <c r="G8" i="8" s="1"/>
  <c r="J5" i="6"/>
  <c r="R194" i="8"/>
  <c r="M203" i="2"/>
  <c r="I91" i="8" s="1"/>
  <c r="J14" i="6"/>
  <c r="M14" i="6"/>
  <c r="N191" i="8"/>
  <c r="G191" i="8" s="1"/>
  <c r="G194" i="8"/>
  <c r="AI12" i="2"/>
  <c r="N49" i="8" s="1"/>
  <c r="G49" i="8" s="1"/>
  <c r="AF173" i="2"/>
  <c r="AF131" i="2"/>
  <c r="G110" i="8"/>
  <c r="R7" i="7"/>
  <c r="M110" i="1"/>
  <c r="N110" i="1"/>
  <c r="K110" i="1"/>
  <c r="N112" i="1"/>
  <c r="K112" i="1"/>
  <c r="R6" i="7"/>
  <c r="N151" i="1"/>
  <c r="N148" i="1" s="1"/>
  <c r="K151" i="1"/>
  <c r="K148" i="1" s="1"/>
  <c r="K130" i="1" s="1"/>
  <c r="AL141" i="2"/>
  <c r="AL140" i="2" s="1"/>
  <c r="Q75" i="8" s="1"/>
  <c r="AI140" i="2"/>
  <c r="N75" i="8" s="1"/>
  <c r="G75" i="8" s="1"/>
  <c r="M198" i="2"/>
  <c r="I90" i="8" s="1"/>
  <c r="K111" i="1"/>
  <c r="N111" i="1"/>
  <c r="AL201" i="2"/>
  <c r="AL198" i="2" s="1"/>
  <c r="Q90" i="8" s="1"/>
  <c r="AI198" i="2"/>
  <c r="N90" i="8" s="1"/>
  <c r="G90" i="8" s="1"/>
  <c r="R8" i="7"/>
  <c r="K108" i="1"/>
  <c r="N108" i="1"/>
  <c r="AI184" i="2"/>
  <c r="N86" i="8" s="1"/>
  <c r="G86" i="8" s="1"/>
  <c r="AF187" i="2"/>
  <c r="AL189" i="2"/>
  <c r="AL187" i="2" s="1"/>
  <c r="Q87" i="8" s="1"/>
  <c r="AI187" i="2"/>
  <c r="N87" i="8" s="1"/>
  <c r="G87" i="8" s="1"/>
  <c r="N109" i="1"/>
  <c r="K109" i="1"/>
  <c r="J23" i="1"/>
  <c r="D9" i="8" s="1"/>
  <c r="AM100" i="2"/>
  <c r="AI52" i="1"/>
  <c r="J5" i="1"/>
  <c r="AF44" i="1"/>
  <c r="AF203" i="1"/>
  <c r="AL204" i="1"/>
  <c r="AL203" i="1" s="1"/>
  <c r="Q43" i="8" s="1"/>
  <c r="AI203" i="1"/>
  <c r="J92" i="1"/>
  <c r="D21" i="8" s="1"/>
  <c r="AI32" i="1"/>
  <c r="AL127" i="1"/>
  <c r="AL125" i="1" s="1"/>
  <c r="AI125" i="1"/>
  <c r="AL133" i="1"/>
  <c r="AL95" i="1"/>
  <c r="AL92" i="1" s="1"/>
  <c r="Q21" i="8" s="1"/>
  <c r="AL155" i="2"/>
  <c r="AL154" i="2" s="1"/>
  <c r="Q78" i="8" s="1"/>
  <c r="AI154" i="2"/>
  <c r="N78" i="8" s="1"/>
  <c r="G78" i="8" s="1"/>
  <c r="N93" i="8"/>
  <c r="G93" i="8" s="1"/>
  <c r="M5" i="2"/>
  <c r="I48" i="8" s="1"/>
  <c r="M34" i="2"/>
  <c r="I53" i="8" s="1"/>
  <c r="AF107" i="2"/>
  <c r="AF106" i="2" s="1"/>
  <c r="AC106" i="2"/>
  <c r="AF8" i="2"/>
  <c r="AF5" i="2" s="1"/>
  <c r="AC5" i="2"/>
  <c r="AF14" i="2"/>
  <c r="AF12" i="2" s="1"/>
  <c r="AL174" i="2"/>
  <c r="AL173" i="2" s="1"/>
  <c r="Q83" i="8" s="1"/>
  <c r="AI173" i="2"/>
  <c r="N83" i="8" s="1"/>
  <c r="G83" i="8" s="1"/>
  <c r="AL17" i="2"/>
  <c r="AL15" i="2" s="1"/>
  <c r="Q50" i="8" s="1"/>
  <c r="AI15" i="2"/>
  <c r="AF17" i="2"/>
  <c r="AF15" i="2" s="1"/>
  <c r="AC15" i="2"/>
  <c r="AC12" i="2" s="1"/>
  <c r="M39" i="1"/>
  <c r="M44" i="1"/>
  <c r="I15" i="8" s="1"/>
  <c r="J44" i="1"/>
  <c r="D15" i="8" s="1"/>
  <c r="M99" i="1"/>
  <c r="I22" i="8" s="1"/>
  <c r="J16" i="1"/>
  <c r="D8" i="8" s="1"/>
  <c r="AI26" i="1"/>
  <c r="N10" i="8" s="1"/>
  <c r="G10" i="8" s="1"/>
  <c r="J57" i="1"/>
  <c r="D17" i="8" s="1"/>
  <c r="AI36" i="1"/>
  <c r="N13" i="8" s="1"/>
  <c r="G13" i="8" s="1"/>
  <c r="AL45" i="1"/>
  <c r="AL44" i="1" s="1"/>
  <c r="Q15" i="8" s="1"/>
  <c r="J32" i="1"/>
  <c r="M32" i="1"/>
  <c r="I12" i="8" s="1"/>
  <c r="AF57" i="1"/>
  <c r="M108" i="1"/>
  <c r="AI108" i="1"/>
  <c r="AL108" i="1" s="1"/>
  <c r="AI131" i="1"/>
  <c r="AL140" i="1"/>
  <c r="Q28" i="8" s="1"/>
  <c r="AL106" i="1"/>
  <c r="AF106" i="1"/>
  <c r="AF35" i="1"/>
  <c r="AC32" i="1"/>
  <c r="J111" i="1"/>
  <c r="AI111" i="1"/>
  <c r="AL111" i="1" s="1"/>
  <c r="M109" i="1"/>
  <c r="AI109" i="1"/>
  <c r="AL109" i="1" s="1"/>
  <c r="AI110" i="1"/>
  <c r="AL110" i="1" s="1"/>
  <c r="AL59" i="1"/>
  <c r="AL57" i="1" s="1"/>
  <c r="Q17" i="8" s="1"/>
  <c r="AI57" i="1"/>
  <c r="N17" i="8" s="1"/>
  <c r="G17" i="8" s="1"/>
  <c r="J112" i="1"/>
  <c r="M112" i="1"/>
  <c r="AL35" i="2"/>
  <c r="AL34" i="2" s="1"/>
  <c r="Q53" i="8" s="1"/>
  <c r="AI34" i="2"/>
  <c r="N53" i="8" s="1"/>
  <c r="G53" i="8" s="1"/>
  <c r="J131" i="1"/>
  <c r="AC60" i="4"/>
  <c r="AC3" i="4" s="1"/>
  <c r="N22" i="8"/>
  <c r="G22" i="8" s="1"/>
  <c r="AL101" i="1"/>
  <c r="AL102" i="1"/>
  <c r="Q23" i="8" s="1"/>
  <c r="AL149" i="1"/>
  <c r="J148" i="2"/>
  <c r="D77" i="8" s="1"/>
  <c r="J21" i="2"/>
  <c r="D51" i="8" s="1"/>
  <c r="D92" i="8"/>
  <c r="AL107" i="2"/>
  <c r="AL106" i="2" s="1"/>
  <c r="Q67" i="8" s="1"/>
  <c r="J92" i="2"/>
  <c r="AF186" i="2"/>
  <c r="AF184" i="2" s="1"/>
  <c r="J198" i="2"/>
  <c r="J43" i="2"/>
  <c r="D55" i="8" s="1"/>
  <c r="AF166" i="2"/>
  <c r="AF165" i="2" s="1"/>
  <c r="AC165" i="2"/>
  <c r="J140" i="1"/>
  <c r="D28" i="8" s="1"/>
  <c r="M203" i="1"/>
  <c r="I43" i="8" s="1"/>
  <c r="AL55" i="1"/>
  <c r="AL52" i="1" s="1"/>
  <c r="Q16" i="8" s="1"/>
  <c r="M184" i="2"/>
  <c r="I86" i="8" s="1"/>
  <c r="Q66" i="8"/>
  <c r="D56" i="8"/>
  <c r="AL131" i="2"/>
  <c r="Q74" i="8" s="1"/>
  <c r="J140" i="2"/>
  <c r="D75" i="8" s="1"/>
  <c r="AL166" i="2"/>
  <c r="AI165" i="2"/>
  <c r="N81" i="8" s="1"/>
  <c r="G81" i="8" s="1"/>
  <c r="AC52" i="2"/>
  <c r="N57" i="8"/>
  <c r="G57" i="8" s="1"/>
  <c r="N67" i="8"/>
  <c r="G67" i="8" s="1"/>
  <c r="AL172" i="2"/>
  <c r="N82" i="8"/>
  <c r="G82" i="8" s="1"/>
  <c r="J173" i="2"/>
  <c r="D83" i="8" s="1"/>
  <c r="AC56" i="2"/>
  <c r="J170" i="2"/>
  <c r="D82" i="8" s="1"/>
  <c r="M173" i="2"/>
  <c r="I83" i="8" s="1"/>
  <c r="AL57" i="2"/>
  <c r="AL56" i="2" s="1"/>
  <c r="Q58" i="8" s="1"/>
  <c r="AI56" i="2"/>
  <c r="M170" i="2"/>
  <c r="I82" i="8" s="1"/>
  <c r="J73" i="2"/>
  <c r="D61" i="8" s="1"/>
  <c r="J154" i="2"/>
  <c r="D78" i="8" s="1"/>
  <c r="AF154" i="2"/>
  <c r="AL148" i="2"/>
  <c r="Q77" i="8" s="1"/>
  <c r="J145" i="2"/>
  <c r="D76" i="8" s="1"/>
  <c r="AI145" i="2"/>
  <c r="N76" i="8" s="1"/>
  <c r="G76" i="8" s="1"/>
  <c r="AL145" i="2"/>
  <c r="Q76" i="8" s="1"/>
  <c r="M145" i="2"/>
  <c r="I76" i="8" s="1"/>
  <c r="M5" i="6"/>
  <c r="AI124" i="2"/>
  <c r="N71" i="8" s="1"/>
  <c r="G71" i="8" s="1"/>
  <c r="AL203" i="2"/>
  <c r="Q91" i="8" s="1"/>
  <c r="J203" i="2"/>
  <c r="D91" i="8" s="1"/>
  <c r="AC193" i="2"/>
  <c r="AL40" i="1"/>
  <c r="AL39" i="1" s="1"/>
  <c r="AI39" i="1"/>
  <c r="AL82" i="1"/>
  <c r="AL77" i="1" s="1"/>
  <c r="Q18" i="8" s="1"/>
  <c r="M143" i="1"/>
  <c r="I29" i="8" s="1"/>
  <c r="AF161" i="1"/>
  <c r="AF160" i="1" s="1"/>
  <c r="AC160" i="1"/>
  <c r="AI23" i="1"/>
  <c r="N9" i="8" s="1"/>
  <c r="G9" i="8" s="1"/>
  <c r="D7" i="8"/>
  <c r="M26" i="1"/>
  <c r="I10" i="8" s="1"/>
  <c r="AL144" i="1"/>
  <c r="AL143" i="1" s="1"/>
  <c r="Q29" i="8" s="1"/>
  <c r="AI143" i="1"/>
  <c r="N29" i="8" s="1"/>
  <c r="G29" i="8" s="1"/>
  <c r="AF144" i="1"/>
  <c r="AC143" i="1"/>
  <c r="J143" i="1"/>
  <c r="D29" i="8" s="1"/>
  <c r="J36" i="1"/>
  <c r="D13" i="8" s="1"/>
  <c r="AF173" i="1"/>
  <c r="AF172" i="1" s="1"/>
  <c r="AC172" i="1"/>
  <c r="J206" i="1"/>
  <c r="D44" i="8" s="1"/>
  <c r="M206" i="1"/>
  <c r="I44" i="8" s="1"/>
  <c r="AL195" i="1"/>
  <c r="Q41" i="8" s="1"/>
  <c r="M195" i="1"/>
  <c r="I41" i="8" s="1"/>
  <c r="J192" i="1"/>
  <c r="D40" i="8" s="1"/>
  <c r="M87" i="1"/>
  <c r="I19" i="8" s="1"/>
  <c r="Q33" i="8"/>
  <c r="J77" i="1"/>
  <c r="D18" i="8" s="1"/>
  <c r="AL87" i="1"/>
  <c r="Q19" i="8" s="1"/>
  <c r="J99" i="1"/>
  <c r="D22" i="8" s="1"/>
  <c r="D33" i="8"/>
  <c r="M36" i="1"/>
  <c r="I13" i="8" s="1"/>
  <c r="M140" i="1"/>
  <c r="I28" i="8" s="1"/>
  <c r="AC186" i="1"/>
  <c r="J52" i="1"/>
  <c r="D16" i="8" s="1"/>
  <c r="AC36" i="1"/>
  <c r="J110" i="1"/>
  <c r="AL186" i="1"/>
  <c r="Q39" i="8" s="1"/>
  <c r="M16" i="1"/>
  <c r="I8" i="8" s="1"/>
  <c r="J26" i="1"/>
  <c r="D10" i="8" s="1"/>
  <c r="M125" i="1"/>
  <c r="I25" i="8" s="1"/>
  <c r="AL160" i="1"/>
  <c r="Q32" i="8" s="1"/>
  <c r="J195" i="1"/>
  <c r="D41" i="8" s="1"/>
  <c r="AL33" i="1"/>
  <c r="AL32" i="1" s="1"/>
  <c r="Q12" i="8" s="1"/>
  <c r="M186" i="1"/>
  <c r="I39" i="8" s="1"/>
  <c r="J109" i="1"/>
  <c r="M111" i="1"/>
  <c r="N35" i="8"/>
  <c r="G35" i="8" s="1"/>
  <c r="AI175" i="1"/>
  <c r="N36" i="8" s="1"/>
  <c r="G36" i="8" s="1"/>
  <c r="AL177" i="1"/>
  <c r="AL175" i="1" s="1"/>
  <c r="Q36" i="8" s="1"/>
  <c r="J203" i="1"/>
  <c r="D43" i="8" s="1"/>
  <c r="AL28" i="1"/>
  <c r="AL26" i="1" s="1"/>
  <c r="Q10" i="8" s="1"/>
  <c r="AI153" i="1"/>
  <c r="N31" i="8" s="1"/>
  <c r="G31" i="8" s="1"/>
  <c r="AL153" i="1"/>
  <c r="Q31" i="8" s="1"/>
  <c r="J175" i="1"/>
  <c r="D36" i="8" s="1"/>
  <c r="AC199" i="1"/>
  <c r="AI206" i="1"/>
  <c r="N44" i="8" s="1"/>
  <c r="G44" i="8" s="1"/>
  <c r="AL207" i="1"/>
  <c r="AL206" i="1" s="1"/>
  <c r="Q44" i="8" s="1"/>
  <c r="AL37" i="1"/>
  <c r="AL36" i="1" s="1"/>
  <c r="Q13" i="8" s="1"/>
  <c r="J186" i="1"/>
  <c r="D39" i="8" s="1"/>
  <c r="M179" i="1"/>
  <c r="I37" i="8" s="1"/>
  <c r="J199" i="1"/>
  <c r="D42" i="8" s="1"/>
  <c r="J160" i="1"/>
  <c r="D32" i="8" s="1"/>
  <c r="AI179" i="1"/>
  <c r="N37" i="8" s="1"/>
  <c r="G37" i="8" s="1"/>
  <c r="AL180" i="1"/>
  <c r="AL179" i="1" s="1"/>
  <c r="Q37" i="8" s="1"/>
  <c r="AI87" i="1"/>
  <c r="M175" i="1"/>
  <c r="I36" i="8" s="1"/>
  <c r="M192" i="1"/>
  <c r="I40" i="8" s="1"/>
  <c r="AL199" i="1"/>
  <c r="Q42" i="8" s="1"/>
  <c r="AF27" i="1"/>
  <c r="AF26" i="1" s="1"/>
  <c r="AC26" i="1"/>
  <c r="AI192" i="1"/>
  <c r="N40" i="8" s="1"/>
  <c r="G40" i="8" s="1"/>
  <c r="AL193" i="1"/>
  <c r="AL192" i="1" s="1"/>
  <c r="Q40" i="8" s="1"/>
  <c r="AC125" i="1"/>
  <c r="AF127" i="1"/>
  <c r="AF125" i="1" s="1"/>
  <c r="N38" i="8"/>
  <c r="G38" i="8" s="1"/>
  <c r="AL185" i="1"/>
  <c r="AL184" i="1" s="1"/>
  <c r="Q38" i="8" s="1"/>
  <c r="AC192" i="1"/>
  <c r="M57" i="1"/>
  <c r="I17" i="8" s="1"/>
  <c r="AC52" i="1"/>
  <c r="N7" i="8"/>
  <c r="AL15" i="1"/>
  <c r="AL12" i="1" s="1"/>
  <c r="Q7" i="8" s="1"/>
  <c r="AF183" i="2"/>
  <c r="AF182" i="2" s="1"/>
  <c r="AL47" i="6"/>
  <c r="Q206" i="8" s="1"/>
  <c r="AL40" i="6"/>
  <c r="Q205" i="8" s="1"/>
  <c r="AL14" i="6"/>
  <c r="AL7" i="6"/>
  <c r="AL5" i="6" s="1"/>
  <c r="Q202" i="8"/>
  <c r="M187" i="2"/>
  <c r="I87" i="8" s="1"/>
  <c r="J184" i="2"/>
  <c r="D86" i="8" s="1"/>
  <c r="AL185" i="2"/>
  <c r="AL184" i="2" s="1"/>
  <c r="Q86" i="8" s="1"/>
  <c r="N85" i="8"/>
  <c r="G85" i="8" s="1"/>
  <c r="AL183" i="2"/>
  <c r="AL182" i="2" s="1"/>
  <c r="Q85" i="8" s="1"/>
  <c r="AC182" i="2"/>
  <c r="AL176" i="2"/>
  <c r="J176" i="2"/>
  <c r="D84" i="8" s="1"/>
  <c r="M176" i="2"/>
  <c r="I84" i="8" s="1"/>
  <c r="AF176" i="2"/>
  <c r="AC23" i="1"/>
  <c r="AL9" i="1"/>
  <c r="AL5" i="1" s="1"/>
  <c r="N6" i="8"/>
  <c r="G6" i="8" s="1"/>
  <c r="M77" i="2"/>
  <c r="I62" i="8" s="1"/>
  <c r="J77" i="2"/>
  <c r="D62" i="8" s="1"/>
  <c r="M209" i="1"/>
  <c r="I45" i="8" s="1"/>
  <c r="AI209" i="1"/>
  <c r="N45" i="8" s="1"/>
  <c r="G45" i="8" s="1"/>
  <c r="AL210" i="1"/>
  <c r="AL209" i="1" s="1"/>
  <c r="D79" i="8"/>
  <c r="J153" i="1"/>
  <c r="D31" i="8" s="1"/>
  <c r="M153" i="1"/>
  <c r="I31" i="8" s="1"/>
  <c r="J85" i="2"/>
  <c r="D63" i="8" s="1"/>
  <c r="AL85" i="2"/>
  <c r="Q63" i="8" s="1"/>
  <c r="J125" i="1"/>
  <c r="D25" i="8" s="1"/>
  <c r="AL126" i="2"/>
  <c r="Q72" i="8" s="1"/>
  <c r="M126" i="2"/>
  <c r="I72" i="8" s="1"/>
  <c r="AF125" i="2"/>
  <c r="AF124" i="2" s="1"/>
  <c r="AI122" i="2"/>
  <c r="N70" i="8" s="1"/>
  <c r="G70" i="8" s="1"/>
  <c r="AL123" i="2"/>
  <c r="AL122" i="2" s="1"/>
  <c r="Q70" i="8" s="1"/>
  <c r="N69" i="8"/>
  <c r="G69" i="8" s="1"/>
  <c r="AL121" i="2"/>
  <c r="AL120" i="2" s="1"/>
  <c r="I69" i="8"/>
  <c r="D69" i="8"/>
  <c r="AI73" i="2"/>
  <c r="N61" i="8" s="1"/>
  <c r="G61" i="8" s="1"/>
  <c r="AL74" i="2"/>
  <c r="AL73" i="2" s="1"/>
  <c r="Q61" i="8" s="1"/>
  <c r="M73" i="2"/>
  <c r="I61" i="8" s="1"/>
  <c r="AL68" i="2"/>
  <c r="Q60" i="8" s="1"/>
  <c r="AF68" i="2"/>
  <c r="AL60" i="2"/>
  <c r="Q59" i="8" s="1"/>
  <c r="J60" i="2"/>
  <c r="D59" i="8" s="1"/>
  <c r="M60" i="2"/>
  <c r="I59" i="8" s="1"/>
  <c r="M52" i="2"/>
  <c r="I57" i="8" s="1"/>
  <c r="AL52" i="2"/>
  <c r="Q57" i="8" s="1"/>
  <c r="I56" i="8"/>
  <c r="AL43" i="2"/>
  <c r="Q55" i="8" s="1"/>
  <c r="M43" i="2"/>
  <c r="I55" i="8" s="1"/>
  <c r="AI39" i="2"/>
  <c r="N54" i="8" s="1"/>
  <c r="G54" i="8" s="1"/>
  <c r="AL40" i="2"/>
  <c r="AL39" i="2" s="1"/>
  <c r="Q54" i="8" s="1"/>
  <c r="J34" i="2"/>
  <c r="D53" i="8" s="1"/>
  <c r="AI29" i="2"/>
  <c r="N52" i="8" s="1"/>
  <c r="G52" i="8" s="1"/>
  <c r="AL31" i="2"/>
  <c r="AL29" i="2" s="1"/>
  <c r="J29" i="2"/>
  <c r="D52" i="8" s="1"/>
  <c r="M29" i="2"/>
  <c r="I52" i="8" s="1"/>
  <c r="M21" i="2"/>
  <c r="I51" i="8" s="1"/>
  <c r="AL21" i="2"/>
  <c r="Q51" i="8" s="1"/>
  <c r="AI21" i="2"/>
  <c r="N51" i="8" s="1"/>
  <c r="G51" i="8" s="1"/>
  <c r="AL13" i="2"/>
  <c r="AL12" i="2" s="1"/>
  <c r="Q49" i="8" s="1"/>
  <c r="I49" i="8"/>
  <c r="AL7" i="2"/>
  <c r="AL5" i="2" s="1"/>
  <c r="AI5" i="2"/>
  <c r="I23" i="8"/>
  <c r="AF103" i="1"/>
  <c r="AF102" i="1" s="1"/>
  <c r="AC99" i="1"/>
  <c r="M92" i="1"/>
  <c r="I21" i="8" s="1"/>
  <c r="J5" i="2"/>
  <c r="J165" i="2"/>
  <c r="D81" i="8" s="1"/>
  <c r="AF203" i="2"/>
  <c r="J56" i="2"/>
  <c r="D58" i="8" s="1"/>
  <c r="AC68" i="2"/>
  <c r="M131" i="2"/>
  <c r="AC148" i="2"/>
  <c r="M92" i="2"/>
  <c r="AF121" i="2"/>
  <c r="AF120" i="2" s="1"/>
  <c r="M85" i="2"/>
  <c r="I63" i="8" s="1"/>
  <c r="J187" i="2"/>
  <c r="D87" i="8" s="1"/>
  <c r="M56" i="2"/>
  <c r="I58" i="8" s="1"/>
  <c r="AI68" i="2"/>
  <c r="N60" i="8" s="1"/>
  <c r="G60" i="8" s="1"/>
  <c r="J131" i="2"/>
  <c r="AC176" i="2"/>
  <c r="J39" i="2"/>
  <c r="D54" i="8" s="1"/>
  <c r="AI77" i="2"/>
  <c r="N62" i="8" s="1"/>
  <c r="G62" i="8" s="1"/>
  <c r="AI85" i="2"/>
  <c r="N63" i="8" s="1"/>
  <c r="G63" i="8" s="1"/>
  <c r="AF39" i="2"/>
  <c r="AF57" i="2"/>
  <c r="AF56" i="2" s="1"/>
  <c r="AI101" i="2"/>
  <c r="J126" i="2"/>
  <c r="D72" i="8" s="1"/>
  <c r="M148" i="2"/>
  <c r="I77" i="8" s="1"/>
  <c r="M31" i="6"/>
  <c r="I204" i="8" s="1"/>
  <c r="M40" i="6"/>
  <c r="AI40" i="6"/>
  <c r="N205" i="8" s="1"/>
  <c r="G205" i="8" s="1"/>
  <c r="AC47" i="6"/>
  <c r="I202" i="8"/>
  <c r="M47" i="6"/>
  <c r="I206" i="8" s="1"/>
  <c r="AI14" i="6"/>
  <c r="N201" i="8" s="1"/>
  <c r="G201" i="8" s="1"/>
  <c r="J40" i="6"/>
  <c r="I159" i="8"/>
  <c r="AI186" i="1"/>
  <c r="N39" i="8" s="1"/>
  <c r="G39" i="8" s="1"/>
  <c r="AI199" i="1"/>
  <c r="AI92" i="1"/>
  <c r="AF140" i="1"/>
  <c r="AF179" i="1"/>
  <c r="AI140" i="1"/>
  <c r="N28" i="8" s="1"/>
  <c r="G28" i="8" s="1"/>
  <c r="N33" i="8"/>
  <c r="G33" i="8" s="1"/>
  <c r="AC195" i="1"/>
  <c r="AC12" i="1"/>
  <c r="AI195" i="1"/>
  <c r="N41" i="8" s="1"/>
  <c r="G41" i="8" s="1"/>
  <c r="AC148" i="1"/>
  <c r="M23" i="1"/>
  <c r="I9" i="8" s="1"/>
  <c r="AF148" i="1"/>
  <c r="AF131" i="1"/>
  <c r="AF101" i="2"/>
  <c r="AI115" i="1"/>
  <c r="AL115" i="1" s="1"/>
  <c r="AC115" i="1"/>
  <c r="AF115" i="1" s="1"/>
  <c r="AF153" i="1"/>
  <c r="M77" i="1"/>
  <c r="I18" i="8" s="1"/>
  <c r="AC77" i="1"/>
  <c r="AF77" i="1"/>
  <c r="AF109" i="1"/>
  <c r="M131" i="1"/>
  <c r="M151" i="1"/>
  <c r="M148" i="1" s="1"/>
  <c r="I30" i="8" s="1"/>
  <c r="J151" i="1"/>
  <c r="J148" i="1" s="1"/>
  <c r="D30" i="8" s="1"/>
  <c r="AF176" i="1"/>
  <c r="AF175" i="1" s="1"/>
  <c r="AF185" i="1"/>
  <c r="AF184" i="1" s="1"/>
  <c r="AF198" i="1"/>
  <c r="AF195" i="1" s="1"/>
  <c r="AF208" i="1"/>
  <c r="AF206" i="1" s="1"/>
  <c r="AC206" i="1"/>
  <c r="J106" i="2"/>
  <c r="D67" i="8" s="1"/>
  <c r="AF148" i="2"/>
  <c r="AC5" i="6"/>
  <c r="AF5" i="6"/>
  <c r="AI112" i="1"/>
  <c r="AL112" i="1" s="1"/>
  <c r="AI119" i="1"/>
  <c r="AL119" i="1" s="1"/>
  <c r="AF119" i="1"/>
  <c r="AC153" i="1"/>
  <c r="AI92" i="2"/>
  <c r="AC100" i="2"/>
  <c r="AF100" i="2" s="1"/>
  <c r="AF127" i="2"/>
  <c r="AF126" i="2" s="1"/>
  <c r="AC126" i="2"/>
  <c r="AF38" i="1"/>
  <c r="AF36" i="1" s="1"/>
  <c r="AC44" i="1"/>
  <c r="J108" i="1"/>
  <c r="M160" i="1"/>
  <c r="I32" i="8" s="1"/>
  <c r="AF193" i="1"/>
  <c r="AF192" i="1" s="1"/>
  <c r="J12" i="2"/>
  <c r="D49" i="8" s="1"/>
  <c r="AF44" i="2"/>
  <c r="AF43" i="2" s="1"/>
  <c r="AC43" i="2"/>
  <c r="AF145" i="2"/>
  <c r="AF198" i="2"/>
  <c r="I7" i="8"/>
  <c r="AF87" i="1"/>
  <c r="AC87" i="1"/>
  <c r="AC140" i="1"/>
  <c r="J179" i="1"/>
  <c r="D37" i="8" s="1"/>
  <c r="AF140" i="2"/>
  <c r="AF31" i="6"/>
  <c r="AC31" i="6"/>
  <c r="AC57" i="1"/>
  <c r="AI116" i="1"/>
  <c r="AL116" i="1" s="1"/>
  <c r="AI124" i="1"/>
  <c r="AL124" i="1" s="1"/>
  <c r="J172" i="1"/>
  <c r="AC179" i="1"/>
  <c r="J15" i="2"/>
  <c r="D50" i="8" s="1"/>
  <c r="AF60" i="2"/>
  <c r="AC73" i="2"/>
  <c r="AF18" i="6"/>
  <c r="AF14" i="6" s="1"/>
  <c r="AC14" i="6"/>
  <c r="AC40" i="6"/>
  <c r="AF40" i="6"/>
  <c r="AF52" i="1"/>
  <c r="AF200" i="1"/>
  <c r="AF199" i="1" s="1"/>
  <c r="AC131" i="2"/>
  <c r="AF25" i="1"/>
  <c r="AF23" i="1" s="1"/>
  <c r="AF40" i="1"/>
  <c r="AF39" i="1" s="1"/>
  <c r="AC39" i="1"/>
  <c r="AF187" i="1"/>
  <c r="AF186" i="1" s="1"/>
  <c r="AF194" i="2"/>
  <c r="AF193" i="2" s="1"/>
  <c r="AC60" i="2"/>
  <c r="M106" i="2"/>
  <c r="I67" i="8" s="1"/>
  <c r="AC16" i="1"/>
  <c r="AF33" i="1"/>
  <c r="AC92" i="1"/>
  <c r="AC29" i="2"/>
  <c r="AF29" i="2"/>
  <c r="AC101" i="2"/>
  <c r="AI126" i="2"/>
  <c r="M140" i="2"/>
  <c r="I75" i="8" s="1"/>
  <c r="AI114" i="1"/>
  <c r="AL114" i="1" s="1"/>
  <c r="AC203" i="1"/>
  <c r="AI43" i="2"/>
  <c r="M68" i="2"/>
  <c r="I60" i="8" s="1"/>
  <c r="AC154" i="2"/>
  <c r="M52" i="1"/>
  <c r="I16" i="8" s="1"/>
  <c r="AC131" i="1"/>
  <c r="AI160" i="1"/>
  <c r="N32" i="8" s="1"/>
  <c r="G32" i="8" s="1"/>
  <c r="M15" i="2"/>
  <c r="I50" i="8" s="1"/>
  <c r="AF34" i="2"/>
  <c r="AC39" i="2"/>
  <c r="AI60" i="2"/>
  <c r="AF73" i="2"/>
  <c r="AI148" i="2"/>
  <c r="N77" i="8" s="1"/>
  <c r="G77" i="8" s="1"/>
  <c r="J101" i="2"/>
  <c r="D66" i="8" s="1"/>
  <c r="N79" i="8"/>
  <c r="G79" i="8" s="1"/>
  <c r="J52" i="2"/>
  <c r="D57" i="8" s="1"/>
  <c r="J68" i="2"/>
  <c r="D60" i="8" s="1"/>
  <c r="AC77" i="2"/>
  <c r="AF77" i="2"/>
  <c r="M101" i="2"/>
  <c r="I66" i="8" s="1"/>
  <c r="AI131" i="2"/>
  <c r="M165" i="2"/>
  <c r="I81" i="8" s="1"/>
  <c r="AF171" i="2"/>
  <c r="AF170" i="2" s="1"/>
  <c r="AC85" i="2"/>
  <c r="AF122" i="2"/>
  <c r="AC122" i="2"/>
  <c r="M193" i="2"/>
  <c r="J39" i="1"/>
  <c r="J87" i="1"/>
  <c r="D19" i="8" s="1"/>
  <c r="M199" i="1"/>
  <c r="I42" i="8" s="1"/>
  <c r="AF21" i="2"/>
  <c r="AC34" i="2"/>
  <c r="AF85" i="2"/>
  <c r="AC140" i="2"/>
  <c r="M154" i="2"/>
  <c r="J193" i="2"/>
  <c r="AC198" i="2"/>
  <c r="AI203" i="2"/>
  <c r="N91" i="8" s="1"/>
  <c r="G91" i="8" s="1"/>
  <c r="AC21" i="2"/>
  <c r="I54" i="8"/>
  <c r="AI176" i="2"/>
  <c r="N84" i="8" s="1"/>
  <c r="G84" i="8" s="1"/>
  <c r="N202" i="8"/>
  <c r="G202" i="8" s="1"/>
  <c r="J31" i="6"/>
  <c r="J47" i="6"/>
  <c r="D206" i="8" s="1"/>
  <c r="AF47" i="6"/>
  <c r="D202" i="8"/>
  <c r="AI31" i="6"/>
  <c r="AI47" i="6"/>
  <c r="N206" i="8" s="1"/>
  <c r="G206" i="8" s="1"/>
  <c r="AN4" i="2" l="1"/>
  <c r="S47" i="8" s="1"/>
  <c r="S50" i="8"/>
  <c r="H67" i="8"/>
  <c r="H92" i="8"/>
  <c r="H194" i="8"/>
  <c r="AI130" i="2"/>
  <c r="AM92" i="2"/>
  <c r="AM91" i="2" s="1"/>
  <c r="R64" i="8" s="1"/>
  <c r="O191" i="8"/>
  <c r="AL131" i="1"/>
  <c r="Q27" i="8" s="1"/>
  <c r="O19" i="8"/>
  <c r="O25" i="8"/>
  <c r="AM17" i="2"/>
  <c r="AM15" i="2" s="1"/>
  <c r="AM4" i="2" s="1"/>
  <c r="R47" i="8" s="1"/>
  <c r="AL4" i="6"/>
  <c r="O15" i="8"/>
  <c r="H15" i="8" s="1"/>
  <c r="AM134" i="1"/>
  <c r="AM51" i="1"/>
  <c r="AM44" i="1" s="1"/>
  <c r="N42" i="8"/>
  <c r="G42" i="8" s="1"/>
  <c r="N16" i="8"/>
  <c r="G16" i="8" s="1"/>
  <c r="O16" i="8"/>
  <c r="N12" i="8"/>
  <c r="G12" i="8" s="1"/>
  <c r="AI31" i="1"/>
  <c r="N59" i="8"/>
  <c r="G59" i="8" s="1"/>
  <c r="O59" i="8"/>
  <c r="N66" i="8"/>
  <c r="G66" i="8" s="1"/>
  <c r="O89" i="8"/>
  <c r="H89" i="8" s="1"/>
  <c r="N50" i="8"/>
  <c r="G50" i="8" s="1"/>
  <c r="I6" i="7"/>
  <c r="AM112" i="1"/>
  <c r="AM111" i="1"/>
  <c r="AM110" i="1"/>
  <c r="AM109" i="1"/>
  <c r="AL4" i="1"/>
  <c r="J4" i="6"/>
  <c r="I8" i="7"/>
  <c r="K105" i="1"/>
  <c r="K91" i="1" s="1"/>
  <c r="K3" i="1" s="1"/>
  <c r="AC192" i="2"/>
  <c r="N105" i="1"/>
  <c r="J24" i="8" s="1"/>
  <c r="J20" i="8" s="1"/>
  <c r="AL170" i="2"/>
  <c r="Q82" i="8" s="1"/>
  <c r="M192" i="2"/>
  <c r="D204" i="8"/>
  <c r="J30" i="6"/>
  <c r="J30" i="8"/>
  <c r="J26" i="8" s="1"/>
  <c r="N130" i="1"/>
  <c r="AF192" i="2"/>
  <c r="F192" i="2" s="1"/>
  <c r="AI192" i="2"/>
  <c r="AC30" i="6"/>
  <c r="AM108" i="1"/>
  <c r="O24" i="8"/>
  <c r="E30" i="8"/>
  <c r="E26" i="8" s="1"/>
  <c r="O65" i="8"/>
  <c r="H65" i="8" s="1"/>
  <c r="D90" i="8"/>
  <c r="J192" i="2"/>
  <c r="J130" i="1"/>
  <c r="AI148" i="1"/>
  <c r="AI130" i="1" s="1"/>
  <c r="N21" i="8"/>
  <c r="G21" i="8" s="1"/>
  <c r="AM133" i="1"/>
  <c r="AM95" i="1"/>
  <c r="AM92" i="1" s="1"/>
  <c r="AF32" i="1"/>
  <c r="AF31" i="1" s="1"/>
  <c r="F31" i="1" s="1"/>
  <c r="M130" i="1"/>
  <c r="AL99" i="1"/>
  <c r="Q22" i="8" s="1"/>
  <c r="I78" i="8"/>
  <c r="M130" i="2"/>
  <c r="I80" i="8"/>
  <c r="D12" i="8"/>
  <c r="J31" i="1"/>
  <c r="M119" i="2"/>
  <c r="AI4" i="2"/>
  <c r="J4" i="2"/>
  <c r="AI4" i="1"/>
  <c r="AF4" i="1"/>
  <c r="F4" i="1" s="1"/>
  <c r="AC105" i="1"/>
  <c r="AI105" i="1"/>
  <c r="AI91" i="1" s="1"/>
  <c r="AC4" i="1"/>
  <c r="D200" i="8"/>
  <c r="AF4" i="6"/>
  <c r="F4" i="6" s="1"/>
  <c r="AC4" i="6"/>
  <c r="Q200" i="8"/>
  <c r="I200" i="8"/>
  <c r="M4" i="6"/>
  <c r="AI4" i="6"/>
  <c r="I4" i="6" s="1"/>
  <c r="I68" i="8"/>
  <c r="J130" i="2"/>
  <c r="J164" i="2"/>
  <c r="D74" i="8"/>
  <c r="I74" i="8"/>
  <c r="Q73" i="8"/>
  <c r="N74" i="8"/>
  <c r="G74" i="8" s="1"/>
  <c r="I47" i="8"/>
  <c r="M4" i="2"/>
  <c r="D27" i="8"/>
  <c r="AC130" i="1"/>
  <c r="I27" i="8"/>
  <c r="N27" i="8"/>
  <c r="G27" i="8" s="1"/>
  <c r="M4" i="1"/>
  <c r="D6" i="8"/>
  <c r="J4" i="1"/>
  <c r="I6" i="8"/>
  <c r="I5" i="8" s="1"/>
  <c r="N19" i="8"/>
  <c r="G19" i="8" s="1"/>
  <c r="Q89" i="8"/>
  <c r="Q88" i="8" s="1"/>
  <c r="AL192" i="2"/>
  <c r="AL165" i="2"/>
  <c r="Q81" i="8" s="1"/>
  <c r="Q52" i="8"/>
  <c r="AC145" i="2"/>
  <c r="AL130" i="2"/>
  <c r="N89" i="8"/>
  <c r="G89" i="8" s="1"/>
  <c r="D89" i="8"/>
  <c r="I89" i="8"/>
  <c r="I88" i="8" s="1"/>
  <c r="N14" i="8"/>
  <c r="G14" i="8" s="1"/>
  <c r="Q6" i="8"/>
  <c r="AL31" i="1"/>
  <c r="AF143" i="1"/>
  <c r="Q14" i="8"/>
  <c r="AL172" i="1"/>
  <c r="Q203" i="8"/>
  <c r="AL105" i="1"/>
  <c r="Q24" i="8" s="1"/>
  <c r="AF105" i="1"/>
  <c r="M105" i="1"/>
  <c r="I24" i="8" s="1"/>
  <c r="I20" i="8" s="1"/>
  <c r="AL151" i="1"/>
  <c r="AL148" i="1" s="1"/>
  <c r="J105" i="1"/>
  <c r="D24" i="8" s="1"/>
  <c r="AI171" i="1"/>
  <c r="N43" i="8"/>
  <c r="G43" i="8" s="1"/>
  <c r="N15" i="8"/>
  <c r="G15" i="8" s="1"/>
  <c r="Q84" i="8"/>
  <c r="M164" i="2"/>
  <c r="Q201" i="8"/>
  <c r="AL30" i="6"/>
  <c r="D80" i="8"/>
  <c r="AC170" i="2"/>
  <c r="D14" i="8"/>
  <c r="M31" i="1"/>
  <c r="I14" i="8"/>
  <c r="I11" i="8" s="1"/>
  <c r="N5" i="8"/>
  <c r="G5" i="8" s="1"/>
  <c r="Q45" i="8"/>
  <c r="I79" i="8"/>
  <c r="AI91" i="2"/>
  <c r="AL100" i="2"/>
  <c r="AL92" i="2" s="1"/>
  <c r="AL91" i="2" s="1"/>
  <c r="I65" i="8"/>
  <c r="I64" i="8" s="1"/>
  <c r="M91" i="2"/>
  <c r="D65" i="8"/>
  <c r="J91" i="2"/>
  <c r="J119" i="2"/>
  <c r="D68" i="8"/>
  <c r="Q69" i="8"/>
  <c r="Q68" i="8" s="1"/>
  <c r="AL119" i="2"/>
  <c r="D205" i="8"/>
  <c r="AF30" i="6"/>
  <c r="F30" i="6" s="1"/>
  <c r="I205" i="8"/>
  <c r="M30" i="6"/>
  <c r="D201" i="8"/>
  <c r="I201" i="8"/>
  <c r="N48" i="8"/>
  <c r="G48" i="8" s="1"/>
  <c r="AL4" i="2"/>
  <c r="Q48" i="8"/>
  <c r="D48" i="8"/>
  <c r="D35" i="8"/>
  <c r="J171" i="1"/>
  <c r="M171" i="1"/>
  <c r="I35" i="8"/>
  <c r="I33" i="8"/>
  <c r="N23" i="8"/>
  <c r="G23" i="8" s="1"/>
  <c r="N80" i="8"/>
  <c r="G80" i="8" s="1"/>
  <c r="N58" i="8"/>
  <c r="G58" i="8" s="1"/>
  <c r="AC119" i="2"/>
  <c r="AI119" i="2"/>
  <c r="N72" i="8"/>
  <c r="G72" i="8" s="1"/>
  <c r="AC92" i="2"/>
  <c r="AF119" i="2"/>
  <c r="F119" i="2" s="1"/>
  <c r="N55" i="8"/>
  <c r="G55" i="8" s="1"/>
  <c r="N200" i="8"/>
  <c r="N159" i="8"/>
  <c r="G159" i="8" s="1"/>
  <c r="AI30" i="6"/>
  <c r="I30" i="6" s="1"/>
  <c r="N204" i="8"/>
  <c r="G204" i="8" s="1"/>
  <c r="AC31" i="1"/>
  <c r="AF171" i="1"/>
  <c r="F171" i="1" s="1"/>
  <c r="AC171" i="1"/>
  <c r="AF164" i="2"/>
  <c r="F164" i="2" s="1"/>
  <c r="AI164" i="2"/>
  <c r="AC102" i="1"/>
  <c r="AF92" i="2"/>
  <c r="AF91" i="2" s="1"/>
  <c r="R65" i="8" l="1"/>
  <c r="H16" i="8"/>
  <c r="H6" i="7"/>
  <c r="P6" i="7" s="1"/>
  <c r="G6" i="7"/>
  <c r="H8" i="7"/>
  <c r="P8" i="7" s="1"/>
  <c r="G8" i="7"/>
  <c r="H25" i="8"/>
  <c r="H59" i="8"/>
  <c r="H19" i="8"/>
  <c r="H24" i="8"/>
  <c r="H191" i="8"/>
  <c r="O11" i="8"/>
  <c r="AH3" i="6"/>
  <c r="O66" i="8"/>
  <c r="AL130" i="1"/>
  <c r="R50" i="8"/>
  <c r="AL3" i="6"/>
  <c r="Q198" i="8" s="1"/>
  <c r="AM3" i="2"/>
  <c r="R46" i="8" s="1"/>
  <c r="AM131" i="1"/>
  <c r="R27" i="8" s="1"/>
  <c r="O200" i="8"/>
  <c r="O204" i="8"/>
  <c r="R15" i="8"/>
  <c r="AM31" i="1"/>
  <c r="O42" i="8"/>
  <c r="H42" i="8" s="1"/>
  <c r="O50" i="8"/>
  <c r="O88" i="8"/>
  <c r="H88" i="8" s="1"/>
  <c r="O198" i="8"/>
  <c r="H198" i="8" s="1"/>
  <c r="E4" i="8"/>
  <c r="E3" i="8" s="1"/>
  <c r="N91" i="1"/>
  <c r="AM105" i="1"/>
  <c r="AM91" i="1" s="1"/>
  <c r="J3" i="6"/>
  <c r="D198" i="8" s="1"/>
  <c r="E24" i="8"/>
  <c r="E20" i="8" s="1"/>
  <c r="N199" i="8"/>
  <c r="G199" i="8" s="1"/>
  <c r="G200" i="8"/>
  <c r="D20" i="8"/>
  <c r="D73" i="8"/>
  <c r="D26" i="8"/>
  <c r="D5" i="8"/>
  <c r="D203" i="8"/>
  <c r="D64" i="8"/>
  <c r="I26" i="8"/>
  <c r="D88" i="8"/>
  <c r="N47" i="8"/>
  <c r="G47" i="8" s="1"/>
  <c r="AF130" i="1"/>
  <c r="F130" i="1" s="1"/>
  <c r="O27" i="8"/>
  <c r="H27" i="8" s="1"/>
  <c r="O21" i="8"/>
  <c r="AM151" i="1"/>
  <c r="R21" i="8"/>
  <c r="D47" i="8"/>
  <c r="I203" i="8"/>
  <c r="D11" i="8"/>
  <c r="AF4" i="2"/>
  <c r="F4" i="2" s="1"/>
  <c r="M3" i="2"/>
  <c r="AI3" i="2"/>
  <c r="N46" i="8" s="1"/>
  <c r="G46" i="8" s="1"/>
  <c r="AC4" i="2"/>
  <c r="D199" i="8"/>
  <c r="Q199" i="8"/>
  <c r="AC3" i="6"/>
  <c r="AC91" i="1"/>
  <c r="AC3" i="1" s="1"/>
  <c r="D34" i="8"/>
  <c r="AF91" i="1"/>
  <c r="F91" i="1" s="1"/>
  <c r="AL91" i="1"/>
  <c r="I34" i="8"/>
  <c r="N203" i="8"/>
  <c r="G203" i="8" s="1"/>
  <c r="I199" i="8"/>
  <c r="AF130" i="2"/>
  <c r="F130" i="2" s="1"/>
  <c r="AC130" i="2"/>
  <c r="AC164" i="2"/>
  <c r="I73" i="8"/>
  <c r="N73" i="8"/>
  <c r="G73" i="8" s="1"/>
  <c r="N88" i="8"/>
  <c r="G88" i="8" s="1"/>
  <c r="N68" i="8"/>
  <c r="G68" i="8" s="1"/>
  <c r="N34" i="8"/>
  <c r="G34" i="8" s="1"/>
  <c r="Q5" i="8"/>
  <c r="Q11" i="8"/>
  <c r="N11" i="8"/>
  <c r="G11" i="8" s="1"/>
  <c r="AL164" i="2"/>
  <c r="AL3" i="2" s="1"/>
  <c r="Q46" i="8" s="1"/>
  <c r="Q47" i="8"/>
  <c r="Q80" i="8"/>
  <c r="N65" i="8"/>
  <c r="G65" i="8" s="1"/>
  <c r="Q65" i="8"/>
  <c r="Q35" i="8"/>
  <c r="AL171" i="1"/>
  <c r="M91" i="1"/>
  <c r="M3" i="1" s="1"/>
  <c r="I4" i="8" s="1"/>
  <c r="N30" i="8"/>
  <c r="G30" i="8" s="1"/>
  <c r="J91" i="1"/>
  <c r="J3" i="1" s="1"/>
  <c r="Q30" i="8"/>
  <c r="J3" i="2"/>
  <c r="D46" i="8" s="1"/>
  <c r="AC91" i="2"/>
  <c r="AI3" i="6"/>
  <c r="N198" i="8" s="1"/>
  <c r="G198" i="8" s="1"/>
  <c r="M3" i="6"/>
  <c r="I198" i="8" s="1"/>
  <c r="AF3" i="6"/>
  <c r="Q25" i="8"/>
  <c r="AI3" i="1"/>
  <c r="N25" i="8"/>
  <c r="G25" i="8" s="1"/>
  <c r="F91" i="2"/>
  <c r="N24" i="8"/>
  <c r="AL3" i="1" l="1"/>
  <c r="N3" i="1"/>
  <c r="J4" i="8" s="1"/>
  <c r="H11" i="8"/>
  <c r="U5" i="7"/>
  <c r="O47" i="8"/>
  <c r="H47" i="8" s="1"/>
  <c r="H50" i="8"/>
  <c r="O20" i="8"/>
  <c r="H21" i="8"/>
  <c r="H66" i="8"/>
  <c r="O203" i="8"/>
  <c r="H203" i="8" s="1"/>
  <c r="H204" i="8"/>
  <c r="O199" i="8"/>
  <c r="H200" i="8"/>
  <c r="I46" i="8"/>
  <c r="I3" i="8" s="1"/>
  <c r="R3" i="7" s="1"/>
  <c r="AC3" i="2"/>
  <c r="AF3" i="2"/>
  <c r="AK91" i="2"/>
  <c r="O64" i="8"/>
  <c r="R11" i="8"/>
  <c r="O46" i="8"/>
  <c r="O34" i="8"/>
  <c r="I9" i="7"/>
  <c r="O30" i="8"/>
  <c r="Q4" i="8"/>
  <c r="G24" i="8"/>
  <c r="R24" i="8"/>
  <c r="R20" i="8"/>
  <c r="AM148" i="1"/>
  <c r="AM130" i="1" s="1"/>
  <c r="R26" i="8" s="1"/>
  <c r="E4" i="7"/>
  <c r="E3" i="7"/>
  <c r="H29" i="20" s="1"/>
  <c r="I29" i="20" s="1"/>
  <c r="AF3" i="1"/>
  <c r="N26" i="8"/>
  <c r="G26" i="8" s="1"/>
  <c r="R9" i="7"/>
  <c r="R4" i="7"/>
  <c r="N64" i="8"/>
  <c r="G64" i="8" s="1"/>
  <c r="Q26" i="8"/>
  <c r="Q64" i="8"/>
  <c r="Q34" i="8"/>
  <c r="Q20" i="8"/>
  <c r="D4" i="8"/>
  <c r="N20" i="8"/>
  <c r="G20" i="8" s="1"/>
  <c r="S4" i="7" l="1"/>
  <c r="J3" i="8"/>
  <c r="S3" i="7" s="1"/>
  <c r="H34" i="8"/>
  <c r="H20" i="8"/>
  <c r="R5" i="7"/>
  <c r="O3" i="8"/>
  <c r="H3" i="8" s="1"/>
  <c r="H46" i="8"/>
  <c r="H9" i="7"/>
  <c r="P9" i="7" s="1"/>
  <c r="G9" i="7"/>
  <c r="H199" i="8"/>
  <c r="H30" i="8"/>
  <c r="H64" i="8"/>
  <c r="AM3" i="1"/>
  <c r="R4" i="8" s="1"/>
  <c r="R3" i="8" s="1"/>
  <c r="I5" i="7"/>
  <c r="H29" i="9"/>
  <c r="H32" i="9" s="1"/>
  <c r="O26" i="8"/>
  <c r="R30" i="8"/>
  <c r="I4" i="7"/>
  <c r="D3" i="8"/>
  <c r="Q3" i="8"/>
  <c r="N4" i="8"/>
  <c r="I116" i="8"/>
  <c r="H4" i="7" l="1"/>
  <c r="P4" i="7" s="1"/>
  <c r="G4" i="7"/>
  <c r="H5" i="7"/>
  <c r="P5" i="7" s="1"/>
  <c r="G5" i="7"/>
  <c r="H26" i="8"/>
  <c r="G4" i="8"/>
  <c r="I29" i="9"/>
  <c r="F23" i="9" s="1"/>
  <c r="U3" i="7"/>
  <c r="U4" i="7"/>
  <c r="I3" i="7"/>
  <c r="G17" i="9"/>
  <c r="M38" i="9" s="1"/>
  <c r="H41" i="9" s="1"/>
  <c r="H49" i="9" s="1"/>
  <c r="N3" i="8"/>
  <c r="G3" i="8" s="1"/>
  <c r="H3" i="7" l="1"/>
  <c r="P3" i="7" s="1"/>
  <c r="G3" i="7"/>
  <c r="H47" i="9"/>
  <c r="H45" i="9"/>
  <c r="H34" i="9"/>
  <c r="H43" i="9" s="1"/>
  <c r="N116" i="8"/>
  <c r="G116" i="8" s="1"/>
  <c r="N143" i="8" l="1"/>
  <c r="G143" i="8" s="1"/>
  <c r="I143" i="8"/>
  <c r="N184" i="8" l="1"/>
  <c r="G184" i="8" s="1"/>
  <c r="I178" i="8" l="1"/>
  <c r="I101" i="8"/>
  <c r="N178" i="8" l="1"/>
  <c r="G178" i="8" s="1"/>
  <c r="N136" i="8"/>
  <c r="G136" i="8" s="1"/>
  <c r="I136" i="8"/>
  <c r="I120" i="8" l="1"/>
  <c r="I124" i="8" l="1"/>
  <c r="N124" i="8" l="1"/>
  <c r="G124" i="8" s="1"/>
  <c r="AB146" i="2"/>
  <c r="W146" i="2" l="1"/>
  <c r="AK146" i="2" s="1"/>
  <c r="AK145" i="2" s="1"/>
  <c r="AE146" i="2"/>
  <c r="AE145" i="2" s="1"/>
  <c r="AN146" i="2" l="1"/>
  <c r="AN145" i="2" s="1"/>
  <c r="AH146" i="2"/>
  <c r="AH145" i="2" s="1"/>
  <c r="AH130" i="2" s="1"/>
  <c r="I130" i="2" s="1"/>
  <c r="AH3" i="2" s="1"/>
  <c r="AE130" i="2" l="1"/>
  <c r="AE3" i="2" s="1"/>
  <c r="M46" i="8" s="1"/>
  <c r="M76" i="8"/>
  <c r="M73" i="8" s="1"/>
  <c r="P76" i="8"/>
  <c r="AK3" i="2"/>
  <c r="P46" i="8" s="1"/>
  <c r="AN130" i="2"/>
  <c r="S76" i="8"/>
  <c r="O5" i="7" l="1"/>
  <c r="K5" i="7"/>
  <c r="P73" i="8"/>
  <c r="AN3" i="2"/>
  <c r="S46" i="8" s="1"/>
  <c r="S73" i="8"/>
  <c r="V5" i="7" l="1"/>
  <c r="AB50" i="5" l="1"/>
  <c r="AE50" i="5" s="1"/>
  <c r="W50" i="5" l="1"/>
  <c r="AK50" i="5" s="1"/>
  <c r="AE49" i="5"/>
  <c r="AH50" i="5"/>
  <c r="AH49" i="5" s="1"/>
  <c r="AH48" i="5" s="1"/>
  <c r="I48" i="5" s="1"/>
  <c r="AH3" i="5" s="1"/>
  <c r="AN50" i="5" l="1"/>
  <c r="AN49" i="5" s="1"/>
  <c r="AK49" i="5"/>
  <c r="P176" i="8" s="1"/>
  <c r="AK48" i="5"/>
  <c r="AK3" i="5" s="1"/>
  <c r="P161" i="8" s="1"/>
  <c r="AE48" i="5"/>
  <c r="AE3" i="5" s="1"/>
  <c r="M161" i="8" s="1"/>
  <c r="M176" i="8"/>
  <c r="M175" i="8" s="1"/>
  <c r="P3" i="8" l="1"/>
  <c r="K3" i="7" s="1"/>
  <c r="G17" i="20" s="1"/>
  <c r="N29" i="20" s="1"/>
  <c r="H39" i="20" s="1"/>
  <c r="H42" i="20" s="1"/>
  <c r="P175" i="8"/>
  <c r="S176" i="8"/>
  <c r="AN48" i="5"/>
  <c r="K8" i="7"/>
  <c r="M3" i="8"/>
  <c r="O3" i="7" s="1"/>
  <c r="E12" i="20" s="1"/>
  <c r="O8" i="7"/>
  <c r="AN3" i="5" l="1"/>
  <c r="S161" i="8" s="1"/>
  <c r="S175" i="8"/>
  <c r="V8" i="7" l="1"/>
  <c r="S3" i="8"/>
  <c r="V3" i="7" s="1"/>
</calcChain>
</file>

<file path=xl/sharedStrings.xml><?xml version="1.0" encoding="utf-8"?>
<sst xmlns="http://schemas.openxmlformats.org/spreadsheetml/2006/main" count="8897" uniqueCount="2307">
  <si>
    <t>LINEA ESTRATEGICA/COMPONENTE IMPULSOR/ PROGRAMA/ PRODUCTO (INDICADOR)/ META PRODUCTO</t>
  </si>
  <si>
    <t>RESPONSABLE(S)</t>
  </si>
  <si>
    <t>VALORACIÓN PONDERACIÓN % (PROPUESTA)</t>
  </si>
  <si>
    <t>META PRODUCTO (PRODUCTO NUMERICO CUATRIENIO)</t>
  </si>
  <si>
    <t>PROGRAMADO NUMERICO META PRODUCTO 2024</t>
  </si>
  <si>
    <t>ESPERADO PORCENTUAL META PRODUCTO CUATRIENIO EN LA VIGENCIA 2024</t>
  </si>
  <si>
    <t>ESPERADO PORCENTUAL META PRODUCTO CUATRIENIO EN LA VIGENCIA 2024 (PONDERADOR)</t>
  </si>
  <si>
    <t>LOGRO  (%) META PRODUCTO RESPECTO AL PROGRAMADO 2024 CORTE DICIEMBRE</t>
  </si>
  <si>
    <t>LOGRO  (%) META PRODUCTO RESPECTO AL PROGRAMADO DICIEMBRE 2024 (PONDERADOR)</t>
  </si>
  <si>
    <t xml:space="preserve"> Seguridad Ciudadana y Orden Público 
</t>
  </si>
  <si>
    <t>Comandos Élites de la Policía Nacional para la seguridad y protección ciudadana equipados</t>
  </si>
  <si>
    <t>Equipar tres (3) Comandos Élites de la Policía Nacional para la seguridad y protección ciudadana</t>
  </si>
  <si>
    <t>SECRETARÍA DEL INTERIOR Y CONVIVENCIA CIUDADANA</t>
  </si>
  <si>
    <t xml:space="preserve">Equipos para la seguridad y la convivencia conformados
</t>
  </si>
  <si>
    <t xml:space="preserve">Conformar un (1) Equipo Interdisciplinario para articulación y coordinación de estrategias de seguridad y un (1) Equipo Operativo de Gestores de Convivencia
</t>
  </si>
  <si>
    <t>Organismos de Seguridad dotados y
con servicios en el marco del PISCC 2024-2027</t>
  </si>
  <si>
    <t>Dotar y proveer de servicios a cinco (5) organismos de seguridad en el marco del PISCC 2024-2027</t>
  </si>
  <si>
    <t>Centro de Procesamiento de Información Institucional y análisis situacional para el Seguimiento del Delito conformado</t>
  </si>
  <si>
    <t>Conformar un (1) Centro de Procesamiento de Información Institucional y análisis situacional para el Seguimiento del Delito</t>
  </si>
  <si>
    <t>Política Pública de Seguridad Humana Integral formulada</t>
  </si>
  <si>
    <t>Formular una (1) Política Pública de Seguridad Humana Integral</t>
  </si>
  <si>
    <t>Operativos anuales de protección, defensa, recuperación de bienes de uso público marino costero desarrollados</t>
  </si>
  <si>
    <t>Desarrollar diez (10) operativos anuales de protección, defensa, recuperación de bienes de uso público marino costero en el Distrito a través del ECOBLOQUE</t>
  </si>
  <si>
    <t>Estaciones de bomberos nuevas construidas</t>
  </si>
  <si>
    <t>Construir una (1) Estación de Bomberos regional nueva</t>
  </si>
  <si>
    <t>Estaciones de bomberos adecuadas</t>
  </si>
  <si>
    <t>Adecuar una (1) Estación de Bomberos</t>
  </si>
  <si>
    <t>Número de máquinas extintoras del Cuerpo de Bomberos para la atención de emergencias</t>
  </si>
  <si>
    <t>Incrementar a ocho (8) el número de máquinas extintoras del Cuerpo de Bomberos para la atención de emergencias</t>
  </si>
  <si>
    <t>Cámaras de seguridad mantenidas</t>
  </si>
  <si>
    <t>Mantener ochocientas setenta y nueve (879) cámaras</t>
  </si>
  <si>
    <t>DISTRISEGURIDAD</t>
  </si>
  <si>
    <t>Cámaras de seguridad instaladas</t>
  </si>
  <si>
    <t>Instalar ochocientas cuarenta y nueve (849) cámaras nuevas</t>
  </si>
  <si>
    <t>Sistemas de información para la seguidad implementados</t>
  </si>
  <si>
    <t>Equipos de seguridad adquiridos</t>
  </si>
  <si>
    <t xml:space="preserve">Adquirir ciento veinte  (120) equipos de comunicación para la seguridad (tipo radio, equipos celulares) 
</t>
  </si>
  <si>
    <t>Infraestructura para la promoción a la cultura de la legalidad y a la convivencia construida</t>
  </si>
  <si>
    <t xml:space="preserve">Construir cuatro (4) infraestructuras para la promoción de la cultura de la legalidad y la convivencia CAIs, subestaciones, estaciones, centro de inteligencia) 
</t>
  </si>
  <si>
    <t>Vehículos para la seguridad y convivencia entregados</t>
  </si>
  <si>
    <t>Entregar doscientos sesenta y ocho (268) vehículos para la seguridad (moto, camioneta, automóvil, camión, cuatrimotos, jet sky)</t>
  </si>
  <si>
    <t>Organismos de atención de emergencias en las playas equipados</t>
  </si>
  <si>
    <t>Equipar a cuatro (4) organismos de atención de emergencias en playas</t>
  </si>
  <si>
    <t>DISTRISEGURIDAD - SECRETARÍA DE TURISMO</t>
  </si>
  <si>
    <t>Infraestructura para seguridad y socorro en playas tipo Garitas</t>
  </si>
  <si>
    <t>Construir veinte (20) garitas nuevas para la seguridad en playas</t>
  </si>
  <si>
    <t>Numero de actores viales capacitados  en educación y cultura para la seguridad vial</t>
  </si>
  <si>
    <t>Formar a cien mil (100.000) actores viales en educación y cultura para la seguridad vial</t>
  </si>
  <si>
    <t>DATT</t>
  </si>
  <si>
    <t>Número de mujeres formadas y vinculadas como gestoras de educación, cultura y seguridad vial</t>
  </si>
  <si>
    <t>Formar y vincular a cuatrocientas (400) mujeres como gestoras de educación, cultura y seguridad vial</t>
  </si>
  <si>
    <t>Plan Local de Seguridad Vial actualizado e implementado</t>
  </si>
  <si>
    <t>Actualizar e implementar en su totalidad un (1) Plan Local de Seguridad Vial</t>
  </si>
  <si>
    <t>Número de instituciones educativas vinculadas al programa de Rutas Educativas Seguras</t>
  </si>
  <si>
    <t>Vincular a ciento ochenta (180) Instituciones Educativas al programa Rutas Educativas Seguras</t>
  </si>
  <si>
    <t xml:space="preserve">Construccion de paz, Derechos Humanos y Convivencia
</t>
  </si>
  <si>
    <t>Número de mujeres víctimas de VBG o en riesgo de padecerla atendidas en servicios de orientación psicosocial y jurídica</t>
  </si>
  <si>
    <t>Atender a cinco mil (5.000) mujeres víctimas de violencia basada en género o en riesgo de padecerla con servicios de orientación psicosocial y jurídica</t>
  </si>
  <si>
    <t>SECRETARÍA DE PARTICIPACIÓN Y DESARROLLO SOCIAL</t>
  </si>
  <si>
    <t>Número de mujeres víctimas de violencia, sus hijos e hijas y familia dependiente protegidas en la casa refugio</t>
  </si>
  <si>
    <t>Proteger doscientas (200) mujeres víctimas de violencia, sus hijos e hijas y familia dependiente en la casa refugio</t>
  </si>
  <si>
    <t>Número de campañas sobre nuevas masculinidades como estrategia de prevención y erradicación contra estereotipos nocivos de género ejecutadas</t>
  </si>
  <si>
    <t>Ejecutar cuatro (4) campañas sobre nuevas masculinidades como estrategia de prevención y erradicación contra estereotipos nocivos de género</t>
  </si>
  <si>
    <t>Mujeres víctimas del conflicto armado como constructoras de paz desde la prevención de las violencias basadas en género</t>
  </si>
  <si>
    <t>Vincular a doscientas (200) mujeres víctimas del conflicto armado como constructoras de paz en estrategias de prevención de las violencias basadas en género</t>
  </si>
  <si>
    <t>Número de acciones afirmativas ejecutadas para la asistencia y la atención de mujeres víctimas del conflicto armado</t>
  </si>
  <si>
    <t>Ejecutar una (1) acción afirmativa anual para la asistencia y la atención de mujeres víctimas del conflicto armado</t>
  </si>
  <si>
    <t>Centro de traslado para la protección inmediata de las mujeres víctimas de cualquier forma de violencias creado y en funcionamiento en el Distrito</t>
  </si>
  <si>
    <t>Crear y poner en funcionamiento un (1) Centro de Traslado por Protección-CTP en el Distrito</t>
  </si>
  <si>
    <t>Entornos urbanos para la convivencia recuperados y mantenidos</t>
  </si>
  <si>
    <t>Recuperar y mantener veinte (20) entornos urbanos para la convivencia en el Distrito</t>
  </si>
  <si>
    <t>Escuelas de formación para la convivencia ciudadana creadas</t>
  </si>
  <si>
    <t>Crear doce (12) escuelas de formación para la convivencia ciudadana en el Distrito</t>
  </si>
  <si>
    <t>Iniciativas para la promoción de la convivencia implementadas</t>
  </si>
  <si>
    <t>Implementar ocho (8) iniciativas para la promoción de la convivencia</t>
  </si>
  <si>
    <t>Número de Comisarías de Familia en operación en el Distrito</t>
  </si>
  <si>
    <t>Incrementar a ocho (8) el número de Comisarías de Familia operando en el Distrito</t>
  </si>
  <si>
    <t>Número de Comisarías de Familia móviles creadas y en operación en el Distrito</t>
  </si>
  <si>
    <t>Crear y poner en funcionamiento una (1) Comisaría de Familia móvil en el Distrito</t>
  </si>
  <si>
    <t>Número de mujeres vinculadas con la estrategia “Trasmallo de Mujeres Violetas por la Paz”</t>
  </si>
  <si>
    <t>Vincular a mil doscientos (1.200) mujeres con la estrategia “Trasmallo de Mujeres Violetas por la Paz”</t>
  </si>
  <si>
    <t>Sistemas de información local implementados para los operadores de justicia</t>
  </si>
  <si>
    <t>Implementar un (1) sistema de información local de las Comisarías de Familia del Distrito y un (1) sistema de información local de las Inspecciones de Policía</t>
  </si>
  <si>
    <t>Número de Casas de Justicia en operación en el Distrito</t>
  </si>
  <si>
    <t>Incrementar a cinco (5) el número de Casas de Justicia en operación en el Distrito</t>
  </si>
  <si>
    <t>Centros de Conciliación en Equidad y/o Derecho creados en las Casas de Justicia</t>
  </si>
  <si>
    <t>Crear cinco (5) Centros de Conciliación en Equidad y/o Derecho en las Casas de Justicia del Distrito</t>
  </si>
  <si>
    <t>Inspecciones de Policía dotadas técnica y operativamente</t>
  </si>
  <si>
    <t>Dotar treinta y tres (33) Inspecciones de Policía técnica, tecnológica y operativamente.</t>
  </si>
  <si>
    <t>Adolescentes y jóvenes vinculados con la estrategia “Laboratorios de Paz” para la prevención del reclutamiento, uso y utilización por parte de los GDO</t>
  </si>
  <si>
    <t>Vincular a dos mil quinientos (2.500) jóvenes a la estrategia “Laboratorios De Paz” para la prevención del reclutamiento por parte de los GDO</t>
  </si>
  <si>
    <t>Jornadas de mediación y desarme con grupos juveniles inmersos en dinámicas de violencia desarrolladas</t>
  </si>
  <si>
    <t>Desarrollar cuatro (4) jornadas de mediación y desarme con grupos juveniles inmersos en dinámicas de violencias</t>
  </si>
  <si>
    <t>Adolescentes y jóvenes vinculados a la estrategia “Proyectos de Vida Libres de Violencia” para la prevención del reclutamiento, uso y utilización por parte de los GDO</t>
  </si>
  <si>
    <t>Vincular a dos mil quinientos (2.500) adolescentes y jóvenes a la estrategia “Proyectos de Vida Libres de Violencia” para la prevención del reclutamiento, uso y utilización por parte de los GDO</t>
  </si>
  <si>
    <t>Estrategias de atención a adolescentes y jóvenes egresados del Sistema de Responsabilidad Penal Adolescentes implementadas</t>
  </si>
  <si>
    <t>Implementar cuatro (4) estrategias de atención a adolescentes y jóvenes egresados del Sistema de Responsabilidad Penal Adolescente</t>
  </si>
  <si>
    <t>Unidades productivas entregadas a personas víctimas del conflicto</t>
  </si>
  <si>
    <t>Entregar mil (1.000) unidades productivas a personas víctimas del conflicto</t>
  </si>
  <si>
    <t>Personas víctimas del conflicto que acceden a programas de atención psicosocial y salud mental</t>
  </si>
  <si>
    <t>Vincular a mil (1.000) personas víctimas del conflicto a programas de atención psicosocial y salud mental</t>
  </si>
  <si>
    <t>Personas víctimas con ayuda humanitaria inmediata</t>
  </si>
  <si>
    <t xml:space="preserve">Atender a la totalidad de personas víctimas que cumplan con los requisitos de ley para acceder a la medida de ayuda humanitaria inmediata 
</t>
  </si>
  <si>
    <t>Personas víctimas con ayuda inmediata mediante albergue</t>
  </si>
  <si>
    <t xml:space="preserve">Atender a la totalidad de personas víctimas que cumplan con los requisitos de ley para acceder a la medida de ayuda humanitaria inmediata mediante albergue 
</t>
  </si>
  <si>
    <t>Representante s de la mesa de víctimas en el Distrito con incentivos técnicos y logísticos para su participación.</t>
  </si>
  <si>
    <t>Mantener los incentivos técnicos y logísticos de participación a la totalidad de los representantes de la población víctima en la Mesa Distrital de Víctimas de Cartagena.</t>
  </si>
  <si>
    <t>Museo de Memoria Histórica onstruido y dotado</t>
  </si>
  <si>
    <t>Construir y dotar un (1) Museo de Memoria Histórica</t>
  </si>
  <si>
    <t>Monumento histórico construido en cumplimientoalauto A I068 de la JEP</t>
  </si>
  <si>
    <t>Construir un (1) monumento histórico en cumplimiento del auto AI 068 de la Jurisdicción Especial para la Paz</t>
  </si>
  <si>
    <t>Plan de retorno y reubicaciones de Villas de Aranjuez concertado e implementado</t>
  </si>
  <si>
    <t>Concertar e implementar un (1) Plan de Retorno y reubicación de Villas de Aranjuez</t>
  </si>
  <si>
    <t>Plan Distrital de prevención y protección de violaciones graves a los derechos humanos y derecho internacional humanitario implementado</t>
  </si>
  <si>
    <t>Implementar un (1) Plan Distrital de prevención y protección de violaciones graves a los derechos humanos y derecho internacional humanitario</t>
  </si>
  <si>
    <t>Plan de acción territorial - PAT actualizado , aprobado e implementado</t>
  </si>
  <si>
    <t>Actualizar, aprobar e implementar un (1) Plan de Acción Territorial -PAT</t>
  </si>
  <si>
    <t>Plan de Contingencia formulado</t>
  </si>
  <si>
    <t>formular 1 plan de Contingencia para la atención inmediata de víctima en el distrito de cartagena</t>
  </si>
  <si>
    <t>Plan integral de reparación colectiva de la liga de mujeres desplazadas concertado e implementado</t>
  </si>
  <si>
    <t>Implementar un (1) Plan Integral de Reparación Colectiva de la Liga de Mujeres Desplazadas</t>
  </si>
  <si>
    <t>Consejo de Paz , Reconciliación , Convivencia y DDHH en el Distrito de Cartagena con plan de acción implementado</t>
  </si>
  <si>
    <t>Implementar el plan de acción de un (1) Consejo de Paz, Reconciliación, Convivencia y DDHH en el Distrito</t>
  </si>
  <si>
    <t>Iniciativas de memoria histórica apoyadas</t>
  </si>
  <si>
    <t>Asistir ocho (8) iniciativas de memoria histórica</t>
  </si>
  <si>
    <t>Acciones de difusión de las recomendaciones de la Comisión para el esclarecimiento de la verdad , la convivencia y la no repetición implementadas</t>
  </si>
  <si>
    <t>Implementar cuatro (4) acciones de difusión de las recomendacio nes de la Comisión para el Esclarecimiento de la Verdad, la Convivencia y la no repetición</t>
  </si>
  <si>
    <t>Acciones de articulación con la Unidad de Búsqueda de Personas dadas por DesaparecidasUBPD implementadas</t>
  </si>
  <si>
    <t>Implementar ocho (8) acciones de articulación con la Unidad de Búsqueda de Personas dadas por Desaparecidas -UBPD para impulsar la búsqueda de personas dadas por desaparecidas en el marco del conflicto armado</t>
  </si>
  <si>
    <t>Medidas de satisfacción y memoria histórica ejecutadas</t>
  </si>
  <si>
    <t>Ejecutar dos (2) medidas de memoria histórica para población víctima</t>
  </si>
  <si>
    <t>Sede propia para la Mesa Distrital de Víctimas garantizada</t>
  </si>
  <si>
    <t>Garantizar una (1) Sede de mesa de propia para la mesa de Distrital de Victimas</t>
  </si>
  <si>
    <t>Estrategia de oferta de atención interinstitucional del Distrito en el Centro Regional de Atención a Víctimas implementada</t>
  </si>
  <si>
    <t>Implementar una (1) estrategia de oferta de atención interinstitucional del Distrito en el Centro Regional de Atención a Víctimas</t>
  </si>
  <si>
    <t>Estrategias de promoción de la garantía de derechos implementadas</t>
  </si>
  <si>
    <t>Implementar ocho (8) estrategias de promoción de la garantía de derechos</t>
  </si>
  <si>
    <t>Solicitudes de medidas de protección preventiva atendidas</t>
  </si>
  <si>
    <t>Atender la totalidad de las solicitudes de medidas de protección preventiva</t>
  </si>
  <si>
    <t>Grupos de gestores y gestoras de Derechos Humanos creados</t>
  </si>
  <si>
    <t>Crear nueve (9) grupos de gestores y gestoras de Derechos Humanos</t>
  </si>
  <si>
    <t>Casa de acogida para víctimas y sobrevivientes de la trata de personas y mendicidad forzada creada y en funcionamiento</t>
  </si>
  <si>
    <t>Crear y poner en funcionamiento una (1) casa de acogida para víctimas y sobrevivientes de la trata de personas y mendicidad forzada</t>
  </si>
  <si>
    <t>Número de estrategias implementadas para la prevención de casos de víctimas de trata de personas</t>
  </si>
  <si>
    <t>Implementar cuatro (4) estrategias de prevención de casos de víctimas de trata de personas en coordinación con los comités territoriales de lucha contra la trata de personas</t>
  </si>
  <si>
    <t>Instancias institucionales creadas para la atención y garantía del derecho de libertad religiosa en el Distrito</t>
  </si>
  <si>
    <t>Mantener una (1) instancia institucional para atención y garantía del derecho de libertad religiosa en el Distrito</t>
  </si>
  <si>
    <t>Población víctima y sobreviviente de la trata de personas atendida</t>
  </si>
  <si>
    <t>Atender a la totalidad de víctimas sobrevivientes de explotación sexual y de mendicidad forzada</t>
  </si>
  <si>
    <t>Personas en proceso de reintegración y reincorporación vinculadas para la reinserción social y comunitaria y de participación</t>
  </si>
  <si>
    <t>Vincular a ochenta y seis (86) personas en proceso de reintegración y reincorporación a beneficios para la reinserción social y comunitaria y de participación</t>
  </si>
  <si>
    <t>Ruta de protección preventiva para líderes amenazados en el Distrito implementada</t>
  </si>
  <si>
    <t>Implementar una (1) ruta de protección preventiva para líderes amenazados en el Distrito</t>
  </si>
  <si>
    <t>Establecimiento de reclusión distrital para personas privadas de la libertad femeninas y masculinas operando en un inmueble del Distrito</t>
  </si>
  <si>
    <t>Poner en operación un (1) establecimiento de reclusión distrital para personas privadas de la libertad femeninas y masculinas en un inmueble del Distrito</t>
  </si>
  <si>
    <t>Personas privadas de la libertad vinculadas a programas psicosociales</t>
  </si>
  <si>
    <t>Vincular a ciento cincuenta (150) personas privadas de la libertad a programas psicosociales</t>
  </si>
  <si>
    <t>Convenio con el INPEC suscrito anualmente</t>
  </si>
  <si>
    <t>Suscribir anualmente (1) convenio con el INPEC</t>
  </si>
  <si>
    <t xml:space="preserve"> Salud Pública y Aseguramiento
</t>
  </si>
  <si>
    <t>Número de usuarios con continuidad de la afiliación al régimen subsidiado en salud en el Distrito de Cartagena</t>
  </si>
  <si>
    <t>Mantener la continuidad anual de la afiliación a seiscientas setenta y nueve mil quinientas cincuenta y cinco (679.555) personas que están afiliados al régimen subsidiado en salud</t>
  </si>
  <si>
    <t>DEPARTAMENTO ADMINISTRATIVO DISTRITAL DE SALUD DADIS</t>
  </si>
  <si>
    <t>Número de personas nuevas afiliadas al sistema general de seguridad social en salud</t>
  </si>
  <si>
    <t>Afiliar a veinte mil (20.000) personas nuevas al Sistema General de Seguridad Social en Salud (con o sin SISBEN)</t>
  </si>
  <si>
    <t>Número de servicios de salud habilitados para atender Población No Asegurada</t>
  </si>
  <si>
    <t>Mantener habilitados ciento cuarenta y dos (142) servicios de salud anualmente para la red integrada de salud del Distrito</t>
  </si>
  <si>
    <t>Numero de equipos básicos de salud que operan en el Distrito monitoreados y evaluados</t>
  </si>
  <si>
    <t>Monitorear y evaluar a sesenta y dos (62) Equipos Básicos de Salud que operan en el Distrito</t>
  </si>
  <si>
    <t>Número de prestadores de servicios de salud con asistencia técnica de inspección, vigilancia y control para mejoramiento de la calidad de la atención en salud en IPS oncológicas, pediátricas y maternas</t>
  </si>
  <si>
    <t>Inspeccionar, vigilar y controlar a sesenta (60) prestadores de salud para mejoramiento de la calidad de la atención en salud en IPS oncológicas, pediátricas y maternas</t>
  </si>
  <si>
    <t>Centros de salud nuevos construidos para la protección y el aseguramiento en salud en el Distrito de Cartagena</t>
  </si>
  <si>
    <t>Construir dos (2) nuevos centros de salud en el distrito de Cartagena para la protección y el aseguramiento en salud</t>
  </si>
  <si>
    <t>SECRETARÍA DE INFRAESTRUCTURA - DEPARTAMENTO ADMINISTRATIVO DISTRITAL DE SALUD DADIS</t>
  </si>
  <si>
    <t>Número de personas con valoración clínica multidisciplinaria simultánea elaborada con resultado de condición de discapacidad</t>
  </si>
  <si>
    <t>Elaborar valoraciones clínicas multidisciplinaria del procedimiento de certificación de discapacidad y Registro de Localización y Certificación de Personas con Discapacidad a diez mil (10.000) personas del Distrito</t>
  </si>
  <si>
    <t xml:space="preserve">Número de personas pertenecientes a los grupos poblaciones vulnerables participantes en estrategias de promoción de la participación social en salud
</t>
  </si>
  <si>
    <t>Vincular a treinta mil (30.000) personas en estrategias de promoción de la participación social en salud con paridad de género (pertenecientes a los grupos poblaciones vulnerables</t>
  </si>
  <si>
    <t xml:space="preserve">Número de IPS asistidas con servicios del Plan de Emergencia Hospitalaria y desarrollo de capacidades en las competencias frente a las adaptaciones de posibles efectos de la variabilidad y el cambio climático 
</t>
  </si>
  <si>
    <t>Asistir anualmente a veintinueve (29) IPS con servicios del Plan de Emergencia Hospitalaria y desarrollo de capacidades en las competencias frente a las adaptaciones de posibles efectos de la variabilidad y el cambio climático</t>
  </si>
  <si>
    <t>Centro Regulador De Urgencias construido y dotado con tecnología de punta</t>
  </si>
  <si>
    <t>Construir y dotar un (1) Centro Regulador de Urgencias y Emergencias con tecnología de punta</t>
  </si>
  <si>
    <t>Número de procesos de gestión de la salud pública en el marco de la ruta integral para la promoción y mantenimiento de la salud implementados</t>
  </si>
  <si>
    <t>Implementar cuatro (4) procesos de gestión de la salud pública en el marco de la ruta integral para la promoción y mantenimiento de la salud</t>
  </si>
  <si>
    <t>Número de establecimientos farmacéuticos y similares  vigilados y controlados con enfoque de riesgo</t>
  </si>
  <si>
    <t>Vigilar y controlar anualmente con enfoque de riesgo a setecientos (700) establecimientos farmacéuticos y similares</t>
  </si>
  <si>
    <t>Número de tomas de muestras de agua elaboradas y visitas a objetos de interés de la calidad del agua para consumo humano y de diversión</t>
  </si>
  <si>
    <t>Realizar anualmente dos mil cien (2.100) tomas de muestras de agua y visitas a objetos de interés de Inspección, Vigilancia y Control Sanitario (IVCS) de la calidad del agua para consumo humano y de diversión</t>
  </si>
  <si>
    <t>Número de establecimientos de interés sanitario diferentes a establecimientos de medicamentos y alimentos, incluyendo motonaves y aeronaves vigilados y controlados</t>
  </si>
  <si>
    <t>Vigilar y controlar anualmente a siete mil seiscientos (7.600) establecimientos de interés sanitario diferentes a establecimientos de medicamentos y alimentos, incluyendo motonaves y aeronaves</t>
  </si>
  <si>
    <t xml:space="preserve">Número de animales vacunados contra la rabia
</t>
  </si>
  <si>
    <t>Vacunar anualmente noventa mil (90.000) animales contra la rabia</t>
  </si>
  <si>
    <t>Número de grupos de eventos de interés en salud pública con acciones de vigilancia en salud pública y vigilancia comunitaria elaboradas</t>
  </si>
  <si>
    <t>Elaborar anualmente acciones de vigilancia en salud pública y vigilancia comunitaria a diecisiete (17) grupos de eventos de interés en salud pública</t>
  </si>
  <si>
    <t>Número de entidades con acciones de salud pública en enfermedades cardiovasculares, huérfanas, diabetes mellitus, cáncer, salud visual, auditiva y salud bucal desarrolladas en diferentes entornos</t>
  </si>
  <si>
    <t>Desarrollar anualmente acciones de salud pública a doscientas cincuenta (250) entidades en enfermedades cardiovasculares, huérfanas, diabetes mellitus, cáncer, salud visual, auditiva y salud bucal en diferentes entornos</t>
  </si>
  <si>
    <t>Número de productos de la Política Distrital de Salud Mental y Política Nacional para la Prevención y Atención del Consumo de Sustancias Psicoactivas implementados</t>
  </si>
  <si>
    <t>Implementar los diecisiete (17) productos de la Política de Salud Mental y la Política Nacional para la Prevención y Atención del Consumo de Sustancias Psicoactivas</t>
  </si>
  <si>
    <t>Número de entidades de salud con acciones en Rutas Integrales de Atención en Salud relacionadas con las alteraciones nutricionales y promoción de las Guías Alimentarias Basadas en Alimentos</t>
  </si>
  <si>
    <t>Desarrollar anualmente acciones en cuarenta (40) entidades de salud de Rutas Integrales de Atención en Salud relacionadas con las alteraciones nutricionales y promoción de las Guías Alimentarias Basadas en Alimentos (GABAS)</t>
  </si>
  <si>
    <t>Número de establecimientos y transportadores de alimentos vigilados y controlados con enfoque de riesgo</t>
  </si>
  <si>
    <t>Vigilar y controlar anualmente con enfoque de riesgo a tres mil quinientos (3.500) establecimientos y transportadores de alimentos</t>
  </si>
  <si>
    <t>Número de acciones de salud pública desarrolladas para la promoción de la salud materna en entidades de salud y en el entorno comunitario</t>
  </si>
  <si>
    <t>Desarrollar anualmente noventa y cinco (95) acciones de salud pública para promoción de la salud materna en entidades de salud y entorno comunitario</t>
  </si>
  <si>
    <t>Número de acciones de salud pública desarrolladas para promoción de la salud sexual y reproductiva en entidades de salud, entorno comunitario y educativo.</t>
  </si>
  <si>
    <t>Desarrollar anualmente seiscientas setenta y cinco (675) acciones de salud pública para promoción de la salud sexual y reproductiva en entidades de salud, entorno comunitario y educativo, incluyendo el cumplimiento de sentencias como la C-055 de 2022 de la Corte Constitucional</t>
  </si>
  <si>
    <t>Número de niños y niñas menores de un año con seguimiento del esquema de vacunación de acuerdo a la edad desarrollado</t>
  </si>
  <si>
    <t>Desarrollar el seguimiento anual a la vacunación de catorce mil setecientos noventa y seis (14.796) niños y niñas menores de un año con todos los biológicos del esquema de acuerdo a la edad</t>
  </si>
  <si>
    <t>Número de componentes de la Estrategia de Gestión Integrada (EGI) de vectores desarrollada en los microterritorios priorizados</t>
  </si>
  <si>
    <t>Desarrollar anualmente los siete (7) componentes de la Estrategia de Gestión Integrada (EGI) de vectores en los microterritorios priorizados</t>
  </si>
  <si>
    <t>Número de salas de atención a enfermedades respiratorias agudas y Unidades de Atención Integral Comunitaria habilitadas</t>
  </si>
  <si>
    <t>Habilitar treinta (30) salas de atención a atención a enfermedades respiratorias agudas y habilitar dos (2) Unidades de Atención Integral Comunitaria en barrios y corregimientos priorizados para la prevención, manejo y control de la IRA y la EDA en los niños y niñas menores de 5 años</t>
  </si>
  <si>
    <t>Número de estrategias de salud infantil institucionales y comunitarias ejecutadas</t>
  </si>
  <si>
    <t>Ejecutar anualmente estrategias de salud infantil institucionales en setenta (70) instituciones prestadoras de salud priorizadas con servicios de atención materno – infantil y atención del recién nacido y ejecutar dos (2) estrategias comunitarias sobre AIEPI Comunitario y Cuidados del Recién Nacido en los diferentes entornos</t>
  </si>
  <si>
    <t xml:space="preserve">Número de entidades con acciones de salud pública elaboradas sobre prevención y control de la tuberculosis en los
diferentes entornos
</t>
  </si>
  <si>
    <t xml:space="preserve">Elaborar anualmente acciones de salud pública en setenta y cinco (75) entidades sobre prevención y control de la tuberculosis en los diferentes entornos
</t>
  </si>
  <si>
    <t>Número de entidades con acciones de salud pública elaboradas sobre prevención y control de la lepra y prevención de la discapacidad en los diferentes entornos</t>
  </si>
  <si>
    <t>Elaborar anualmente acciones de salud pública en setenta y cinco (75) entidades sobre prevención y control de la lepra y prevención de la discapacidad en los diferentes entornos</t>
  </si>
  <si>
    <t>Número de acciones de promoción de entornos de trabajo seguros y prevención de enfermedades y accidentes laborales elaboradas</t>
  </si>
  <si>
    <t>Elaborar setecientas veinte (720) acciones de promoción de entornos de trabajo seguros y prevención de enfermedades y accidentes laborales</t>
  </si>
  <si>
    <t>Estudios técnicos, financieros y ambientales elaborados para la construcción de un Nuevo Parque Cementerio Distrital, dentro de las áreas señaladas por el POT</t>
  </si>
  <si>
    <t>Elaborar un (1) estudio de un Nuevo Parque Cementerio Distrital</t>
  </si>
  <si>
    <t>SECRETARÍA GENERAL - APOYO LOGISTICO</t>
  </si>
  <si>
    <t>Acciones preventivas, correctivas, de modernización, restauración, construcción de bóvedas y/o nichos en los cementerios del distrito de Cartagena.</t>
  </si>
  <si>
    <t>Elaborar (4) acciones preventivas, correctivas, de modernización, restauración, construcción de bóvedas y/o nichos en los cementerios del distrito de Cartagena</t>
  </si>
  <si>
    <t>Sistemas tecnológicos de trámite de los servicios de cementerio implementados</t>
  </si>
  <si>
    <t>Implementar un (1) sistema tecnológico para trámites de servicios de cementerio</t>
  </si>
  <si>
    <t>Cementerio Santa Cruz de Manga con intervención para restauración arquitectónica</t>
  </si>
  <si>
    <t>Intervenir para mejoramiento y restauración arquitectónica un (1) Cementerio Santa Cruz de Manga</t>
  </si>
  <si>
    <t xml:space="preserve">Atención Integral a Grupos de Especial Protección
</t>
  </si>
  <si>
    <t>Personas mayores con atención en centros de vida</t>
  </si>
  <si>
    <t>Atender anualmente a cuatro mil ciento noventa y cuatro (4.194) personas mayores en los centros de vida</t>
  </si>
  <si>
    <t>Personas mayores que reciben atención en Grupos Organizados</t>
  </si>
  <si>
    <t>Atender anualmente cinco mil seiscientas ochenta y un (5.681) personas mayores en Grupos Organizados</t>
  </si>
  <si>
    <t>Personas mayores en estado de abandono y/o maltrato atendidas</t>
  </si>
  <si>
    <t>Atender ciento cincuenta (150) personas mayores permanentemente en estado de maltrato y/o abandono</t>
  </si>
  <si>
    <t>Centros de vida construidos y dotados</t>
  </si>
  <si>
    <t>Construir y dotar cuatro (4) centros de vida del Distrito</t>
  </si>
  <si>
    <t>Hogar geriátrico construido y dotado</t>
  </si>
  <si>
    <t>Construir y dotar un (1) hogar geriátrico para personas mayores en el Distrito</t>
  </si>
  <si>
    <t>Centros de vida para el adulto mayor adecuados</t>
  </si>
  <si>
    <t>Adecuar diez (10) Centros de Vida para el adulto mayor</t>
  </si>
  <si>
    <t xml:space="preserve">Ruta de atención a los adultos mayores maltratados o en estado de abandono actualizada y socializada
</t>
  </si>
  <si>
    <t xml:space="preserve">Actualizar y socializar una (1) ruta de atención a los adultos mayores maltratados o en estado de abandono
</t>
  </si>
  <si>
    <t>Programa Integral de Educación, Atención y Seguimiento para la Población Longeva y sus Cuidadores creado e implementado</t>
  </si>
  <si>
    <t>Crear e implementar un (1) Programa Integral de Educación, Atención y Seguimiento para la Población Longeva y sus Cuidadores</t>
  </si>
  <si>
    <t>Número de personas con discapacidad y sus cuidadoras atendidas con programas de la oferta institucional de la Secretaría de Participación y Desarrollo Social</t>
  </si>
  <si>
    <t>Atender a tres mil cuatrocientas cincuenta y dos (3.452) personas con discapacidad y sus cuidadoras con programas de la oferta institucional de la Secretaría de Participación y Desarrollo Social</t>
  </si>
  <si>
    <t>Espacios lúdicos inclusivos para NNA implementados en el Distrito</t>
  </si>
  <si>
    <t xml:space="preserve">Implementar cuatro (4) espacios lúdicos inclusivos para niños, niñas y adolescentes con discapacidad en el Distrito
</t>
  </si>
  <si>
    <t>Número de unidades productivas de personas con discapacidad y/o sus cuidadoras creadas y acompañadas</t>
  </si>
  <si>
    <t>Crear y/o acompañar doscientas (200) unidades productivas de personas con discapacidad y/o sus cuidadoras</t>
  </si>
  <si>
    <t>Caracterizaciones de la vocación productiva de personas con discapacidad y sus cuidadoras elaboradas</t>
  </si>
  <si>
    <t>Elaborar cuatro (4) caracterizaciones de la vocación productiva de personas con discapacidad y sus cuidadoras</t>
  </si>
  <si>
    <t>Empresas o emprendimientos de personas con discapacidad vinculados a eventos de interés del Distrito</t>
  </si>
  <si>
    <t>Vincular veinte (20) empresas o emprendimientos de personas con discapacidad a eventos de interés del Distrito</t>
  </si>
  <si>
    <t>Caracterizaciones anuales de ciudadanos habitantes de calle desarrolladas</t>
  </si>
  <si>
    <t>Desarrollar una (1) caracterización anual de ciudadanos habitantes de calle</t>
  </si>
  <si>
    <t>Jornadas de atención humanitaria de ciudadanos habitantes de calle implementadas</t>
  </si>
  <si>
    <t>Implementar cuarenta (40) jornadas de atención humanitaria a ciudadanos habitantes de calle</t>
  </si>
  <si>
    <t>Ciudadanos habitantes de calle atendidos en hogares de paso</t>
  </si>
  <si>
    <t>Atender anualmente ochenta (80) ciudadanos habitantes de calle en hogares de paso</t>
  </si>
  <si>
    <t>Ciudadanos habitantes de calle vinculados en procesos de rehabilitación y/o resocialización</t>
  </si>
  <si>
    <t>Vincular a ochenta (80) ciudadanos habitantes de calle en procesos de rehabilitación y/o resocialización</t>
  </si>
  <si>
    <t>Centro Intégrate mejorado técnica y tecnológicamente</t>
  </si>
  <si>
    <t>Mejorar técnica y tecnológicamente un (1) Centro Intégrate</t>
  </si>
  <si>
    <t>Número de jornadas extramurales de atención integral a la población migrante desarrolladas</t>
  </si>
  <si>
    <t>Desarrollar dos (2) jornadas extramurales anuales de atención integral a la población migrante</t>
  </si>
  <si>
    <t>Número de personas migrantes, retornados y de acogida, beneficiadas con asistencia técnica y acompañamiento productivo y empresarial desde la ruta de inclusión productiva</t>
  </si>
  <si>
    <t>Beneficiar a tres mil quinientas treinta y cuatro (3.534) personas migrantes, retornados y de acogida, con asistencia técnica y acompañamiento productivo y empresarial desde la ruta de inclusión productiva</t>
  </si>
  <si>
    <t>Número de personas migrantes, retornados y de acogida vinculadas laboralmente desde la ruta de inclusión productiva</t>
  </si>
  <si>
    <t>Vincular laboralmente a cincuenta y cinco (55) nuevos migrantes, retornados y de acogida desde la ruta de inclusión productiva</t>
  </si>
  <si>
    <t>Número de campañas de gestión del riesgo en temas de salud sexual y reproductiva a migrantes desarrolladas</t>
  </si>
  <si>
    <t>Desarrollar dos (2) campañas de gestión del riesgo en temas de salud reproductiva a migrantes</t>
  </si>
  <si>
    <t>Número de migrantes, retornados y de acogida vinculados al programa de atención al migrante</t>
  </si>
  <si>
    <t>Vincular a diez mil seiscientos (10.600) migrantes, retornados y de acogida al programa de atención al migrante</t>
  </si>
  <si>
    <t>Número de personas LGBTIQ+ asistidas para acceder a programas de formación para el trabajo y de educación técnica y tecnológica</t>
  </si>
  <si>
    <t>Asistir a quinientas (500) personas LGBTIQ+ para acceder a programas de formación para el trabajo y de educación técnica y tecnológica</t>
  </si>
  <si>
    <t>Numero de emprendimientos, negocios y/o proyectos productivos liderados por personas con orientaciones sexuales e identidades de género diversas financiados</t>
  </si>
  <si>
    <t>Financiar doscientos (200) emprendimientos, negocios y/o proyectos productivos liderados por personas con orientaciones sexuales e identidades de género diversas.</t>
  </si>
  <si>
    <t>Número de rutas de atención integral de violencias basadas en orientación sexual e identidad de género creadas</t>
  </si>
  <si>
    <t>Crear una (1) ruta de atención integral de violencias basadas en orientación sexual e identidad de género</t>
  </si>
  <si>
    <t xml:space="preserve">Número de procesos de sensibilización a diferentes comunidades para propiciar la transformación de imaginarios sociales frente a personas con orientaciones sexuales e identidades de género diversas y sectores LGBTIQ+ implementados 
</t>
  </si>
  <si>
    <t>Implementar ocho (8) procesos de sensibilización a diferentes comunidades para propiciar la transformación de imaginarios sociales frente a personas con orientaciones sexuales e identidades de género diversas y sectores LGBTIQ+</t>
  </si>
  <si>
    <t>Número de campañas de promoción y prevención de la salud, salud sexual y reproductiva y salud mental dirigida a personas con orientaciones sexuales e identidades de género diversas y sectores LGBTIQ+ desarrolladas</t>
  </si>
  <si>
    <t>Desarrollar ocho (8) campañas de promoción y prevención de la salud, salud sexual y reproductiva y salud mental dirigida a personas con orientaciones sexuales e identidades de género diversas y sectores LGBTIQ+</t>
  </si>
  <si>
    <t>Alianzas público-populares con organizaciones de cuidado comunitario Creadas</t>
  </si>
  <si>
    <t>Crear cuatro (4) alianzas público-populares con organizaciones de cuidado comunitario (1 al año)</t>
  </si>
  <si>
    <t>Ruta del cuidado con una canasta de servicios en articulación del sector público y privado para cuidadores y agentes del cuidado diseñada e implementada</t>
  </si>
  <si>
    <t>Diseñar e implementar una (1) ruta del cuidado con una canasta de servicios en articulación del sector público y privado para cuidadores y agentes del cuidado e implementar un (1) plan piloto en el barrio Huellas de Alberto Uribe</t>
  </si>
  <si>
    <t>Acciones de transformación cultural para la democratización del cuidado (nuevas masculinidades) creadas</t>
  </si>
  <si>
    <t>Crear cuatro (4) acciones de transformación cultural para la democratización del cuidado (nuevas masculinidades)</t>
  </si>
  <si>
    <t>Sistema Distrital de Cuidado diseñado, estructurado e implementado</t>
  </si>
  <si>
    <t>Diseñar, estructurar e implementar un (1) Sistema Distrital de Cuidado</t>
  </si>
  <si>
    <t xml:space="preserve">Superación de la pobreza extrema y soberanía alimentaria
</t>
  </si>
  <si>
    <t>Número de personas con el derecho a la identificación garantizado</t>
  </si>
  <si>
    <t>Garantizar el derecho a la identificación de dieciséis mil (16.000) persona</t>
  </si>
  <si>
    <t>PLAN DE EMERGENCIA SOCIAL - PES</t>
  </si>
  <si>
    <t>Número de personas con situación militar definidas acompañadas por la estrategia PES</t>
  </si>
  <si>
    <t>Acompañar a dos mil doscientos (2.200) personas en la definición de su situación militar</t>
  </si>
  <si>
    <t>Número de personas en pobreza extrema, víctimas del conflicto armado, migrantes y retornados afiliadas  al Sistema General de Seguridad Social.</t>
  </si>
  <si>
    <t>Coordinar la afiliación para cinco mil (5000) personas en Pobreza Extrema, víctimas del conflicto armado, migrantes y retornados al Sistema General de Seguridad Social</t>
  </si>
  <si>
    <t>Número de personas en pobreza extrema formadas en asuntos de Salud Integral</t>
  </si>
  <si>
    <t>Formar en asuntos de salud integral a doce mil (12.000) personas en condición de pobreza extrema</t>
  </si>
  <si>
    <t>Caracterización de los Consejos Comunitarios y Cabildo para el fortalecimiento de la práctica de medicina ancestral elaborada</t>
  </si>
  <si>
    <t>Elaborar una (1) caracterización de los Consejos Comunitarios y Cabildo para el fortalecimiento de la práctica de medicina ancestral</t>
  </si>
  <si>
    <t>Niños, niñas y adolescentes en pobreza extrema que se encuentra por fuera del sistema educativo vincular</t>
  </si>
  <si>
    <t>Vincular cinco mil quinientos cincuenta y seis (5.556) niños, niñas y adolescentes en pobreza extrema desescolarizados al sistema educativo.</t>
  </si>
  <si>
    <t>Número de jóvenes y adultos en pobreza extrema con acceso  a educación técnica.</t>
  </si>
  <si>
    <t>Vincular catorce mil (14.000) jóvenes y adultos en pobreza extrema en programas de  acceso  a educación técnica.</t>
  </si>
  <si>
    <t>Familias formadas sobre el valor de la educación</t>
  </si>
  <si>
    <t xml:space="preserve">Formar a veinticinco mil familias (25.000) sobre el valor de la educación 
</t>
  </si>
  <si>
    <t>Instituciones Educativas Oficiales del Distrito con programas de retención escolar implementados</t>
  </si>
  <si>
    <t>Implementar programas de retención escolar en cincuenta (50) Instituciones Educativas Oficiales</t>
  </si>
  <si>
    <t>Número de vivienda en sectores en pobreza extrema del Distrito de Cartagena mejoradas.</t>
  </si>
  <si>
    <t>Mejorar cinco mil (5.000) unidades de vivienda en sectores en pobreza extrema del Distrito de Cartagena</t>
  </si>
  <si>
    <t>Número de familias en situación de pobreza extrema dotadas con capital de trabajo y formación empresarial</t>
  </si>
  <si>
    <t>Dotar con capital de trabajo y formación empresarial a ocho mil (8.000) familias en pobreza extrema</t>
  </si>
  <si>
    <t>Centro de Oportunidades para el Empleo del Distrito de Cartagena creado</t>
  </si>
  <si>
    <t>Crear un (1) Centro de Oportunidades para el Empleo en el Distrito de Cartagena</t>
  </si>
  <si>
    <t>Número de emprendimientos y/o unidades productivas apoyadas técnica o financieramente</t>
  </si>
  <si>
    <t>Apoyar técnica y financieramente a tres mil ochocientos (3.800) emprendimientos y/o unidades productivas</t>
  </si>
  <si>
    <t>Organizaciones de economía popular integradas por población de pobreza extrema en economía solidaria impactadas</t>
  </si>
  <si>
    <t>Impactar a ochenta (80) organizaciones de economía popular integradas por población de pobreza extrema en economía solidaria</t>
  </si>
  <si>
    <t>Número de personas en pobreza extrema con vinculación de empleo formal gestionada</t>
  </si>
  <si>
    <t>Gestionar la vinculación de empleo formal para tres mil doscientas (3.200) personas en pobreza extrema (al menos 50% mujeres)</t>
  </si>
  <si>
    <t>Personas en pobreza extrema vinculadas  al sistema financiero.</t>
  </si>
  <si>
    <t>Vincular veinte mil (20.000) Personas en pobreza extrema vinculadas  al sistema financiero.</t>
  </si>
  <si>
    <t>Número de familias en situación de pobreza extrema con acceso a créditos financieros</t>
  </si>
  <si>
    <t>Lograr acceso a crédito financiero para tres mil (3.000) familias en pobreza extrema</t>
  </si>
  <si>
    <t>Miembros de familia en el Distrito de Cartagena sensibilizadas en prevención al consumo de sustancias psicoactivas.</t>
  </si>
  <si>
    <t>Formar mil noventa y dos (1.092) nuevos miembros de familias en el Distrito de Cartagena en prevención al consumo de sustancias psicoactivas</t>
  </si>
  <si>
    <t>Estrategia de prevención de violencia basada en género y violencia intrafamiliar desarrollada.</t>
  </si>
  <si>
    <t>Implementar cuatro (4) estrategias de prevención de violencia basada en género y violencia intrafamiliar para familias en pobreza extrema</t>
  </si>
  <si>
    <t>Talleres lúdicos recreativos para generar códigos de convivencia con organizaciones de base comunitaria coordinados y elaborados.</t>
  </si>
  <si>
    <t>Coordinar y elaborar ciento cincuenta (150) talleres lúdicos recreativos para generar códigos de convivencia con organizaciones de base comunitaria</t>
  </si>
  <si>
    <t>Niños en primera infancia, personas mayores y población con discapacidad atendidos con la estrategia de ollas comunitarias</t>
  </si>
  <si>
    <t>Atender diez mil (10.000) niños en primera infancia, personas mayores y población con discapacidad con la estrategia de ollas comunitarias</t>
  </si>
  <si>
    <t>Numero de Mercados campesinos  realizados</t>
  </si>
  <si>
    <t>Realizar noventa y seis (96) eventos de Mercados campesinos</t>
  </si>
  <si>
    <t>Número de personas atendidas  Estrategia Guerra Frontal contra el Hambre</t>
  </si>
  <si>
    <t>Atender a cincuenta y un mil (51.000) personas con la estrategia Hambre Cero</t>
  </si>
  <si>
    <t>Numero de rutas de atención que permitan la atención oportuna para garantizar derechos y resolver conflictos creados</t>
  </si>
  <si>
    <t>Crear diecisiete (17) rutas de atención que permitan la atención oportuna para garantizar derechos y resolver conflictos</t>
  </si>
  <si>
    <t>Estrategias de comunicación para dar a conocer las rutas del Plan de Emergencia Social implementadas</t>
  </si>
  <si>
    <t>Implementar cuatro (4) estrategias de comunicación para dar a conocer las rutas del Plan de Emergencia Social</t>
  </si>
  <si>
    <t>Jornadas de atención integral a la comunidad "Gobierno al Barrio" desarrolladas.</t>
  </si>
  <si>
    <t>Desarrollar ciento veinte (120) jornadas de atención integral a la comunidad "Gobierno al Barrio".</t>
  </si>
  <si>
    <t>Número de jornadas de diálogos y gobernanzas desarrolladas</t>
  </si>
  <si>
    <t>Desarrollar setenta y dos (72) jornadas de diálogos y gobernanza en el Distrito de Cartagena a través de la estrategia “Encuentros Barriales”</t>
  </si>
  <si>
    <t>Número de puntos de atención habilitados de Renta Ciudadana, Renta Joven y Colombia Mayor</t>
  </si>
  <si>
    <t>Habilitar trece (13) puntos de atención para garantizar la atención de los beneficiarios y la operatividad del programa</t>
  </si>
  <si>
    <t>SECRETARÍA GENERAL - COORDINACIÓN RENTA CIUDADANA</t>
  </si>
  <si>
    <t>Número de jornadas complementarias para la atención y bienestar comunitario desarrolladas</t>
  </si>
  <si>
    <t>Desarrollar cuarenta y ocho (48) jornadas complementarias para la atención y bienestar comunitario</t>
  </si>
  <si>
    <t>Plan Maestro de Infraestructura Educativa formulado e implementado</t>
  </si>
  <si>
    <t>Formular un (1) Plan Maestro de Infraestructura Educativa</t>
  </si>
  <si>
    <t>SECRETARÍA DE EDUCACIÓN - SED</t>
  </si>
  <si>
    <t>Número de predios de IEO legalizados</t>
  </si>
  <si>
    <t>Legalizar sesenta (60) predios de Instituciones Educativas Oficiales</t>
  </si>
  <si>
    <t>Número de nuevas Instituciones Educativas Oficiales construidas</t>
  </si>
  <si>
    <t>Construir cinco (5) nuevas Instituciones Educativas Oficiales</t>
  </si>
  <si>
    <t>Número de sedes educativas reconstruidas y/o con ampliación de la infraestructura</t>
  </si>
  <si>
    <t>Reconstruir y/o ampliar quince (15) sedes educativas</t>
  </si>
  <si>
    <t>Número de sedes educativas mejoradas y/o adecuadas</t>
  </si>
  <si>
    <t>Mejorar y/o adecuar ochenta (80) sedes educativas</t>
  </si>
  <si>
    <t>Número de aulas con dotación de mobiliario escolar y material pedagógico</t>
  </si>
  <si>
    <t>Dotar mil (1.000) aulas con mobiliario escolar, aires acondicionados, abanicos y material pedagógico</t>
  </si>
  <si>
    <t>Número de Instituciones Educativas Oficiales con oferta de educación inicial para la atención a la primera infancia implementada</t>
  </si>
  <si>
    <t>Implementar encuarenta (40) IEO con oferta de educación inicial para la atención de la primera infancia</t>
  </si>
  <si>
    <t>Número de Instituciones Educativas Oficiales asesoradas con estrategias de articulación institucional para asegurar el tránsito armónico de niños y niñas desde los programas de atención a la primera infancia del ICBF al sistema educativo oficial</t>
  </si>
  <si>
    <t>Asesorar a ciento cinco (105) Instituciones Educativas Oficiales con estrategias de articulación institucional para asegurar el tránsito armónico de los niños y niñas desde los programas de atención a la primera infancia del ICBF al sistema educativo oficial</t>
  </si>
  <si>
    <t>Numero de niños, niñas y adolescentes focalizados con estrategias para el acceso al sistema educativo oficial</t>
  </si>
  <si>
    <t>Vincular a dos mil trescientos noventa (2.390) niños, niñas y adolescentes adicionales con estrategias para el acceso al sistema educativo oficial</t>
  </si>
  <si>
    <t>Número de estudiantes de Instituciones Educativas Oficiales atendidos con Programa de Alimentación Escolar como estrategia de permanencia</t>
  </si>
  <si>
    <t>Atender a ciento seis mil cuatrocientos ochenta y siete (106.487) estudiantes anualmente con el Programa de Alimentación Escolar como estrategia de permanencia</t>
  </si>
  <si>
    <t>Número de estudiantes de Instituciones Educativas Oficiales atendidos con transporte escolar</t>
  </si>
  <si>
    <t>Atender a cinco mil quinientos (5.500) estudiantes anualmente con transporte escolar</t>
  </si>
  <si>
    <t>Número de estudiantes de Instituciones Educativas Oficiales atendidos con otras estrategias de permanencia (kits escolares, uniformes, y jornadas escolares complementarias)</t>
  </si>
  <si>
    <t>Atender a diez mil (10.000) estudiantes anualmente con otras estrategias de permanencia</t>
  </si>
  <si>
    <t>Planes Institucionales de Permanencia Escolar – PIPE, formulados e implementados en Instituciones Educativas Oficiales</t>
  </si>
  <si>
    <t>Formular e implementar Planes Institucionales de Permanencia Escolar - PIPE en cuarenta y cinco (45) Instituciones Educativas Oficiales</t>
  </si>
  <si>
    <t>Número de Instituciones Educativas Oficiales vinculadas a estrategias para el fortalecimiento de la oferta de educación inclusiva para preescolar, básica y media</t>
  </si>
  <si>
    <t>Vincular a setenta y dos (72) Instituciones Educativas Oficiales a estrategias para el fortalecimiento de la oferta de educación inclusiva para preescolar, básica y media</t>
  </si>
  <si>
    <t>Número de aulas hospitalarias para la atención de niños, niñas, adolescentes y jóvenes en condición de enfermedad habilitadas</t>
  </si>
  <si>
    <t>Habilitar cuatro (4) Aulas Hospitalarias para la atención de niños, niñas, adolescentes y jóvenes en condición de enfermedad</t>
  </si>
  <si>
    <t>Número de Instituciones Educativas Oficiales con modelos educativos flexibles implementados</t>
  </si>
  <si>
    <t>Implementar veintisiete (27) Instituciones Educativas Oficiales con modelos educativos flexibles</t>
  </si>
  <si>
    <t>Número de niños, niñas, adolescentes y jóvenes en extraedad, que se encuentran dentro de la oferta regular, atendidos con modelos educativos flexibles en el sistema educativo oficial</t>
  </si>
  <si>
    <t>Atender con modelos educativos flexibles a cuatro mil (4.000) niños, niñas, adolescentes y jóvenes en extraedad, que se encuentran dentro de la oferta regular del sistema educativo oficial</t>
  </si>
  <si>
    <t>Número de niños, niñas, adolescentes y jóvenes en extraedad, que se encuentran por fuera del sistema educativo oficial, atendidos con modelos educativos flexibles</t>
  </si>
  <si>
    <t>Atender con modelos educativos flexibles a tres mil seiscientos noventa (3.690) niños, niñas, adolescentes y jóvenes en extraedad, que se encuentran por fuera del sistema educativo oficial</t>
  </si>
  <si>
    <t>Número de personas atendidas con modelos de alfabetización</t>
  </si>
  <si>
    <t>Atender a ocho mil cuatrocientas (8.400) personas con modelos de alfabetización</t>
  </si>
  <si>
    <t>Número de Instituciones Educativas Oficiales con estudiantes con capacidades excepcionales vinculados a Escuela de Talentos</t>
  </si>
  <si>
    <t>Vincular estudiantes con capacidades excepcionales a la Escuela de Talentos en cincuenta (50) Instituciones Educativas Oficiales</t>
  </si>
  <si>
    <t>Número de Instituciones Educativas Oficiales con proyectos pedagógicos transversales de cultura, deporte, recreación, actividad física y artes implementados</t>
  </si>
  <si>
    <t>Implementar proyectos pedagógicos transversales de cultura, deporte, recreación, actividad física y artes en cincuenta y nueve (59) Instituciones Educativas Oficiales</t>
  </si>
  <si>
    <t>Número de Instituciones Educativas Oficiales con proyectos pedagógicos transversales de educación ambiental, emprendimiento y otros implementados</t>
  </si>
  <si>
    <t>Implementar proyectos pedagógicos transversales de educación ambiental, emprendimiento y otros en cincuenta y nueve (59) Instituciones Educativas Oficiales</t>
  </si>
  <si>
    <t>Numero de Instituciones Educativas Oficiales asistidas en su sistema escolar de convivencia, habilidades para la vida y la paz y gobierno escolar</t>
  </si>
  <si>
    <t>Asistir a ciento siete (107) Instituciones Educativas Oficiales en su sistema escolar de convivencia, habilidades para la vida y la paz y gobierno escolar</t>
  </si>
  <si>
    <t>Número de Instituciones Educativas Oficiales que implementan el Acuerdo Distrital No. 113 de 2022</t>
  </si>
  <si>
    <t>Implementar el Acuerdo Distrital No. 113 de 2022 en ciento siete (107) Instituciones Educativas Oficiales, de formación en derechos humanos de las mujeres y prevención de las violencias de género, dirigido a niñas, niños y jóvenes</t>
  </si>
  <si>
    <t>Numero de Instituciones Educativas Oficiales asistidas técnicamente en el proceso de tránsito de Proyecto Educativo Institucional – PEI a Proyecto Educativo Comunitario - PEC o Proyecto Educativo Intercultural acorde con la pertinencia con respecto a la caracterización y perfil educativo del territorio</t>
  </si>
  <si>
    <t>Asitir tecnicamente a trece (13) Instituciones Educativas Oficiales en el proceso de tránsito de Proyecto Educativo Institucional – PEI a Proyecto Educativo Comunitario - PEC o Proyecto Educativo Intercultural</t>
  </si>
  <si>
    <t>Número de Instituciones Educativas Oficiales con Cátedra de Estudios Afrocolombianos (CEA) implementada</t>
  </si>
  <si>
    <t>Implementar la Cátedra de Estudios Afrocolombianos (CEA) en seis (6) Instituciones Educativas Oficiales adicionales</t>
  </si>
  <si>
    <t>Número de Instituciones Educativas Oficiales acompañadas en el fortalecimiento de la enseñanza de lenguas extranjeras, especialmente las focalizadas en los Colegios Amigos del Turismo</t>
  </si>
  <si>
    <t>Acompañar a cincuenta y cinco (55) Instituciones Educativas Oficiales en el fortalecimiento de la enseñanza de lenguas extranjeras, especialmente las focalizadas en los Colegios Amigos del Turismo</t>
  </si>
  <si>
    <t>Número de docentes formados en una segunda lengua</t>
  </si>
  <si>
    <t>Formar a seiscientos (600) docentes en una segunda lengua</t>
  </si>
  <si>
    <t>Número de docentes formados en evaluación por competencias en las áreas que evalúa el ICFES</t>
  </si>
  <si>
    <t>Formar a seiscientos (600) docentes en evaluación por competencias en las áreas que evalúa el ICFES</t>
  </si>
  <si>
    <t>Número de estudiantes de grado 9, 10 y 11 formados para las Pruebas Saber</t>
  </si>
  <si>
    <t>Desarrollar setenta y ocho mil doscientos (78.200) formaciones a estudiantes de grado 9, 10 y 11 de las 107 Instituciones Educativas Oficiales en procesos de preparación para las Pruebas Saber</t>
  </si>
  <si>
    <t>Número de Instituciones Educativas Oficiales asesoradas en el análisis y uso de resultados de Pruebas Saber</t>
  </si>
  <si>
    <t>Asesorar técnicamente a sesenta y dos (62) nuevas Instituciones Educativas Oficiales en el análisis y uso de resultados de Pruebas Saber</t>
  </si>
  <si>
    <t>Número de Instituciones Educativas Oficiales con Plan Institucional de Lectura, Escritura y Oralidad (PILEO) implementado</t>
  </si>
  <si>
    <t>Implementar el Plan Institucional de Lectura, Escritura y Oralidad en ochenta y siete (87) Instituciones Educativas Oficiales</t>
  </si>
  <si>
    <t>Número de Instituciones Educativas Oficiales dotadas con material bibliográfico</t>
  </si>
  <si>
    <t>Dotar las bibliotecas escolares de ochenta y seis (86) Instituciones Educativas Oficiales con material bibliográfico</t>
  </si>
  <si>
    <t>Red de Bibliotecas Escolares integrada al sistema de bibliotecas públicas creada</t>
  </si>
  <si>
    <t>Crear una (1) Red de Bibliotecas Escolares integrada al sistema de bibliotecas públicas</t>
  </si>
  <si>
    <t>Ferias Distritales de Radio Escolar desarrolladas</t>
  </si>
  <si>
    <t>Desarrollar cuatro (4) Ferias Distritales de Radio Escolar</t>
  </si>
  <si>
    <t>Número de Instituciones Educativas Oficiales dotadas con materiales y equipos radiofónicos</t>
  </si>
  <si>
    <t>Dotar con material y equipo radiofónico a treinta (30) Instituciones Educativas Oficiales adicionales para la implementación de la radio escolar</t>
  </si>
  <si>
    <t>Número de Instituciones Educativas Oficiales que mejoran en resultados de pruebas - EGRA (Early Grade Reading Assessment)</t>
  </si>
  <si>
    <t>Mejorar en quince (15) Instituciones Educativas las destrezas básicas de alfabetismo en básica primaria medidos a través de EGRA</t>
  </si>
  <si>
    <t>Número de Instituciones Educativas Oficiales que mejoran en resultados de pruebas - EGMA (Early Grades Mathematics Assessment)</t>
  </si>
  <si>
    <t>Mejorar en quince (15) Instituciones Educativas las habilidades en matemáticas de las pruebas EGMA</t>
  </si>
  <si>
    <t>Número de docentes de Instituciones Educativas Oficiales formados en su saber disciplinar, pedagógico y reflexivo</t>
  </si>
  <si>
    <t>Formar a dos mil (2.000) docentes de Instituciones Educativas Oficiales en su saber disciplinar, pedagógico y reflexivo</t>
  </si>
  <si>
    <t>Número de directivos docentes formados en liderazgo</t>
  </si>
  <si>
    <t>Formar a ciento siete (107) rectores de Instituciones Educativas Oficiales en liderazgo y gestión educativa</t>
  </si>
  <si>
    <t>Número de foros educativos distritales anuales elaborados</t>
  </si>
  <si>
    <t>Elaborar cuatro (4) foros educativos en el cuatrienio</t>
  </si>
  <si>
    <t>Numero de Instituciones Educativas Oficiales, con asistencia tecnica en el proceso de actualización de sus modelos pedagógicos y curriculares</t>
  </si>
  <si>
    <t>Asistir tecnicamente a ciento siete (107) Instituciones Educativas Oficiales en el proceso de actualización de sus modelos pedagógicos y curriculares</t>
  </si>
  <si>
    <t>Sistema propio de información de la Gestión Escolar diseñado</t>
  </si>
  <si>
    <t>Crear un (1) sistema de información de la Gestión Escolar</t>
  </si>
  <si>
    <t>Referentes técnicos de educación inicial y preescolar incorporados en PEI de instituciones educativas que ofertan los grados prejardín, jardín y transición</t>
  </si>
  <si>
    <t>Incorporar los referentes técnicos de educación inicial y preescolar en los PEI de cuarenta (40) instituciones educativas que ofertan los grados prejardín, jardín y transición</t>
  </si>
  <si>
    <t>Número de estudiantes egresados de Instituciones Educativas Oficiales y con matrícula contratada becados en educación superior</t>
  </si>
  <si>
    <t>Becar en educación superior a nueve mil (9.000) estudiantes egresados de Instituciones Educativas Oficiales y con matrícula contratada</t>
  </si>
  <si>
    <t>Número de estudiantes egresados de Instituciones Educativas Oficiales y con matrícula contratada becados con becas inclusivas en educación superior (víctimas, NARP, con discapacidad, indígenas)</t>
  </si>
  <si>
    <t>Becar en educación superior a quinientas cuarenta y cuatro (544) estudiantes egresados de Instituciones Educativas Oficiales y con matrícula contratada, con becas inclusivas</t>
  </si>
  <si>
    <t>Número de estudiantes de media técnica graduados con doble titulación</t>
  </si>
  <si>
    <t>Graduar doce mil (12.000) estudiantes de media técnica con doble titulación</t>
  </si>
  <si>
    <t>Número de Instituciones Educativas Oficiales con media técnica y académicas con doble titulación implementada</t>
  </si>
  <si>
    <t>Implementar doble titulación en veinticinco (25) Instituciones Educativas Oficiales con media técnica e Instituciones Educativas Oficiales académicas</t>
  </si>
  <si>
    <t>Numero de Instituciones Educativas Oficiales con nodos de media técnica asistidas con programas pilotos de bilingüismo</t>
  </si>
  <si>
    <t>Asistir con programas piloto de bilingüismo a cinco (5)
Instituciones Educativas Oficiales con nodos de media técnica</t>
  </si>
  <si>
    <t>Número de estudiantes con formación técnica para el trabajo y el desarrollo humano</t>
  </si>
  <si>
    <t>Formar a quinientos (500) estudiantes en educación técnica para el trabajo y el desarrollo humano</t>
  </si>
  <si>
    <t>Número de voluntarios universitarios que acompañan a los estudiantes de las Instituciones Educativas Oficiales en el fortalecimiento de sus competencias</t>
  </si>
  <si>
    <t>Vincular a doscientos (200) voluntarios universitarios para acompañamiento a los estudiantes de las Instituciones Educativas Oficiales en el fortalecimiento de sus competencias</t>
  </si>
  <si>
    <t>PROGRAMA: AVANZAMOS EN EL FORTALECIMIENTO INSTITUCIONAL DE LA SECRETARÍA DE EDUCACIÓN</t>
  </si>
  <si>
    <t>Numero de políticas armonizadas del Modelo Integrado de Planeación y Gestión – MIPG en la SED</t>
  </si>
  <si>
    <t>Armonizar las diecinueve (19) políticas del Modelo Integrado de Planeación y Gestión - MIPG en la Secretaría de Educación</t>
  </si>
  <si>
    <t>Sistema de seguimiento y aseguramiento de la calidad del servicio educativo a través del ejercicio de la inspección y vigilancia, diseñado e implementado</t>
  </si>
  <si>
    <t>Diseñar e implementar un (1) sistema de seguimiento y aseguramiento a la calidad del servicio educativo a través del ejercicio de la inspección, vigilancia y control</t>
  </si>
  <si>
    <t>Plan de Bienestar y Protección para los funcionarios del sector educativo de Cartagena implementado</t>
  </si>
  <si>
    <t>Implementar un (1) Plan de Bienestar y Protección otorgados a los Funcionarios del Sector Educativo de Cartagena</t>
  </si>
  <si>
    <t>Reorganización administrativa y de procesos de la Secretaría de Educación diseñada, aprobada e implementada</t>
  </si>
  <si>
    <t>Diseñar, aprobar e implementar una (1) nueva estructura administrativa y de procesos de la Secretaría de Educación</t>
  </si>
  <si>
    <t>Número de sedes educativas con conectividad escolar implementada</t>
  </si>
  <si>
    <t>Implementar conectividad escolar en ciento cincuenta (150) sedes educativas del Distrito</t>
  </si>
  <si>
    <t>Número de aulas RTCi para el desarrollo de competencias digitales en las Instituciones Educativas Oficiales habilitadas</t>
  </si>
  <si>
    <t>Habilitar ocho (8) aulas RTCi para el desarrollo de competencias digitales en las Instituciones Educativas Oficiales</t>
  </si>
  <si>
    <t>Número de Instituciones Educativas Oficiales asistidas en las prácticas de ciencia, innovación y tecnología</t>
  </si>
  <si>
    <t>Asistir a ochenta y cinco (85) Instituciones Educativas Oficiales en las prácticas de ciencia, innovación y tecnología</t>
  </si>
  <si>
    <t>Estrategias de internacionalización implementadas</t>
  </si>
  <si>
    <t>Implementar veinte (20) estrategias que permitan la internacionalización de los programas institucionales</t>
  </si>
  <si>
    <t>Institución Universitaria Mayor de Cartagena.  (Calidad Académica)</t>
  </si>
  <si>
    <t>Plataforma virtual integral institucional implementada</t>
  </si>
  <si>
    <t>Implementar una (1) Plataforma Virtual integral institucional</t>
  </si>
  <si>
    <t>Metros cuadrados de infraestructura física institucional de la U. Mayor construidos</t>
  </si>
  <si>
    <t>Construir mil quinientos veintiséis (1.526) metros cuadrados de infraestructura física actual de la U. Mayor</t>
  </si>
  <si>
    <t>Espacios académicos y/o administrativos acondicionados y dotados</t>
  </si>
  <si>
    <t>Acondicionar y dotar cinco (5) nuevos espacios académicos y/o administrativos</t>
  </si>
  <si>
    <t>Programas de pregrado nuevos de la U. Mayor creados</t>
  </si>
  <si>
    <t>Crear seis (6) programas de pregrado nuevos</t>
  </si>
  <si>
    <t>Programas de posgrado nuevo ofertados</t>
  </si>
  <si>
    <t>Ofertar dos (2) nuevos programas de posgrado</t>
  </si>
  <si>
    <t>Número de estudiantes nuevos matriculados en la U. Mayor</t>
  </si>
  <si>
    <t>Matricular dos mil doscientos treinta y cuatro (2234) estudiantes nuevos</t>
  </si>
  <si>
    <t>Número de jóvenes formados como técnicos laborales en oficios tradicionales</t>
  </si>
  <si>
    <t>Formar a mil seiscientos (1.600) jóvenes en procesos de formación técnica en oficios tradicionales</t>
  </si>
  <si>
    <t>Escuela Taller Cartagena de Indias (ETCAR)</t>
  </si>
  <si>
    <t>Número de jóvenes vinculados en procesos de formación complementaria en oficios tradicionales</t>
  </si>
  <si>
    <t>Vincular a cuatrocientos (400) jóvenes en procesos de formación complementaria en oficios tradicionales</t>
  </si>
  <si>
    <t>Número de mujeres formadas en oficios técnicos y complementarios</t>
  </si>
  <si>
    <t>Formar a doscientos cuarenta (240) mujeres en los programas de formación en oficios técnicos y complementarios</t>
  </si>
  <si>
    <t>Número de egresados vinculados laboralmente a la Escuela Taller</t>
  </si>
  <si>
    <t>Vincular a doscientos (200) egresados de la Escuela Taller en oficios tradicionales</t>
  </si>
  <si>
    <t>Número de ambientes de aprendizaje mejorados</t>
  </si>
  <si>
    <t>Mejorar la infraestructura de nueve (9) ambientes de aprendizaje</t>
  </si>
  <si>
    <t>Número de usuarios conectados a la red de servicio de acueducto del Distrito</t>
  </si>
  <si>
    <t>Llevar trescientos diecisiete mil cuatrocientos ochenta y tres (317.483) el numero de usuarios conectados a la red de servicio de acueducto</t>
  </si>
  <si>
    <t>SECRETARÍA GENERAL - SECRETARÍA DE INFRAESTRUCTURA</t>
  </si>
  <si>
    <t>Kilómetros de refuerzo de conducción e impulsión de acueducto en el Distrito construidos</t>
  </si>
  <si>
    <t>Construir nueve (9) kilómetros de refuerzo de conducción y/o impulsión de acueducto</t>
  </si>
  <si>
    <t>Número de obras ejecutadas para la mejora de distribución de agua potable en el Distrito</t>
  </si>
  <si>
    <t>Ejecutar seis (6) obras para la mejora de distribución de agua potable</t>
  </si>
  <si>
    <t>Metros cúbicos de agua potable suministrados como soluciones alternativas o transitorias de acceso al agua potable en el Distrito de Cartagena</t>
  </si>
  <si>
    <t>Suministrar cuatrocientos cuarenta y ocho mil ochocientos (448.800) metros cúbicos de agua potable mediante soluciones alternativas o transitorias</t>
  </si>
  <si>
    <t>Número de usuarios conectados a la red de servicio de alcantarillado del Distrito</t>
  </si>
  <si>
    <t>Llevar a doscientos noventa y cinco mil quinientos veintinueve (295.529) el número de usuarios conectados a la red de servicio de alcantarillado</t>
  </si>
  <si>
    <t>Metros lineales de colectores de alcantarillado sanitario construidos en el Distrito</t>
  </si>
  <si>
    <t>Construir quinientos noventa y dos (592) metros lineales de colectores de alcantarillado sanitario</t>
  </si>
  <si>
    <t>Número de hectáreas de áreas de importancia estratégica con acciones de conservación y/o protección</t>
  </si>
  <si>
    <t>Proteger cuarenta y cinco (45) hectáreas de áreas de importancia estratégica con acciones de conservación y/o protección</t>
  </si>
  <si>
    <t>Número de servicios de apoyo financiero (subsidios) para usuarios de los servicios públicos domiciliarios de acueducto, alcantarillado y aseo estratos 1,2 y 3 del Distrito entregados</t>
  </si>
  <si>
    <t xml:space="preserve">Entregar servicios de apoyo financiero (subsidios) de los servicios públicos domiciliarios a doscientos cuarenta y seis mil ciento cincuenta y dos (246.152) usuarios de acueducto de estrato 1, 2 y 3, a ciento setenta y un mil trescientos siete (171.307) usuarios de alcantarillado de estrato 1, 2 y 3, y a doscientos ochenta y un mil ochocientos veintitres (281.823) usuarios de servicio de aseo de estratos 1, 2 </t>
  </si>
  <si>
    <t>SECRETARÍA GENERAL</t>
  </si>
  <si>
    <t>Número de lámparas o luminarias de alumbrado público en funcionamiento</t>
  </si>
  <si>
    <t>Instalar y poner en funcionamiento siete mil (7.000) lámparas o luminarias de alumbrado público</t>
  </si>
  <si>
    <t>Número de lámparas o luminarias con energías renovables instaladas</t>
  </si>
  <si>
    <t>Instalar ochocientas (800) lámparas o luminarias con energía renovable</t>
  </si>
  <si>
    <t>Número de iniciativas de generación de energía a partir de fuentes no convencionales implementadas</t>
  </si>
  <si>
    <t>Implementar tres (5) iniciativas de generación de energía a partir de fuentes no convencionales</t>
  </si>
  <si>
    <t>Número de barrios con monitoreo de información en la prestación del servicio del alumbrado público implementado</t>
  </si>
  <si>
    <t>Implementar en seis (6) barrios el monitoreo de información en la prestación del servicio de alumbrado público</t>
  </si>
  <si>
    <t>PGIRS del Distrito actualizado</t>
  </si>
  <si>
    <t>Actualizar un (1) Plan de Gestión Integral de Residuos Sólidos</t>
  </si>
  <si>
    <t>Número de convocatorias promovidas para la asignación de incentivo al Aprovechamiento y Tratamiento de Residuos Sólidos (IAT) en el Distrito</t>
  </si>
  <si>
    <t>Promover cuatro (4) convocatorias para la asignación de incentivo al Aprovechamiento y Tratamiento de Residuos Sólidos (IAT) en el Distrito</t>
  </si>
  <si>
    <t>Censo de recicladores del Distrito actualizado</t>
  </si>
  <si>
    <t>Actualizar un (1) censo de recicladores del Distrito</t>
  </si>
  <si>
    <t>Número de proyectos formulados para la implementación de planta de tratamiento de residuos del Distrito</t>
  </si>
  <si>
    <t>Formular un (1) proyecto para la implementación de planta de tratamiento de residuos del Distrito</t>
  </si>
  <si>
    <t>Número de proyecto formulado e implementado para la gestión de residuos en el área rural/ insular del Distrito</t>
  </si>
  <si>
    <t>Formular e implementar un (1) proyecto para la gestión de residuos en el área rural/insular del Distrito</t>
  </si>
  <si>
    <t>Número de puntos de acopio implementados para la disposición de residuos en la zona insular del Distrito</t>
  </si>
  <si>
    <t>Implementar cuatro (4) puntos de acopio para la disposición de residuos en la zona insular del Distrito</t>
  </si>
  <si>
    <t>Documentos de lineamientos técnicos elaborados para la gestión de los residuos de aparatos eléctricos y electrónicos (RAEE) en el área rural/ insular del Distrito</t>
  </si>
  <si>
    <t>Elaborar un (1) lineamiento técnico para la gestión de los residuos de aparatos eléctricos y electrónicos (RAEE) en el área rural/insular del Distrit</t>
  </si>
  <si>
    <t>Número de puntos críticos recuperados en el Distrito</t>
  </si>
  <si>
    <t>Recuperar veinticuatro (24) puntos críticos en el Distrito</t>
  </si>
  <si>
    <t>Número de personas formadas en aprovechamiento de residuos</t>
  </si>
  <si>
    <t>Formar cien mil (100.000) personas en aprovechamiento de residuos en el Distrito</t>
  </si>
  <si>
    <t>Número de programas de formación para recicladores de oficio implementados</t>
  </si>
  <si>
    <t>Implementar un (1) programa de formación para recicladores de oficio</t>
  </si>
  <si>
    <t>Número de campañas de fomento a la formalización de recicladores desarrolladas</t>
  </si>
  <si>
    <t>Desarrollar dos (2) campañas de fomento a la formalización de recicladores</t>
  </si>
  <si>
    <t>Rutas selectivas de reciclaje georreferenciadas</t>
  </si>
  <si>
    <t>Georreferenciar la totalidad de las rutas selectivas de reciclaje</t>
  </si>
  <si>
    <t>Hogares beneficiados con servicio de apoyo financiero para adquisición de vivienda</t>
  </si>
  <si>
    <t>Beneficiar a diez mil (10.000) hogares con subsidios familiares de adquisición de vivienda de interés social</t>
  </si>
  <si>
    <t>CORVIVIENDA</t>
  </si>
  <si>
    <t>Hogares beneficiados con mejoramiento de vivienda urbana</t>
  </si>
  <si>
    <t>Beneficiar a doce mil setecientos cincuenta (12.750) hogares con subsidios familiares para mejoramiento de vivienda urbana</t>
  </si>
  <si>
    <t>Número de predios legalizados o titulados</t>
  </si>
  <si>
    <t>Titular o legalizar cinco mil (5.000) predios</t>
  </si>
  <si>
    <t>Número de Documentos de planeación - DTS para la legalización urbanística elaborados</t>
  </si>
  <si>
    <t>Elaborar cinco (5) Documentos Técnicos de Soporte para la solicitud de legalización de 100 hectáreas en los asentamientos humanos priorizados del Distrito</t>
  </si>
  <si>
    <t>Número de documentos normativos para legalización de asentamientos humanos adoptados</t>
  </si>
  <si>
    <t>Adoptar seis (6) documentos normativos para la legalización de 122 hectáreas en asentamientos humanos</t>
  </si>
  <si>
    <t>SECRETARÍA DE PLANEACIÓN</t>
  </si>
  <si>
    <t>Número de sistemas de información de vivienda actualizados</t>
  </si>
  <si>
    <t>Actualizar un (1) sistema de información de vivienda</t>
  </si>
  <si>
    <t>Número de personas con acceso efectivo a procesos de lenguaje, lectura, escritura y oralidad. </t>
  </si>
  <si>
    <t>Vincular a trescientas seis mil cincuenta y nueve (306.059) personas de manera efectiva a los procesos de lenguaje, lectura, escritura y oralidad</t>
  </si>
  <si>
    <t>IPCC</t>
  </si>
  <si>
    <t>Número de bibliotecas dotadas y en funcionamiento</t>
  </si>
  <si>
    <t>Dotar de mobiliario y equipo y mantener en funcionamiento dieciocho (18) bibliotecas</t>
  </si>
  <si>
    <t>Número de actividades de extensión bibliotecaria implementadas</t>
  </si>
  <si>
    <t>Implementar mil ochocientas (1.800) actividades de extensión bibliotecaria</t>
  </si>
  <si>
    <t>Plan de Fortalecimiento para la Consolidación de la Red de Bibliotecas Distritales</t>
  </si>
  <si>
    <t>Formular e implementar un (1) Plan de Fortalecimiento para la Consolidación de la Red de Bibliotecas Distritales</t>
  </si>
  <si>
    <t>Plan de Fortalecimiento para la Red de Museos Distrital diseñado e implementado</t>
  </si>
  <si>
    <t>Diseñar e implementar un (1) Plan de Fortalecimiento para la Red de Museos Distrital</t>
  </si>
  <si>
    <t>Número de infraestructuras culturales mejoradas, adecuadas y/o dotadas</t>
  </si>
  <si>
    <t>Mejorar, adecuar y/o dotar treinta y cuatro (34) infraestructuras culturales accesibles, inclusivas y diversas</t>
  </si>
  <si>
    <t>Número de infraestructuras culturales construidas y dotadas</t>
  </si>
  <si>
    <t>Construir y dotar dos (2) infraestructuras culturales accesibles, inclusivas y diversas</t>
  </si>
  <si>
    <t>Número de estrategias de aprovechamiento en espacios culturales implementadas</t>
  </si>
  <si>
    <t>Implementar estrategias de aprovechamiento en treinta y tres (34) espacios culturales (creación, divulgación, producción y difusión)</t>
  </si>
  <si>
    <t>Número de estímulos otorgados o proyectos apoyados. </t>
  </si>
  <si>
    <t>Otorgar mil (1.000) estímulos culturales y artísticos</t>
  </si>
  <si>
    <t>Número de estímulos otorgados con enfoque diferencial e interseccional. </t>
  </si>
  <si>
    <t>Otorgar cien (100) estímulos con enfoque diferencial e intersecciona</t>
  </si>
  <si>
    <t>Número de mercados o espacios de circulación para emprendimientos culturales y artísticos. </t>
  </si>
  <si>
    <t>Crear seis (6) mercados o espacios de circulación para emprendimientos culturales y artísticos</t>
  </si>
  <si>
    <t>Número de emprendimientos y/o micronegocios de economía popular del sector cultura, arte y patrimonio apoyados financieramente </t>
  </si>
  <si>
    <t>Otorgar ciento cincuenta (150) apoyos financieros para micronegocios de economía popular del sector cultura, arte y patrimonio</t>
  </si>
  <si>
    <t>Número de personas beneficiarias del programa de formación artística y cultural.</t>
  </si>
  <si>
    <t>Vincular a mil ochocientas (1.800) personas en el programa de Formación Artística y Cultural</t>
  </si>
  <si>
    <t>Sistema Distrital de Formación Artística y Cultural creado e implementado</t>
  </si>
  <si>
    <t>Crear e implementar un (1) Sistema Distrital de Formación Artística y Cultural</t>
  </si>
  <si>
    <t>Estrategia de modernización y mejoramiento del desempeño institucional del Instituto de Patrimonio y Cultura diseñada e implementada</t>
  </si>
  <si>
    <t>Diseñar e implementar una (1) estrategia de modernización y mejoramiento del desempeño institucional del Instituto de Patrimonio y Cultura</t>
  </si>
  <si>
    <t>Plan de fortalecimiento para el Sistema Distrital de Cultura y consejos de áreas artísticas</t>
  </si>
  <si>
    <t>Diseñar e implementar un (1) plan de fortalecimiento para Sistema Distrital de Cultura y consejos de áreas artísticas</t>
  </si>
  <si>
    <t>Implementación de la Comisión Fílmica de Cartagena de Indias y adquisición del PUFAC (Permiso Unificado de Filmaciones Audiovisuales) </t>
  </si>
  <si>
    <t>Implementar una (1) Comisión Fílmica en Cartagena de Indias y adquisición del PUFAC (Permiso Unificado de Filmaciones Audiovisuales) </t>
  </si>
  <si>
    <t>Política Pública Distrital de Cinematografía, Medios Audiovisuales e Interactivos formulada e implementada</t>
  </si>
  <si>
    <t>Formular e implementar una (1) Política Pública Distrital de Cinematografía, Medios Audiovisuales e Interactivos</t>
  </si>
  <si>
    <t>Cinemateca de Cartagena de Indias construida</t>
  </si>
  <si>
    <t>Construir una (1) cinemateca de Cartagena de Indias </t>
  </si>
  <si>
    <t>Número de festivales, fiestas y festejos implementados y desarrollados</t>
  </si>
  <si>
    <t>Implementar y desarrollar dieciséis (16) festivales, fiestas y festejos para promoción del patrimonio inmaterial</t>
  </si>
  <si>
    <t>Festival de Música del Caribe impulsado anualmente</t>
  </si>
  <si>
    <t>Impulsar anualmente el desarrollo de un (1) Festival de Música del Caribe</t>
  </si>
  <si>
    <t>Inventario del patrimonio cultural material e inmaterial de Cartagena elaborado</t>
  </si>
  <si>
    <t>Elaborar un (1) inventario del patrimonio cultural material e inmaterial de Cartagena</t>
  </si>
  <si>
    <t>Número de estrategias para la preservación y protección de las tradiciones técnicas, costumbres y saberes propias de la cultura cartagenera diseñadas e implementadas</t>
  </si>
  <si>
    <t>Diseñar e implementar cuatro (4) estrategias para la preservación y protección de las tradiciones técnicas, costumbres y saberes propias de la cultura cartagenera (cultura alimentaria de las matronas, artesanía, tradición oral, entre otras)</t>
  </si>
  <si>
    <t>Plan Maestro para el cuidado, conservación y apropiación social del patrimonio material elaborado e implementado</t>
  </si>
  <si>
    <t>Elaborar e implementar un (1) Plan Maestro para el cuidado, conservación y apropiación social del patrimonio material</t>
  </si>
  <si>
    <t>Número de piezas de la colección del Museo Histórico de Cartagena intervenidas</t>
  </si>
  <si>
    <t>Intervenir seiscientas cuarenta (640) piezas de la colección del Museo Histórico de Cartagena</t>
  </si>
  <si>
    <t>Número de obras de infraestructura al bien de interés cultural, mejoradas, adecuadas y/o dotadas</t>
  </si>
  <si>
    <t>Mejorar, adecuar y/o dotar dos (2) pisos del bien de interés cultural: Palacio de la Inquisición</t>
  </si>
  <si>
    <t>Plan para la Consolidación y Promoción de la Memoria Histórica de Cartagena, formulado e implementado</t>
  </si>
  <si>
    <t>Formular e implementar un (1) Plan para la Consolidación y Promoción de la Memoria Histórica de Cartagena</t>
  </si>
  <si>
    <t>Número de escenarios deportivos nuevos construidos</t>
  </si>
  <si>
    <t>Construir doce (12) nuevos escenarios deportivos</t>
  </si>
  <si>
    <t>IDER</t>
  </si>
  <si>
    <t>Complejo Deportivo Nuevo Chambacú construido</t>
  </si>
  <si>
    <t>Construir un (1) Complejo Deportivo Nuevo Chambacú</t>
  </si>
  <si>
    <t>Número de escenarios deportivos reconstruidos</t>
  </si>
  <si>
    <t>Reconstruir dieciséis (16) escenarios deportivos</t>
  </si>
  <si>
    <t>Número de escenarios deportivos mantenidos, adecuados, y/o mejorados en el distrito de Cartagena de Indias</t>
  </si>
  <si>
    <t>Mantener, adecuar y/o mejorar trescientos  (300) escenarios deportivos</t>
  </si>
  <si>
    <t>Número de incentivos y/o apoyos otorgados a deportistas de alto rendimiento, convencionales y paralímpicos</t>
  </si>
  <si>
    <t>Entregar mil ciento treinta y dos (1.132) incentivos y/o apoyos para deportistas convencionales y paralímpicos</t>
  </si>
  <si>
    <t>Número de incentivos y/o apoyos otorgados a ligas, clubes, federaciones y otras organizaciones deportivas</t>
  </si>
  <si>
    <t>Otorgar trescientos veinte (320) incentivos y/o apoyos para ligas, clubes, federaciones y otras organizaciones deportivas</t>
  </si>
  <si>
    <t>Número de personas participantes de procesos de apropiación social del conocimiento del sector deportivo</t>
  </si>
  <si>
    <t>Vincular a veintiún mil quinientas (21.500) personas en procesos de apropiación social del conocimiento del sector deportivo</t>
  </si>
  <si>
    <t>Número de documentos de investigación en memoria histórica del deporte cartagenero y bolivarense publicados</t>
  </si>
  <si>
    <t>Publicar doce (12) documentos de investigación en memoria histórica del deporte cartagenero y bolivarense</t>
  </si>
  <si>
    <t>Número de niños, niñas, adolescentes y jóvenes inscritos en la escuela de iniciación y formación deportiva</t>
  </si>
  <si>
    <t>Vincular a veintiséis mil ochocientos (26.800) niños, niñas, adolescentes y jóvenes en la escuela de iniciación y formación deportiva</t>
  </si>
  <si>
    <t>Número de núcleos de la escuela iniciativa y formación deportiva mantenidas y creados</t>
  </si>
  <si>
    <t>Mantener cincuenta y cinco (55) y crear seis (6) núcleos de la escuela iniciativa y formación deportiva</t>
  </si>
  <si>
    <t>Número de núcleos de educación física extraescolar creados</t>
  </si>
  <si>
    <t>Crear cuatro (4) núcleos de educación física extraescolar </t>
  </si>
  <si>
    <t>SECRETARÍA DE EDUCACIÓN SED – IDER</t>
  </si>
  <si>
    <t xml:space="preserve">Número de participantes en los diferentes eventos y/o torneos de las instituciones educativas y las universidades
</t>
  </si>
  <si>
    <t xml:space="preserve">Vincular a veintiocho mil (28.000) participantes en los eventos y/o torneos de las instituciones educativas y las universidades
</t>
  </si>
  <si>
    <t xml:space="preserve">Número de instituciones
educativas participantes en
los Juegos Intercolegiado
</t>
  </si>
  <si>
    <t>Vincular a doscientas (200) Instituciones Educativas en los Juegos Intercolegiados</t>
  </si>
  <si>
    <t>Número de personas participantes vinculadas en los eventos y/o torneos del deporte social comunitario</t>
  </si>
  <si>
    <t>Vincular a sesenta y un mil (61.000) personas en los eventos y/o torneos del deporte social comunitario</t>
  </si>
  <si>
    <t>Número de participantes vinculados en las estrategias y/o actividades de recreación comunitaria.</t>
  </si>
  <si>
    <t>Vincular a ciento ochenta mil (180.000) participantes en las estrategias y/o actividades de recreación comunitaria</t>
  </si>
  <si>
    <t>Número de participantes vinculados a las estrategias de actividad física</t>
  </si>
  <si>
    <t>Vincular a ciento veinte mil (120.000) participantes a las estrategias de actividad física</t>
  </si>
  <si>
    <t>Número de eventos deportivos de carácter regional, nacional e internacional impulsados</t>
  </si>
  <si>
    <t>Impulsar doscientos (200) eventos deportivos de carácter regional, nacional e internacional</t>
  </si>
  <si>
    <t>Número de personas vinculadas a los eventos deportivos de carácter regional, nacional e internacional</t>
  </si>
  <si>
    <t>Vincular a sesenta mil (60.000) personas a los eventos deportivos de carácter regional, nacional e internacional</t>
  </si>
  <si>
    <t>Número de eventos recreativos de carácter regional, nacional e internacional impulsados</t>
  </si>
  <si>
    <t>Impulsar noventa y seis (96) eventos recreativos de carácter regional, nacional e internacional</t>
  </si>
  <si>
    <t>Número de personas vinculadas a los eventos recreativos de carácter regional, nacional e internacional</t>
  </si>
  <si>
    <t>Vincular a sesenta y cinco mil (65.000) personas a los eventos recreativos de carácter regional, nacional e internacional</t>
  </si>
  <si>
    <t>Número de niñas y niños en primera infancia con atenciones priorizadas en el marco de la atención integral</t>
  </si>
  <si>
    <t>Atender a dos mil ochocientos (2.800) niñas y niños en primera infancia en el marco de la atención integral anualmente</t>
  </si>
  <si>
    <t>SECRETARÍA DE PARTICIPACIÓN DE DESARROLLO SOCIAL</t>
  </si>
  <si>
    <t>Número de padres, madres, cuidadores participantes en acciones de formación para el fortalecimiento de vínculos, la crianza amorosa y la promoción de sus derechos.</t>
  </si>
  <si>
    <t>Vincular a treinta y tres mil ochocientos veintidós (33.822) de padres, madres, y cuidadores en acciones de formación para el fortalecimiento de vínculos, la crianza amorosa y la promoción de sus
derechos</t>
  </si>
  <si>
    <t>Centros de Desarrollo Infantil construidos y dotados en el Distrito</t>
  </si>
  <si>
    <t>Construir y dotar dos (2) Centros de Desarrollo Infantil en el Distrito</t>
  </si>
  <si>
    <t>Centros de desarrollo infantil adecuados</t>
  </si>
  <si>
    <t>Adecuar tres (3) Centros de Desarrollo Infantil</t>
  </si>
  <si>
    <t>Número de niños, niñas y adolescentes que participan en actividades para la prevención y desvinculación de situación o riesgo de todo tipo de violencia.</t>
  </si>
  <si>
    <t>Vincular a treinta y seis mil (36.000) niños, niñas y adolescentes en actividades para la prevención y desvinculación de situación o riesgo de todo tipo de violencia</t>
  </si>
  <si>
    <t>Número de niños, niñas, adolescentes beneficiados con acciones de prevención de amenazas o vulneración de derechos a través del Hogar de Protección</t>
  </si>
  <si>
    <t>Beneficiar a cuatrocientos ochenta (480) niños, niñas y adolescentes anualmente con acciones de prevención de amenazas o vulneración de derechos a través del Hogar de Protección</t>
  </si>
  <si>
    <t>Ruta actualizada y socializada para la atención y protección de niños y niñas contra la Explotación Sexual Comercial de Niños Niñas y Adolescentes</t>
  </si>
  <si>
    <t>Actualizar y socializar una (1) ruta para la atención y protección de niños y niñas contra la Explotación Sexual Comercial de Niños Niñas y Adolescentes</t>
  </si>
  <si>
    <t>Número de padres, madres y cuidadores formados para la prevención de las violencias y buena crianza hacia NNA.</t>
  </si>
  <si>
    <t>Formar a ocho mil (8.000) padres, madres y cuidadores en prevención de las violencias y buena crianza a niños, niñas y adolescentes</t>
  </si>
  <si>
    <t>Número de niños, niñas y adolescentes vinculados a actividades lúdicas extramurales y del ejercicio del derecho al juego al interior de las ludotecas distritales.</t>
  </si>
  <si>
    <t>Vincular a sesenta y tres mil (63.000) niños, niñas y adolescentes en actividades lúdicas extramurales y del ejercicio del derecho al juego en las ludotecas distritales.</t>
  </si>
  <si>
    <t>Número de niños, niñas y adolescentes vinculados en acciones de promoción del derecho a la participación y a la asociación.</t>
  </si>
  <si>
    <t>Vincular a dos mil trescientos (2.300) niños, niñas y adolescentes en acciones de promoción del derecho a la participación y a la asociación</t>
  </si>
  <si>
    <t>Plan Regional de Competitividad actualizado</t>
  </si>
  <si>
    <t>Acciones que fortalezcan el mejoramiento del clima de negocios implementadas</t>
  </si>
  <si>
    <t>SECRETARÍA DE HACIENDA</t>
  </si>
  <si>
    <t>Estrategias de acompañamiento de iniciativas de clúster y apuestas productivas promisorias ejecutadas con apuestas productivas hacia sectores de mayor generación de valor agregado</t>
  </si>
  <si>
    <t>Personas beneficiadas con la implementación de planes de fomento de la cultura de la innovación</t>
  </si>
  <si>
    <t>Sistema Distrital de Innovación actualizado</t>
  </si>
  <si>
    <t>Estrategias de posicionamiento “Cartagena Plataforma Exportadora” implementadas</t>
  </si>
  <si>
    <t>Empresas asistidas en programa de exportaciones</t>
  </si>
  <si>
    <t>Alianzas para la promoción de Cartagena como “destino internacional en inversiones y apuestas productivas” generadas</t>
  </si>
  <si>
    <t>Rutas para la diversificación económica y el desarrollo empresarial implementadas</t>
  </si>
  <si>
    <t>Estrategias de fortalecimiento empresarial y generación de encadenamientos productivos ejecutadas</t>
  </si>
  <si>
    <t>MiPymes impactadas con servicios de fortalecimiento empresarial</t>
  </si>
  <si>
    <t>Programa de fortalecimiento de comerciantes de sectores estratégicos implementado</t>
  </si>
  <si>
    <t>Número de alianzas de cooperantes nacionales e internacionales habilitadas y consolidadas en el Distrito</t>
  </si>
  <si>
    <t>Número de organizaciones mapeadas y habilitadas para cooperar</t>
  </si>
  <si>
    <t>SECRETARÍA GENERAL - COOPERACIÓN INTERNACIONAL</t>
  </si>
  <si>
    <t>Negocios verdes consolidados</t>
  </si>
  <si>
    <t>ESTABLECIMIENTO PÚBLICO AMBIENTAL EPA</t>
  </si>
  <si>
    <t>Plantas para la revalorización de residuos en zonas de tratamiento integral implementadas</t>
  </si>
  <si>
    <t xml:space="preserve">SECRETARÍA GENERAL (SERVICIOS PÚBLICOS) - SECRETARÍA DE HACIENDA
</t>
  </si>
  <si>
    <t>Número de proyectos específicos de economía circular implementados con el apoyo de Cooperantes</t>
  </si>
  <si>
    <t>Número de investigaciones desarrolladas para evaluar y redefinir las apuestas productivas de la ciudad en el marco de las tendencias futuras de la economía mundial</t>
  </si>
  <si>
    <t>Número de estudios sobre mercado laboral y pertinencia educativas elaborados</t>
  </si>
  <si>
    <t>Fondo para la reconversión productiva destinada a emprendimientos de pequeñas y medianas empresas creada</t>
  </si>
  <si>
    <t>Estrategia de encadenamientos productivos a nivel intersectorial e intrasectorial entre las grandes, medianas y pequeñas empresas</t>
  </si>
  <si>
    <t>Centros de Formación para el Empleo con Enfoque en Ciencia, Tecnología, Innovación y Bilingüismo creados y en funcionamiento</t>
  </si>
  <si>
    <t>SECRETARÍA DE EDUCACIÓN</t>
  </si>
  <si>
    <t>Jóvenes (mujeres, grupos étnicos y víctimas) vinculados a estrategias de formación relacionadas a la innovación y la Cuarta Revolución Industrial</t>
  </si>
  <si>
    <t>Estrategias de acceso a oportunidades del mercado laboral (trabajo formal y formalización del trabajo informal) implementadas</t>
  </si>
  <si>
    <t>Cooperativas creadas que vinculen a las Organizaciones Comunales y de víctimas del conflicto en el desarrollo de oportunidades del mercado laboral</t>
  </si>
  <si>
    <t>Personas vinculadas a rutas de empleo y capital humano</t>
  </si>
  <si>
    <t>Número de estudiantes vinculados en la administración distrital, a través de la realización de las prácticas laborales</t>
  </si>
  <si>
    <t>Número de jóvenes graduados sin experiencia laboral vinculados a la administración distrital</t>
  </si>
  <si>
    <t>Número de mujeres cualificadas para la inserción laboral</t>
  </si>
  <si>
    <t>Rutas de emprendimiento implementadas</t>
  </si>
  <si>
    <t>Planes de comercialización y visibilización de productos de emprendedores ejecutados</t>
  </si>
  <si>
    <t>Estrategias de acompañamiento a emprendimientos y Mipymes para acceso a mecanismos de financiación elaboradas</t>
  </si>
  <si>
    <t>Emprendedores intervenidos con capacidades para emprender fortalecidas</t>
  </si>
  <si>
    <t>Estrategias de proveeduría de sectores administrados por el Distrito que vincule la participación de emprendimientos, negocios y/o proyectos productivos liderado por mujeres diseñada y ejecutada</t>
  </si>
  <si>
    <t>SECRETARÍA DE HACIENDA - SECRETARÍA DE PARTICIPACIÓN Y DESARROLLO SOCIAL</t>
  </si>
  <si>
    <t xml:space="preserve">Número de estrategias para promover el ecosistema de emprendimiento e innovación implementada
</t>
  </si>
  <si>
    <t>Microcentros de Inteligencia Artificial creados</t>
  </si>
  <si>
    <t>SECRETARÍA GENERAL - OFICINA DE INFORMATICA</t>
  </si>
  <si>
    <t>Caracterización socio empresarial de familias vulnerables atendidas en el Distrito</t>
  </si>
  <si>
    <t>Personas vulnerables Formadas y con fortalecimiento productivo</t>
  </si>
  <si>
    <t>Número de ferias de emprendimientos desarrolladas anualmente en el Distrito</t>
  </si>
  <si>
    <t>Número de emprendimientos, negocios y/o proyectos productivos liderados por mujeres financiados y formalizados</t>
  </si>
  <si>
    <t>Jóvenes formados en emprendimientos e inclusión productiva.</t>
  </si>
  <si>
    <t>Emprendimientos juveniles apoyados financieramente</t>
  </si>
  <si>
    <t>Jóvenes formados y certificados para la vinculación e inserción en el mercado laboral</t>
  </si>
  <si>
    <t>Espacios o acciones de promoción para la vinculación laboral de jóvenes al trabajo formal y promoción del primer empleo</t>
  </si>
  <si>
    <t>Número de vendedores formalizados con emprendimiento y creación de pequeña empresa</t>
  </si>
  <si>
    <t>GEPM - SECRETARÍA DE HACIENDA</t>
  </si>
  <si>
    <t>Mobiliario urbano para el emprendimiento económico diseñado</t>
  </si>
  <si>
    <t>Docuemntos de lineamientos para el manejo del sector turismo elaborados</t>
  </si>
  <si>
    <t>SECRETARÍA DE TURISMO</t>
  </si>
  <si>
    <t>Centro de Atención al Turista en funcionamiento en el Distrito de Cartagena de Indias (zona insular y urbana)</t>
  </si>
  <si>
    <t>Equipamientos para brigadistas y guardavidas del Distrito entregados</t>
  </si>
  <si>
    <t>Número de personas líderes y autoridades turísticas vinculadas a procesos de formación</t>
  </si>
  <si>
    <t>Número de personas vinculadas a procesos de formación formal e informal asuntos turísticos</t>
  </si>
  <si>
    <t>Número de personas vinculadas con oportunidades de acceso a rutas de empleo y capital humano enfocado en turismo sostenible</t>
  </si>
  <si>
    <t>Rutas comunitarias creadas e implementadas (rutas eco-ambientales, gastronómicas, culturales, turísticas, entre otras)</t>
  </si>
  <si>
    <t>Número de personas vinculadas a asistencia técnica para el fortalecimiento de la actividad artesanal</t>
  </si>
  <si>
    <t>Activos productivos entregados a los prestadores de servicios turísticos</t>
  </si>
  <si>
    <t>SECRETARÍA DE TURISMO - SECRETARÍA DE HACIENDA</t>
  </si>
  <si>
    <t>Número de atractivos turísticos con implementación de acciones de sostenibilidad ambiental</t>
  </si>
  <si>
    <t>Número de proyectos cofinanciados para la actividad turística</t>
  </si>
  <si>
    <t>Número de certificaciones de destino turístico sostenible obtenidas</t>
  </si>
  <si>
    <t>Portal Único de Información Turística sobre la Oferta Turística creado</t>
  </si>
  <si>
    <t>Tecnologia de destino turistica inteligente creada e implementada</t>
  </si>
  <si>
    <t>Alianzas con universidades para la formacion y profesionalizacion de actores turisticos implementado</t>
  </si>
  <si>
    <t>Número de eventos turísticos náuticos promovidos y desarrollados en la zona insular y urbana del Distrito</t>
  </si>
  <si>
    <t>Campañas de divulgación para la promoción y conectividad</t>
  </si>
  <si>
    <t>CORPOTURISMO - SECRETARÍA DE TURISMO</t>
  </si>
  <si>
    <t>Eventos especializados con participación del Distrito</t>
  </si>
  <si>
    <t>Productos turísticos desarrollados</t>
  </si>
  <si>
    <t>Eventos de ciudad con impacto nacional e internacional implementados en Cartagena</t>
  </si>
  <si>
    <t xml:space="preserve">Infraestructura turística dotada, adecuada, mejorada, mantenida y/o construida (infraestructura marino costera, embarcaderos)
</t>
  </si>
  <si>
    <t>SECRETARÍA DE INFRAESTRUCTURA - SECRETARÍA DE TURISMO</t>
  </si>
  <si>
    <t>Estudios de preinversión para proyectos turísticos elaborados</t>
  </si>
  <si>
    <t>Número de señalizaciones turísticas instaladas, (incluye playas y espacios turísticos que lo requieran)</t>
  </si>
  <si>
    <t>Acciones de mantenimiento infraestructuras turística para prestar servicios de vigilancia, control y seguridad a los turistas implementadas</t>
  </si>
  <si>
    <t>Entidad para el desarrollo y sostenibilidad turística consolidada</t>
  </si>
  <si>
    <t>Observatorio de Turismo creado</t>
  </si>
  <si>
    <t>Documentos de Planificación de Ordenamiento de Playas elaborado</t>
  </si>
  <si>
    <t>Número de procesos productivos de agricultura campesina familiar y comunitaria desarrollados</t>
  </si>
  <si>
    <t>UMATA</t>
  </si>
  <si>
    <t>Número de mujeres rurales atendidas con servicios de extensión agropecuaria</t>
  </si>
  <si>
    <t>Número de mujeres afros rurales atendidas con servicios de extensión agropecuaria</t>
  </si>
  <si>
    <t>Número de mujeres indígena atendidas en las actividades propias</t>
  </si>
  <si>
    <t>Número de circuitos cortos de comercialización implementados (mercados campesinos, ferias de negocios, HORECA, Mercado Virtual)</t>
  </si>
  <si>
    <t>Número de Planes de Extensión Agropecuaria del Distrito formulados y/o ejecutados</t>
  </si>
  <si>
    <t>Número de productores atendidos con servicios de extensión agropecuaria</t>
  </si>
  <si>
    <t>Número de encadenamientos y/o cadenas productivas para garantizar el derecho humano a la alimentación priorizadas, consolidadas y en funcionamiento</t>
  </si>
  <si>
    <t>Número de organizaciones de pescadores (pertenecientes a grupos étnicos) dotadas</t>
  </si>
  <si>
    <t>Número de procesos productivos en producción, reproducción y mejoramiento genético (bovina y/o especies menores) formulados y/o ejecutados</t>
  </si>
  <si>
    <t>Número de procesos asociativos para fortalecer las capacidades y competencias agropecuarias creados</t>
  </si>
  <si>
    <t>Número de emprendimientos rurales orientados a la generación de valor agregado asistido</t>
  </si>
  <si>
    <t>Número de alianzas y/o convenios interadministrativos para la dotación de infraestructura física y/o activos productivos de carácter público implementadas</t>
  </si>
  <si>
    <t>SECRETARÍA DE INFRAESTRUCTURA - CORVIVIENDA - UMATA</t>
  </si>
  <si>
    <t>Número de soluciones alternativas de fuentes de agua en zonas de producción agrícolas para mitigar el cambio climático implementadas</t>
  </si>
  <si>
    <t>SECRETARÍA DE INFRAESTRUCTURA - UMATA</t>
  </si>
  <si>
    <t>PROGRAMA: CARTAGENA CIUDAD DE PESCADORES</t>
  </si>
  <si>
    <t>Proyectos de maricultura implementados y formulados</t>
  </si>
  <si>
    <t>Acciones para el fortalecimiento de la mujer en el ejercicio de la pesca desarrolladas</t>
  </si>
  <si>
    <t>Centro de Acopio Integral creado</t>
  </si>
  <si>
    <t>Escuelas de pescadores de saberes ancestrales creadas</t>
  </si>
  <si>
    <t>Número de pruebas bromatológicas en los peces de la Bahía de Cartagena</t>
  </si>
  <si>
    <t>Número de pruebas ambientales en los peces de la Bahía de Cartagena</t>
  </si>
  <si>
    <t>EPA</t>
  </si>
  <si>
    <t>Fases del proceso de traslado del Mercado de Bazurto al nuevo sistema de mercados implementadas</t>
  </si>
  <si>
    <t>SECRETARÍA GENERAL - SECRETARÍA DE INFRAESTRUCTURA - DATT</t>
  </si>
  <si>
    <t>Número de Ocupantes del Espacio Público (O.E.P.) que fueron reubicados en zonas al interior del mercado formalizados (tramo 5A Transcaribe y otros)</t>
  </si>
  <si>
    <t>GEPM</t>
  </si>
  <si>
    <t>Número de Ocupantes del Espacio Público (O.E.P.) de zonas no intervenidas en el mercado de Bazurto pendientes por formalizar en mercados sectoriales</t>
  </si>
  <si>
    <t>Documentos normativos que rigen la operación de la plaza de mercados actualizados</t>
  </si>
  <si>
    <t>Plan de Gestión Sostenible del Sistema de Mercados del Distrito implementado</t>
  </si>
  <si>
    <t>Metros cuadrados de infraestructura de las plazas de mercado que conforman el Sistema Integral de Abastecimiento del Distrito intervenidos o mantenidos</t>
  </si>
  <si>
    <t>Plan de Ordenamiento Territorial revisado, actualizado, ajustado y presentado ante el Concejo para su adopción</t>
  </si>
  <si>
    <t>Plan Especial de Manejo y Protección del Centro Histórico y su área de influencia revisado, actualizado, ajustado y presentado ante el Ministerio de Cultura para su adopción</t>
  </si>
  <si>
    <t>Actuación Urbana Integral A.U.I – 12 / Recuperación Integral del Cerro de la Popa formulada</t>
  </si>
  <si>
    <t>SECRETARÍA DE PLANEACIÓN – GERENCIA DE ESPACIO PÚBLICO Y MOVILIDAD</t>
  </si>
  <si>
    <t>Actuación Urbana Integral A.U.I – 13 / Recuperación Integral del Cerro de Albornoz - Cospique formulada</t>
  </si>
  <si>
    <t>Nueva Actuación Urbana Integral Reordenamiento de los asentamientos de Nelson Mandela y Villa Hermosa formulada</t>
  </si>
  <si>
    <t>Planes Maestros de equipamientos formulado</t>
  </si>
  <si>
    <t>Plan Local Portuario formulado</t>
  </si>
  <si>
    <t>Plan Parcial de Renovación Urbana de Bazurto reformulado, adoptado y con seguimiento</t>
  </si>
  <si>
    <t>Planes Parciales en suelo de expansión de los Centros Poblados de Bayunca y Pasacaballos adoptados</t>
  </si>
  <si>
    <t>Plan Parcial de Reordenamiento de los Asentamientos de la Zona Industrial de Mamonal: Policarpa, Arroz Barato y Puerta de Hierro reformulado, adoptado y con seguimiento</t>
  </si>
  <si>
    <t>Plan Parcial de Reordenamiento de La Loma, Zaragocilla y Marión reformulado, adoptado y con seguimiento</t>
  </si>
  <si>
    <t>SECRETARÍA DE PLANEACIÓN - CORVIVIENDA</t>
  </si>
  <si>
    <t>Proyectos de legalización urbanística tramitados</t>
  </si>
  <si>
    <t>Plan Estratégico para el traslado de Marlinda y Villa Gloria diseñado y ejecutado</t>
  </si>
  <si>
    <t>Planes de Mejoramiento Integral de los Centros Poblados de los corregimientos continentales formulados y ejecutados</t>
  </si>
  <si>
    <t>Lineamientos técnicos y pedagógicos para garantizar el derecho a la ciudad de niñas y mujeres en el entorno urbano diseñados</t>
  </si>
  <si>
    <t>Plan Estratégico Prospectivo Cartagena 2050 formulado</t>
  </si>
  <si>
    <t>Metros cuadrados de espacios públicos recuperados y mantenidos</t>
  </si>
  <si>
    <t>GERENCIA DE ESPACIO PÚBLICO Y MOVILIDAD</t>
  </si>
  <si>
    <t>Metros cuadrados de espacio público habilitados para aprovechamiento económic</t>
  </si>
  <si>
    <t>Número de querellas presentadas para la recuperación del espacio público</t>
  </si>
  <si>
    <t>Política Pública de Legalización de Asentamientos Humanos y del Control Urbano formulada</t>
  </si>
  <si>
    <t>Documentos de planeación para la implementación la curaduría pública y de nuevas curadurías urbanas formulados</t>
  </si>
  <si>
    <t>Estudio para dar viabilidad para la creación de nuevas curadurías urbanas formulado</t>
  </si>
  <si>
    <t>Obras de demoliciones derivadas de fallos, sentencias y sanciones elaboradas</t>
  </si>
  <si>
    <t>SECRETARÍA DE INFRAESTRUCTURA</t>
  </si>
  <si>
    <t>Equipo de reacción inmediata para reducción, intervención y control de invasiones ilegales conformado</t>
  </si>
  <si>
    <t>Defensores Urbanos Barriales para la cultura urbanística certificados</t>
  </si>
  <si>
    <t>Inspecciones de Policía especializadas en temas urbanísticos</t>
  </si>
  <si>
    <t>Documentos normativos realizados</t>
  </si>
  <si>
    <t>Número de actividades desarrolladas por año para promover la protección y bienestar animal en sectores turísticos de la ciudad</t>
  </si>
  <si>
    <t>Número total de animales atendidos por año en las jornadas de salud, prevención y protección animal</t>
  </si>
  <si>
    <t>Número de protocolos estandarizados para la atención a animales domésticos y silvestres</t>
  </si>
  <si>
    <t>Número de animales domésticos censados</t>
  </si>
  <si>
    <t>Número de módulos o aplicativos funcionales de software integrados en una plataforma web de acceso abierto.</t>
  </si>
  <si>
    <t>Centro de Bienestar Animal del Distrito creado y en operación</t>
  </si>
  <si>
    <t>UMATA - DADIS</t>
  </si>
  <si>
    <t>Número de unidades móviles de atención veterinaria dotadas</t>
  </si>
  <si>
    <t>UMATA - EPA</t>
  </si>
  <si>
    <t>Árboles plantados en la ciudad</t>
  </si>
  <si>
    <t>Áreas degradadas en proceso de restauración</t>
  </si>
  <si>
    <t>Centro de Atención y Valoración de fauna silvestre construido y dotado</t>
  </si>
  <si>
    <t>Sistemas de información implementados para el Centro Inteligente de Monitoreo Ambiental de Cartagena</t>
  </si>
  <si>
    <t>Estaciones para el monitoreo de la calidad del aire implementadas</t>
  </si>
  <si>
    <t>Estrategias de educación ambiental implementadas</t>
  </si>
  <si>
    <t>Documentos de investigación ambiental realizados</t>
  </si>
  <si>
    <t>Política Pública de Educación Ambiental formulada</t>
  </si>
  <si>
    <t>Metros lineales de senderos peatonales diseñados</t>
  </si>
  <si>
    <t>Megaproyectos de parques con criterios de adaptación al cambio climático diseñados y construidos</t>
  </si>
  <si>
    <t>Documentos de lineamientos técnicos para la conservación de la biodiversidad y sus servicios ecosistémicos elaborados</t>
  </si>
  <si>
    <t>Plan 4C: Cartagena Competitiva y Compatible con el Clima actualizado</t>
  </si>
  <si>
    <t>Plan Distrital de Gestión de Riesgo actualizado y adoptado</t>
  </si>
  <si>
    <t>OFICINA ASESORA PARA LA GESTIÓN DE RIESGO DE DESASTRE</t>
  </si>
  <si>
    <t>Sistema de información de conocimiento del riesgo actualizado</t>
  </si>
  <si>
    <t>Inventarios de asentamientos en zonas de alto riesgo elaborados</t>
  </si>
  <si>
    <t>Sistema de comunicación de gestión del riesgo implementado</t>
  </si>
  <si>
    <t>Número de acciones para mitigación y atención a desastres coordinadas</t>
  </si>
  <si>
    <t>Número de organizaciones comunitarias capacitadas en prevención y gestión de los riesgos</t>
  </si>
  <si>
    <t>Número de Acciones de protección de laderas para reducción del riesgo en cerros de Cartagena</t>
  </si>
  <si>
    <t>Estrategia de respuestas a emergencias actualizada, formulada y adoptada </t>
  </si>
  <si>
    <t>Emergencias de riesgo atendidas</t>
  </si>
  <si>
    <t>Número de beneficios económicos a las familias afectadas en los distintos eventos entregados</t>
  </si>
  <si>
    <t>Número de kilómetros de construcción de protección costera.</t>
  </si>
  <si>
    <t>VALORIZACIÓN</t>
  </si>
  <si>
    <t>Plan Integral de Parques y Zonas Verdes formulado e implementado</t>
  </si>
  <si>
    <t>Orillas mejoradas para uso recreativo en caños, lagos y lagunas</t>
  </si>
  <si>
    <t>Plan Especial de Movilidad y Peatonalización del Centro Histórico formulado e implementado</t>
  </si>
  <si>
    <t>GERENCIA DE ESPACIO PÚBLICO Y MOVILIDAD - DATT- SECRETARÍAS DE INFRAESTRUCTURA</t>
  </si>
  <si>
    <t>Metros lineales de andenes y bordillos del Centro Histórico mejorados</t>
  </si>
  <si>
    <t>Plazas, parques y plazoletas del Centro Histórico mejorada</t>
  </si>
  <si>
    <t>Estudio de Capacidad de Carga del Espacio Público Patrimonial elaborado</t>
  </si>
  <si>
    <t>GERENCIA DE ESPACIO PÚBLICO Y MOVILIDAD - IPCC</t>
  </si>
  <si>
    <t>Estudio de las nuevas Tipologías Arquitectónicas del Centro Histórico elaborado</t>
  </si>
  <si>
    <t>SECRETARÍA DE PLANEACIÓN - IPCC</t>
  </si>
  <si>
    <t>Cartilla del Espacio Público Patrimonial elaborada</t>
  </si>
  <si>
    <t>GERENCIA DE ESPACIO PÚBLICO Y MOVILIDAD - DATT- SECRETARÍA DE PLANEACIÓN - ESCUELA TALLER ETCAR</t>
  </si>
  <si>
    <t>Número de parques del Centro Histórico recuperados y mejorados</t>
  </si>
  <si>
    <t>SECRETARÍA GENERAL - DIRECCIÓN ADMINISTRATIVA DE APOYO LOGISTICO</t>
  </si>
  <si>
    <t>Espacios públicos rehabilitados que comunican el Centro Histórico y Castillo de San Felipe</t>
  </si>
  <si>
    <t xml:space="preserve">ESCUELA TALLER CARTAGENA DE INDIAS - GERENCIA DE ESPACIO PÚBLICO Y MOVILIDAD - SECRETARÍA DE INFRAESTRUCTURA
</t>
  </si>
  <si>
    <t>Número de zonas del espacio público adecuadas para la recreación y el deporte en el paisaje fortificado</t>
  </si>
  <si>
    <t>Enlaces peatonales de cordón amurallado construidos</t>
  </si>
  <si>
    <t>ESCUELA TALLER CARTAGENA DE INDIAS - GERENCIA DE ESPACIO PÚBLICO Y MOVILIDAD - SECRETARÍA DE INFRAESTRUCTURA</t>
  </si>
  <si>
    <t>Número de actividades de para la apropiación colectiva del patrimonio y la gobernanza territorial desarrolladas</t>
  </si>
  <si>
    <t xml:space="preserve">ESCUELA TALLER CARTAGENA DE INDIAS (ETCAR)
</t>
  </si>
  <si>
    <t>PROGRAMA: INTERVENCIONES URBANAS INTEGRALES</t>
  </si>
  <si>
    <t>Obras construidas para la competitividad diferente a vías</t>
  </si>
  <si>
    <t>PROGRAMA: REHABILITACIÓN, MANTENIMIENTO, ADECUACIÓN, Y OBRA NUEVA PARA EL SISTEMA VIAL Y ESTRUCTURAS DE PASO</t>
  </si>
  <si>
    <t>Kilómetros carriles  rehabilitados de la malla vial</t>
  </si>
  <si>
    <t>Kilómetros carriles  construidos de la malla vial</t>
  </si>
  <si>
    <t>Puentes nuevos construidos en la ciudad</t>
  </si>
  <si>
    <t>Corredor vial de la troncal del sur construido</t>
  </si>
  <si>
    <t>Número de kilómetros de construcción de vías Urbanas por contribución de valorización.</t>
  </si>
  <si>
    <t>Número de kilómetros de construcción de vías rurales</t>
  </si>
  <si>
    <t>Número de metros cuadrados de andenes construidos</t>
  </si>
  <si>
    <t>Señales verticales instaladas</t>
  </si>
  <si>
    <t>Marcas longitudinales demarcadas</t>
  </si>
  <si>
    <t>Kilómetros de ciclorutas diseñadas y demarcadas</t>
  </si>
  <si>
    <t>Red semafórica ampliada</t>
  </si>
  <si>
    <t>Rutas del Transporte Público Colectivo actualizadas y normalizadas</t>
  </si>
  <si>
    <t>Estaciones satélites de transporte informal erradicadas</t>
  </si>
  <si>
    <t>Puntos críticos intervenidos</t>
  </si>
  <si>
    <t>Zonas de Estacionamiento Regulado (ZER) diseñados y demarcados</t>
  </si>
  <si>
    <t>Vehículos de tracción animal dedicados al transporte de cargas livianas sustituidos</t>
  </si>
  <si>
    <t>Vehículos de tracción animal dedicados al servicio turístico sustituidos</t>
  </si>
  <si>
    <t>Caracterización socioeconómica de mototrabajadores elaborada</t>
  </si>
  <si>
    <t>Estaciones Renovadas</t>
  </si>
  <si>
    <t>TRANSCARIBE</t>
  </si>
  <si>
    <t>Patio Portal Renovado</t>
  </si>
  <si>
    <t>Carril de solobus renovado</t>
  </si>
  <si>
    <t>Servicio de seguridad ciudadana implementado en el SITM</t>
  </si>
  <si>
    <t>Paraderos Renovados</t>
  </si>
  <si>
    <t>Modernización de los servicios conexos al sistema de recaudo, gestión de flota, información al usuario</t>
  </si>
  <si>
    <t>Estrategias para la promoción de la cultura ciudadana y el uso del sistema</t>
  </si>
  <si>
    <t>Estudios técnicos para la evaluación de operación diseñados</t>
  </si>
  <si>
    <t>TRANSCARIBE - SECRETARÍA DE INFRAESTRUCTURA</t>
  </si>
  <si>
    <t>Fases de ejecución del proyecto de transporte acuático</t>
  </si>
  <si>
    <t>SECRETARÍA DE INFRAESTRUCTURA - TRANSCARIBE</t>
  </si>
  <si>
    <t>Embarcaderos para el transporte acuático construidos o recuperados</t>
  </si>
  <si>
    <t>Estudio para la implementación de la tarifa diferencial en el Sistema</t>
  </si>
  <si>
    <t>Estrategia para la lucha contra el acoso en el Sistema Integrado de Transporte Masivo implementada</t>
  </si>
  <si>
    <t>Pasajeros movilizados</t>
  </si>
  <si>
    <t>Número de hectáreas de manglar en proceso de recuperación</t>
  </si>
  <si>
    <t>Metros cúbicos extraídos mediante relimpia realizada en cuerpos de agua internos en el perímetro urbano de Cartagena</t>
  </si>
  <si>
    <t>EPA - EDURBE</t>
  </si>
  <si>
    <t>Estudios de prefactibilidad para la implementación de laboratorio interactivo</t>
  </si>
  <si>
    <t>Kilómetros diseño de canales </t>
  </si>
  <si>
    <t>VALORIZACIÓN - SECRETARÍA DE INFRAESTRUCTURA</t>
  </si>
  <si>
    <t>Kilómetros canales construidos.</t>
  </si>
  <si>
    <t>Metros cúbicos limpieza y/o rectificación de canales.</t>
  </si>
  <si>
    <t>Kilómetros recuperados de bordes de costa de cuerpos de agua</t>
  </si>
  <si>
    <t>Documento de acotamiento y priorización de ronda hídrica elaborado</t>
  </si>
  <si>
    <t>Rondas hídricas priorizadas a través del documento de acotamiento recuperadas</t>
  </si>
  <si>
    <t>Plan Parcial de Chambacú, Torices, La Unión formulado, adoptado y con seguimiento</t>
  </si>
  <si>
    <t>Plan Maestro de Caños, Lagunas y Ciénagas interiores de la ciudad y la Bahía de Cartagen</t>
  </si>
  <si>
    <t>Número de afluentes principales que derivan en la Ciénaga de la Virgen recuperadas</t>
  </si>
  <si>
    <t>EPA </t>
  </si>
  <si>
    <t>Campañas de educación ambiental y participación implementadas a los ciudadanos aledaños a la Ciénaga de la Virgen, sobre la conservación y protección del espacio verde</t>
  </si>
  <si>
    <t>Proyectos para el mejoramiento de la calidad del recurso hídrico formulados en Sistema Estabilizadora de Mareas desarrollados</t>
  </si>
  <si>
    <t>Plan de Gestión Social y Ambiental de la Ciénaga de la Virgen formulado e implementado</t>
  </si>
  <si>
    <t>Estudios y diseños actualizados red urbana formulados</t>
  </si>
  <si>
    <t>Planes Parciales de Renovación Urbana adoptados</t>
  </si>
  <si>
    <t>Plan de Mejoramiento Integral de la Boquilla formulado</t>
  </si>
  <si>
    <t>Estudios detallados de amenaza y riesgo para territorios delimitados en Planes Parciales elaborados</t>
  </si>
  <si>
    <t>Operación Territorial – O.T-5 / Frente Costero y Protección formulada</t>
  </si>
  <si>
    <t>Operación Territorial – O.T-6 / Bahía de Cartagena – Canal del Dique formulada</t>
  </si>
  <si>
    <t>Operación Territorial – O.T-12 / Zona Insular formulada</t>
  </si>
  <si>
    <t>Planes de Mejoramiento Integral de los Centros Poblados insulares formulados y ejecutados</t>
  </si>
  <si>
    <t>Cartilla de Tipologías de Vivienda Insular o Costera adaptada a los eventos de cambio climático diseñada</t>
  </si>
  <si>
    <t>Proyectos estratégicos para el mantenimiento de los cuerpos de agua de la ciudad implementados</t>
  </si>
  <si>
    <t>Proyectos estratégicos para el mantenimiento de los cuerpos de agua de la ciudad formulados en fase de prefactibilidad</t>
  </si>
  <si>
    <t>Estudio de clúster para la competitividad regional elaborado</t>
  </si>
  <si>
    <t>Iniciativa regional de infraestructura de transporte y conectividad para la productividad</t>
  </si>
  <si>
    <t>SECRETARÍA DE PLANEACIÓN - TRANSCARIBE</t>
  </si>
  <si>
    <t>Servicio de protección del recurso hídrico</t>
  </si>
  <si>
    <t>Trámites y otros procedimientos administrativos racionalizados</t>
  </si>
  <si>
    <t>Centro Integral Ciudadano creado</t>
  </si>
  <si>
    <t>Ventanillas de atención al ciudadano optimizadas en su funcionamiento</t>
  </si>
  <si>
    <t>Estrategias para responder a transparencia activa y pasiva, los instrumentos de gestión de la información con criterios de accesibilidad</t>
  </si>
  <si>
    <t>Número de rendiciones de cuentas desarrolladas</t>
  </si>
  <si>
    <t>SECRETARÍA GENERAL - SECRETARÍA DE PLANEACIÓN</t>
  </si>
  <si>
    <t>Personas formadas en uso de Tecnologías de Información y Comunicaciones (TIC)</t>
  </si>
  <si>
    <t xml:space="preserve">OFICINA ASESORA DE INFORMATICA - ESCUELA DE GOBIERNO Y LIDERAZGO
</t>
  </si>
  <si>
    <t>Sistemas de información institucionales actualizados</t>
  </si>
  <si>
    <t>OFICINA ASESORA DE INFORMATICA</t>
  </si>
  <si>
    <t>Sistemas de información institucionales nuevos implementados</t>
  </si>
  <si>
    <t>Número de zonas wifi-gratuitas instaladas y mantenidas</t>
  </si>
  <si>
    <t>Estrategia para la simplificación de procesos en el Distrito implementada</t>
  </si>
  <si>
    <t>Estrategia para la gestión del conocimiento y la innovación creada e implementada</t>
  </si>
  <si>
    <t>SECRETARÍA GENERAL Dirección Administrativa de Talento Humano</t>
  </si>
  <si>
    <t>Herramientas Tecnológicas para el uso, apropiación y fortalecimiento institucional implementadas</t>
  </si>
  <si>
    <t>Documentos de diagnóstico e implementación del Modelo Integrado de Planeación y Gestión – MIPG implementado</t>
  </si>
  <si>
    <t>Agenda regulatoria anual elaborada e implementada</t>
  </si>
  <si>
    <t>Procesos de depuración normativa distrital implementados</t>
  </si>
  <si>
    <t>Número de predios del inventario de bienes inmuebles del Distrito actualizados</t>
  </si>
  <si>
    <t>SECRETARÍA GENERAL Dirección Administrativa de Apoyo Logístico</t>
  </si>
  <si>
    <t>intervenciones a los bienes inmuebles y predios del Distrito</t>
  </si>
  <si>
    <t>Inventario de bienes muebles actualizado</t>
  </si>
  <si>
    <t>Fases del proceso de rediseño institucional implementadas</t>
  </si>
  <si>
    <t>Plan Estratégico Tratamiento de Riesgo de Seguridad y Privacidad de la información implementado</t>
  </si>
  <si>
    <t>Plan Estratégico de Seguridad y Privacidad de la información implementado</t>
  </si>
  <si>
    <t>Cloud Data Center implementado en el Distrito</t>
  </si>
  <si>
    <t>Servicios de gestión documental implementados</t>
  </si>
  <si>
    <t>Servicio de sistemas de gestión implementado</t>
  </si>
  <si>
    <t>Sistema de Gestión de Archivos Electrónicos – SGDEA implementado en cinco fases</t>
  </si>
  <si>
    <t>Plan de Formación sobre el Sistema de Control Interno y Control Interno Contable diseñado e implementado</t>
  </si>
  <si>
    <t>Software de Auditoría Basada en Riesgos para procesos y sistemas de información implementado</t>
  </si>
  <si>
    <t>Sedes del DATT dotadas con logística para mejorar la gestión administrativa y operativa en la prestación del servicio</t>
  </si>
  <si>
    <t>Portafolio virtual para oferta de trámites y servicios diseñado</t>
  </si>
  <si>
    <t>Cartera el DATT recuperada</t>
  </si>
  <si>
    <t>Puntos de la ciudad con sistema de monitoreo, control y fiscalización electrónica del tránsito instalados</t>
  </si>
  <si>
    <t>Impuesto Predial Unificado recaudado</t>
  </si>
  <si>
    <t>Impuesto Industria, Comercio y complementarios recaudado</t>
  </si>
  <si>
    <t>Impuesto delineación urbana recaudado</t>
  </si>
  <si>
    <t>Sobretasa a la gasolina recaudado</t>
  </si>
  <si>
    <t>Estrategias de fortalecimiento tributario en el Distrito diseñadas e implementadas</t>
  </si>
  <si>
    <t>Proyecto de modernización de la Secretaría de Hacienda implementado</t>
  </si>
  <si>
    <t>Número de servidores públicos y contratistas del Distrito formados y cualificados en enfoques diferenciales</t>
  </si>
  <si>
    <t>ESCUELA DE GOBIERNO Y LIDERAZGO</t>
  </si>
  <si>
    <t>Número de estrategias de formación en cultura tributarias dirigidas servidores públicos y contratistas del distrito creadas e implementadas</t>
  </si>
  <si>
    <t>Número de procesos de formación a ciudadanos desarrollados</t>
  </si>
  <si>
    <t>Número de procesos de formación a ciudadanos pertenecientes a grupos étnicos desarrollados</t>
  </si>
  <si>
    <t>Número de mesas de planeación y participación elaboradas con personas de los distintos grupos de población con enfoque inclusivo, diferencial y territorial</t>
  </si>
  <si>
    <t>Número de procesos de formación a ciudadanos con enfoque inclusivo, diferencial y territorial desarrollados</t>
  </si>
  <si>
    <t>Número de estrategias pedagógicas implementadas para promover el orgullo y el sentido de pertenencia por la ciudad</t>
  </si>
  <si>
    <t>Numero de iniciativas de cultura ciudadana implementadas</t>
  </si>
  <si>
    <t>Número de estrategias pedagógicas implementadas para fortalecer la cultura vial y el adecuado uso del Sistema Integardo de Transoporte Masivo</t>
  </si>
  <si>
    <t>Numero de estrategias de promocion de practicas para el cuidado y el desarrollo integral del ser humano implementadas</t>
  </si>
  <si>
    <t>Numero de estartegias para fomentar el respeto y la prevencion del maltrato contra la mujer implementadas</t>
  </si>
  <si>
    <t>Número de mesas de gobernanza elaboradas para el seguimiento a indicadores de ciudad</t>
  </si>
  <si>
    <t>Número de procesos de formación en gobernanza e innovación pública desarrollados</t>
  </si>
  <si>
    <t>Número de organismos de acción comunal asesoradas y acompañados para el trámite exitoso de su Registro Único Tributario (RUT) ante la DIAN</t>
  </si>
  <si>
    <t>Instituto Distrital de Acción Comunal</t>
  </si>
  <si>
    <t>Numero de organismos de accion comunal asesorados y acompañados para eñ tramite exitoso de su registro unico comunal (RUC) ante el Ministerio del Interior</t>
  </si>
  <si>
    <t>Numero de organismos de accion comunal asesorados y acompañados en procesos de actualizacion estatutaria</t>
  </si>
  <si>
    <t>Guia Metodologica para la formulacion de planes de desarrollo estrategicos comunales PDEC creada e implementada</t>
  </si>
  <si>
    <t>Ruta para garantizar la proteccion y acompañamiento de lideres y lideresas sociales, dignatarios y/o afiliados a organismos comunales de la ciudad en situacion de riesgo diseñada</t>
  </si>
  <si>
    <t>Plataforma web de seguimiento a procesos y procedimientos de organismos comunales y organinazciones sociales de base creada y en funcionamiento</t>
  </si>
  <si>
    <t>Numero de obras de interes comunitarias con organismos de acción comunal financiadas a través de convenios solidarios</t>
  </si>
  <si>
    <t>Número de sedes de organismos comunales dotadas y/o adecuadas</t>
  </si>
  <si>
    <t>Sedes de organismos comunales construidas</t>
  </si>
  <si>
    <t>Banco de proyectos de iniciativa comunal y comunitaria creado</t>
  </si>
  <si>
    <t>Número de acciones de cambio y transformación del entorno desarrolladas con organismos de acción comunal y la cuadrilla comunal en los barrios de la ciudad</t>
  </si>
  <si>
    <t>Número de fondos de financiamiento y apalancamiento para la ejecución de iniciativas y proyectos de organizaciones comunales, comunitarias y/o sociales de base creados</t>
  </si>
  <si>
    <t>Cantidad de recursos para presupuestos participativos invertidos</t>
  </si>
  <si>
    <t>SECRETARÍA DEL INTERIOR Instituto Distrital de Acción Comunal</t>
  </si>
  <si>
    <t>Número de ciudadanos participando en la construcción de instrumentos de gestión y de políticas públicas.</t>
  </si>
  <si>
    <t>Campañas para la promoción de la participación ciudadana creadas</t>
  </si>
  <si>
    <t>Número de encuentros comunales y/o comunitarios de intercambio de experiencias, construcción de ciudad y promoción de la participación ciudadana desarrollados</t>
  </si>
  <si>
    <t>Número de afiliados y afiliadas a organismos comunales del Distrito certificados bajo la metodología del programa Formador de Formadores para la Acción Comunal</t>
  </si>
  <si>
    <t>Número de voluntariados juveniles distritales conformados</t>
  </si>
  <si>
    <t>Número de escuelas de formación en liderazgo juvenil</t>
  </si>
  <si>
    <t>Número de jóvenes vinculados en programas de formación sociopolítica y habilidades para la vida</t>
  </si>
  <si>
    <t>Programas para el fortalecimiento de los derechos de la Juventud implementado</t>
  </si>
  <si>
    <t>Consejo Distrital de Juventud y Plataforma de Juventudes acompañados</t>
  </si>
  <si>
    <t>Mecanismo de promoción de la participación política y organización de las mujeres creado</t>
  </si>
  <si>
    <t>Número de mujeres formadas para la participación sociopolítica, liderazgo e incidencia política en el Distrito</t>
  </si>
  <si>
    <t>Casa de la Mujer en operación y/o funcionamiento</t>
  </si>
  <si>
    <t>Estudios socioeconómicos y poblacionales elaborados</t>
  </si>
  <si>
    <t>Estudios de focalización territorial de beneficiarios de Programas Sociales elaborados</t>
  </si>
  <si>
    <t>Productos de generación de nuevo conocimiento desarrollados</t>
  </si>
  <si>
    <t>Actividades científicas de apropiación social del conocimiento desarrollados</t>
  </si>
  <si>
    <t>Encuesta Multipropósito desarrollada</t>
  </si>
  <si>
    <t>Mapa Interactivo de Asuntos del Suelo - MIDAS 
actualizado y optimizado</t>
  </si>
  <si>
    <t>Sistema de Información Geográfico y Estadístico Distrital con infraestructura de datos espaciales creado</t>
  </si>
  <si>
    <t>Base de datos de estratificación actualizada</t>
  </si>
  <si>
    <t>Política de Gestión Estadística implementada en el marco del MIPG</t>
  </si>
  <si>
    <t>Base de datos del Sistema de Identificación de Potenciales Beneficiarios de Programas Sociales - SISBEN IV actualizada en la fase de demanda</t>
  </si>
  <si>
    <t>Oficina Administrativa y puntos de atención del Sistema de Identificación de Potenciales Beneficiarios de Programas Sociales - SISBEN IV mejorados</t>
  </si>
  <si>
    <t>Informes periódicos seguimiento de Inversión Pública</t>
  </si>
  <si>
    <t>Asistencias técnicas a entidades del Distrito elaboradas</t>
  </si>
  <si>
    <t>Soportes técnicos a usuarios en temas de proyectos de inversión elaborados</t>
  </si>
  <si>
    <t>Planes de Desarrollo Locales formulados y con seguimiento</t>
  </si>
  <si>
    <t>Estrategia de asistencia técnica para la formulación de los Planes de Desarrollo Estratégicos Comunales formulada</t>
  </si>
  <si>
    <t>Planes de Acción formulados y con seguimiento</t>
  </si>
  <si>
    <t>Proyectos estratégicos de ciudad formulados</t>
  </si>
  <si>
    <t>Políticas públicas formuladas y acompañadas en su evaluación y seguimiento</t>
  </si>
  <si>
    <t>Políticas públicas finalizadas en su formulación</t>
  </si>
  <si>
    <t>Estudios técnicos para la creación de nuevas localidades</t>
  </si>
  <si>
    <t>SECRETARÍA DE PLANEACIÓN - SECRETARÍA DEL INTERIOR Y CONVIVENCIA CIUDADANA</t>
  </si>
  <si>
    <t>Proyecto de acuerdo presentado al Concejo para la creación de localidades</t>
  </si>
  <si>
    <t>Asistencia tecnica y seguimiento a la ejecucion de los fondos de desarrollo local desarrolladas</t>
  </si>
  <si>
    <t>Instancias del Sistema Distrital de Planeación Participativa acompañadas con apoyo técnico, administrativo y logístico</t>
  </si>
  <si>
    <t>Sistema de Información catastral actualizad</t>
  </si>
  <si>
    <t>SECRETARÍA DE HACIENDA - SECRETARÍA DE PLANEACIÓN</t>
  </si>
  <si>
    <t>Plan de fortalecimiento para la prestación efectiva del servicio público de gestión catastral formulado</t>
  </si>
  <si>
    <t>Consejos Comunitarios y Organizaciones de Base de las Comunidades Negras, Afrocolombianas, Raizales y Palenqueras formados en temas de gobernabilidad</t>
  </si>
  <si>
    <t>Formar en temas de legislación, derechos humanos y el fortalecimiento organizacional a sesenta (60) Consejos Comunitarios y Organizaciones de Base de las Comunidades Negras, Afrocolombianas, Raizales y Palenqueras</t>
  </si>
  <si>
    <t xml:space="preserve">SECRETARÍA DEL INTERIOR Y CONVIVENCIA CIUDADANA - SECRETARÍA GENERAL - Oficina Asesora de Asuntos Étnicos
</t>
  </si>
  <si>
    <t>Número de funcionarios del Distrito formados en enfoque étnico</t>
  </si>
  <si>
    <t>Formar a quinientos (500) funcionarios de la Alcaldía Distrital entre ellos los operadores de justicia en enfoque étnico</t>
  </si>
  <si>
    <t>SECRETARÍA DEL INTERIOR Y CONVIVENCIA CIUDADANA - SECRETARÍA GENERAL - Oficina 
Asesora de 
Asuntos 
Étnicos</t>
  </si>
  <si>
    <t>Ruta y modelo de atención psicosocial para atención de situaciones de antirracismo y víctimas del racismo diseñada e implementada</t>
  </si>
  <si>
    <t>Diseñar e implementar una (1) ruta y modelo de atención psicosocial para atención de situaciones de antirracismo y víctimas del racismo</t>
  </si>
  <si>
    <t>Programa para participación ciudadana de las comunidades Negra, Afrocolombiana, Raizales y Palenquera en estrategia de Seguridad Humana creado e implementado</t>
  </si>
  <si>
    <t>Crear e implementar un (1) Programa para Participación Ciudadana de las Comunidades Negra, Afrocolombiana, Raizales y Palenquera, en la estrategia de Seguridad Humana</t>
  </si>
  <si>
    <t>Observatorio del Desarrollo de Comunidades Negras del Distrito creado e implementado</t>
  </si>
  <si>
    <t>Crear e implementar un (1) Observatorio del Desarrollo de Comunidades Negras del Distrito</t>
  </si>
  <si>
    <t>Número de Consejos Comunitarios con Resolución de Autoaceptación de titulación colectiva obtenida de comunidades negras del Distrito</t>
  </si>
  <si>
    <t>Obtener cuatro (4) Resoluciones de Autoaceptación de titulación colectiva de comunidades negras en el Distrito</t>
  </si>
  <si>
    <t>Consejos Comunitarios con solicitudes nuevas de Títulos Colectivos presentados ante la Agencia Nacional de Tierras</t>
  </si>
  <si>
    <t>Presentar seis (6) nuevas solicitudes nuevas de Títulos Colectivos ante la Agencia Nacional de Tierras</t>
  </si>
  <si>
    <t>Ruta de atención para víctimas del conflicto armado para comunidades Negras, Afrocolombiana, Raizal y Palenquera en los 33 Consejos Comunitarios de Cartagena implementada</t>
  </si>
  <si>
    <t>Implementar en los treinta y tres (33) Consejos Comunitarios del Distrito la ruta de atención de acuerdo con la reglamentación o normativa del conflicto (T- 025 2004, Decreto 4635 de 2011 y el auto 005 2009)</t>
  </si>
  <si>
    <t>Redes Étnicas Diferenciadas para adecuación sociocultural, de promoción y mantenimiento de salud conformadas</t>
  </si>
  <si>
    <t>Conformar cuatro (4) Redes Étnicas Diferenciadas (1 organización urbanas y 3 rurales con Consejos Comunitarios) para adecuación sociocultural de promoción y mantenimiento de salud</t>
  </si>
  <si>
    <t>Estrategia de apropiación social del conocimiento para la reducción de la incidencia de los factores toxicológicos y epidemiológicos de las comunidades negras del</t>
  </si>
  <si>
    <t>Diseñar e implementar una (1) estrategia de apropiación social del conocimiento para la reducción de la incidencia de los factores toxicológicos y epidemiológicos de las comunidades Negras del Distrito</t>
  </si>
  <si>
    <t>Torneos intercomunitarios de juegos tradicionales desarrollados</t>
  </si>
  <si>
    <t>Desarrollar cuatro (4) torneos intercomunitarios de juegos tradicionales, concertado con los Consejos Comunitarios (bate de tapita, bola de trapo, trompo, dominó, entre otros)</t>
  </si>
  <si>
    <t>Torneos de competencias del mar desarrollados con los Consejos Comunitarios</t>
  </si>
  <si>
    <t>Desarrollar cuatro (4) torneos de competencias del mar concertado con los Consejos Comunitarios (canotaje, competencia de atarrayas, pesca, tejidos, entre otros)</t>
  </si>
  <si>
    <t>Mesa de Expertos creada, implementada y con seguimiento de la implementación de la cátedra de estudios afroamericanos, transición de PEI a PEC e implementación de la resemantización en Instituciones Educativas Oficiales del Distrito</t>
  </si>
  <si>
    <t>Crear, implementar y hacer seguimiento a una (1) Mesa de Expertos para el seguimiento de la implementación de la cátedra de estudios afroamericanos, transición de PEI a PEC e implementación de la resemantización en Instituciones Educativas Oficiales del Distrito</t>
  </si>
  <si>
    <t>Becas inclusivas para estudiantes de comunidades negra, afrocolombiana, raizales y palenquera otorgadas</t>
  </si>
  <si>
    <t>Otorgar trescientas noventa y seis (396) becas inclusivas a estudiantes de los Consejos Comunitarios</t>
  </si>
  <si>
    <t>Subsidios para mejoramiento de vivienda otorgados a comunidades negra, afrocolombiana, raizales y palenqueras de los Consejos Comunitarios del Distrito</t>
  </si>
  <si>
    <t>Otorgar cuatrocientos cincuenta (450) subsidios para mejoramiento de vivienda focalizado en las comunidades negras, afrodescendientes, raizales y palenqueros del Distrito</t>
  </si>
  <si>
    <t>Espacios de participación promovidos de las comunidades negras, afro, raizales y palenqueras en procesos de elaboración de los instrumentos de planificación y macroproyectos de la ciudad</t>
  </si>
  <si>
    <t>Promover espacios de participación de las comunidades negras, afro, raizales y palenqueras en los cinco (5) procesos de elaboración de los instrumentos de planificación (POT, PEMP, Planes Parciales, macroproyectos)</t>
  </si>
  <si>
    <t>Programa de Monitoreo Comunitario de Restauración de Ecosistemas Marino - Costeros diseñado y operando</t>
  </si>
  <si>
    <t>Crear e implementar un (1) Programa de Monitoreo Comunitario de Restauración de Ecosistemas Marino-Costeros de los Consejos Comunitarios asentados en la zona marino costera y la Ciénaga de la Virgen</t>
  </si>
  <si>
    <t>Programa de Salvaguarda y Recuperación de los Bienes de Interés de Cultural de los Territorios negros, afrocolombiano, raizales y palenqueros creado e implementado</t>
  </si>
  <si>
    <t>Crear e implementar un (1) Programa de Salvaguarda y Recuperación de los Bienes de Interés de Cultural de los Territorios negros, afrocolombiano, raizales y palenqueros</t>
  </si>
  <si>
    <t>Estudio de viabilidad del transporte acuático con las comunidades en concordancia con el Artículo 40 de la Ley 70 de 1992 actualizado</t>
  </si>
  <si>
    <t>Actualizar un (1) estudio de viabilidad del transporte acuático con las comunidades negras, afrocolombiana, raizales y palenqueros</t>
  </si>
  <si>
    <t>Ecosistemas Empresariales para el cambio en las comunidades negras del Distrito de Cartagena: Aceleración de Impacto a través de creación de nuevos negocios desarrollado</t>
  </si>
  <si>
    <t>Desarrollar un (1) Ecosistema Empresarial para el cambio en las comunidades negras, afrocolombianas, raizal y palenquero del Distrito de Cartagena: Aceleración de Impacto a través de creación de nuevos negocios</t>
  </si>
  <si>
    <t>SECRETARÍA DE TURÍSMO SECRETARÍA DEL INTERIOR Y CONVIVENCIA CIUDADANA - Oficina Asesora de Asuntos Étnicos</t>
  </si>
  <si>
    <t>Espacios de participación promovidos de las comunidades negras, afro, raizales y palenqueras en la elaboración de la Política Pública de Lucha contra la Pobreza y Seguridad Alimentari</t>
  </si>
  <si>
    <t>Promover un (1) espacio de participación de las comunidades negras, afro, raizales y palenqueras en la elaboración de la Política Pública de Lucha contra la Pobreza y Seguridad Alimentaria</t>
  </si>
  <si>
    <t>SECRETARÍA GENERAL - Oficina Asesora de Asuntos Étnicos</t>
  </si>
  <si>
    <t>Seguimientos anuales desarrollados al trazador presupuestal para los recursos de inversión en territorios de comunidades negras</t>
  </si>
  <si>
    <t>Desarrollar cuatro (4) seguimientos anuales al trazador presupuestal para los recursos de inversión en territorios de comunidades negras</t>
  </si>
  <si>
    <t>Asistencia técnica brindada para la adquisición de hectáreas para la constitución de un Territorio Indígena que cobija los tres pueblos indígenas: ZENU, INGA, KANKUAMO</t>
  </si>
  <si>
    <t>Brindar asistencia técnica a cinco (5) cabildos indígenas para la adquisición de hectáreas para la constitución de un Territorio Indígena que cobija los tres pueblos indígenas: ZENÚ, INGA, KANKUAMO</t>
  </si>
  <si>
    <t>Lote para la reubicación de Cabildo Indígena CAIZEM asentado en Membrillal adquirido</t>
  </si>
  <si>
    <t>Adquirir un (1) lote para la reubicación de Cabildo indígena CAIZEM asentado en Membrillal</t>
  </si>
  <si>
    <t>Subsidios para mejoramiento de vivienda otorgados a miembros de los cabildos indígenas
ubicados en el Distrito</t>
  </si>
  <si>
    <t>Otorgar cuatrocientos cincuenta (450) de subsidios para mejoramiento de vivienda a miembros de los cabildos indígenas ubicados en el Distrito</t>
  </si>
  <si>
    <t>Cabildos indígenas asesorados en gobernanza y legislación indígena</t>
  </si>
  <si>
    <t>Asesorar a seis (6) cabildos indígenas en gobernanza y legislación indígena</t>
  </si>
  <si>
    <t>Planes de Vida de cabildos indígenas elaborados</t>
  </si>
  <si>
    <t>Elaborar los Planes de Vida de cinco (5) cabildos indígenas asentados en el Distrito de Cartagena (Zenú Zhandero, Zenu Bayunca, Zenu Pasacaballos, Kankuamo e Inga)</t>
  </si>
  <si>
    <t>Elementos patrimoniales y tecnológicos dotados a la Guardia Indígena Ancestral de los 6 cabildos como Sistema de Aplicación de Justicia al interior de las comunidades indígenas</t>
  </si>
  <si>
    <t>Dotar de elementos patrimoniales y tecnológicos a la Guardia Indígena Ancestral de los seis (6) cabildos como Sistema de Aplicación de Justicia al interior de las comunidades indígenas</t>
  </si>
  <si>
    <t>Espacio para la implementación del Centro de Estudio de Pensamiento Mayor Indígena-CEMI mantenido</t>
  </si>
  <si>
    <t>Mantener un (1) espacio para la implementación del Centro de Estudio de Pensamiento Mayor Indígena Intercultural-CEMI donde se permita el diálogo intercultural</t>
  </si>
  <si>
    <t>Ruta de atención para víctimas del conflicto armado de cabildos indígenas de Cartagena implementada</t>
  </si>
  <si>
    <t>Implementar en los seis (6) cabildos indígenas del Distrito la ruta de atención de acuerdo con la reglamentación o normativa del conflicto (T-025 del 2004, Decreto 4635 del 2011 y auto 005 del 2009)</t>
  </si>
  <si>
    <t>Cabildos Indígenas articulados con la ESE Hospital Local para la atención intercultural indígena de conformidad a los componentes del SISPI</t>
  </si>
  <si>
    <t>Articular con la ESE Hospital Local la atención intercultural indígena en seis (6) Cabildos Indígenas, de conformidad a los componentes del SISPI</t>
  </si>
  <si>
    <t>Programa de atención psicosocial y salud integral a víctimas implementado y mantenido anualmente</t>
  </si>
  <si>
    <t>Implementar y mantener anualmente un (1) programa de atención psicosocial y salud integral a víctimas en los 6 Cabildos Indígenas</t>
  </si>
  <si>
    <t>Niños, niñas y adolescentes indígenas vinculados en actividades lúdicas extramurales y del ejercicio del derecho al juego</t>
  </si>
  <si>
    <t>Vincular a quinientos (500) niños, niñas y adolescentes indígenas en actividades lúdicas extramurales y del ejercicio del derecho al juego</t>
  </si>
  <si>
    <t>Torneos de juegos ancestrales y convencionales indígenas realizados en los seis cabildos indígenas asentados en el Distrito desarrollados</t>
  </si>
  <si>
    <t>Desarrollar cuatro (4) torneos de juegos ancestrales y convencionales indígenas en los seis Cabildos Indígenas asentados en el Distrito</t>
  </si>
  <si>
    <t>Programa de protección, divulgación, preservación y salvaguarda de las prácticas, costumbres y saberes ancestrales de los pueblos originarios de los 6 cabildos indígenas presentes en el Distrito creado e implementado</t>
  </si>
  <si>
    <t>Crear e implementar un (1) programa de protección, divulgación, preservación y salvaguarda de las prácticas, costumbres y saberes ancestrales de los pueblos originarios de los 6 Cabildos Indígenas presentes en el Distrito</t>
  </si>
  <si>
    <t>Becas inclusivas para estudiantes de los cabildos indígenas asentados en el Distrito</t>
  </si>
  <si>
    <t>Otorgar sesenta (60) becas inclusivas para estudiantes de los cabildos indígenas</t>
  </si>
  <si>
    <t>Emprendimiento s de mujeres indígenas distribuidas en los 6 cabildos del Distrito financiados</t>
  </si>
  <si>
    <t>Financiar sesenta (60) emprendimientos de mujeres indígenas distribuidas en los 6 Cabildos del Distrito</t>
  </si>
  <si>
    <t>Unidades productivas en cabildos indígenas con asistencias técnicas y apoyo financiero</t>
  </si>
  <si>
    <t>Brindar asistencia técnica y apoyo financiero a doscientas (200) unidades productivas de los Cabildos Indígenas presentes en el Distrito</t>
  </si>
  <si>
    <t>PES</t>
  </si>
  <si>
    <t>torgados en el Laboratorio Cultural de Mercados Sectoriales a unidades productivas de las comunidades indígenas</t>
  </si>
  <si>
    <t>Otorgar ocho (8) espacios a unidades productivas de comunidades indígenas en el Laboratorio Cultural de los Mercados Sectoriales como mecanismo de generación de ingresos</t>
  </si>
  <si>
    <t>Mujeres indígenas atendidas en el fortalecimiento de las actividades propias</t>
  </si>
  <si>
    <t>Atender a cien (100) mujeres indígenas en el fortalecimiento de sus actividades propias</t>
  </si>
  <si>
    <t>Unidad Municipal de Asistencia Técnica Agropecuaria</t>
  </si>
  <si>
    <t>Mujeres indígenas atendidas con servicios de extensión agropecuaria</t>
  </si>
  <si>
    <t>Atender a cien (100) mujeres indígenas con servicios de extensión agropecuaria</t>
  </si>
  <si>
    <t>PORCENTAJE  ALCANZADO DICIEMBRE  RESPECTO A LO PROGRAMADO 2024</t>
  </si>
  <si>
    <t xml:space="preserve">LOGRO ALCANZADO DICIEMBRE RESPECTO AL CUATRIENIO  </t>
  </si>
  <si>
    <t xml:space="preserve">PONDERADOR </t>
  </si>
  <si>
    <t>AVANCE  VIGENCIA 2024 CUARTO TRIMESTRE RESPECTO A PROGRAMADO CUATRIENIO (ACUMULADO AÑO 2024)</t>
  </si>
  <si>
    <t>AVANCE RESPECTO AL PROGRAMADO VIGENCIA  2024  CUARTO TRIMESTRE (ACUMULADO AÑO 2024)</t>
  </si>
  <si>
    <t>PLAN DE DESARROLLO CARTAGENA CIUDAD DE DERECHOS 20224 - 2027</t>
  </si>
  <si>
    <t xml:space="preserve">Implementar cuatrocientos cuarenta  (440) sistemas de información para la seguridad (alarmas comunitarias, drones, totem) 
</t>
  </si>
  <si>
    <t>PONDERADOR LINEA ESTRATEGICA</t>
  </si>
  <si>
    <t>Racionalizar cuarenta (40)  nuevos trámites y/o procesos administrativos </t>
  </si>
  <si>
    <t>Crear un (1) Centro Integral de Atención Ciudadano (CIAC)</t>
  </si>
  <si>
    <t>Optimizar tres (3) ventanillas de atención ciudadana en su funcionamiento</t>
  </si>
  <si>
    <t>Implementar una (1) estrategia de acceso para respuesta a transparencia activa y pasiva, los instrumentos de gestión de la información con criterios de accesibilidad</t>
  </si>
  <si>
    <t>Desarrollar ocho (8) rendiciones públicas de cuentas a la ciudadanía</t>
  </si>
  <si>
    <t>Formar a tres mil (3.000) personas en el uso de Tecnologías de Información y Comunicaciones (TIC)</t>
  </si>
  <si>
    <t>Actualizar seis (6) sistemas de información de la entidad</t>
  </si>
  <si>
    <t>Implementar seis (6) nuevos sistemas de información institucionales</t>
  </si>
  <si>
    <t>Instalar treinta y dos (32) nuevas zonas Wi-Fi y mantener las 18 actuales</t>
  </si>
  <si>
    <t>Implementar una (1) estrategia para la simplificación de procesos</t>
  </si>
  <si>
    <t>Crear e implementar una (1) estrategia para la gestión del conocimiento y la innovación</t>
  </si>
  <si>
    <t>Implementar tres (3) herramientas tecnológicas para el uso, apropiación y fortalecimiento institucional implementadas</t>
  </si>
  <si>
    <t>Implementar cuatro (4) documentos de diagnóstico e implementación del Modelo Integrado de Planeación y Gestión – MIPG</t>
  </si>
  <si>
    <t>Elaborar e implementar cuatro (4) agendas regulatorias</t>
  </si>
  <si>
    <t>Implementar cuatro (4) procesos de depuración normativa</t>
  </si>
  <si>
    <t>Actualizar diez mil seiscientos treinta y cinco (10.635) predios del inventario de bienes inmuebles pertenecientes al Distrito</t>
  </si>
  <si>
    <t>Intervenir seiscientos (600) bienes inmuebles y predios del Distrito</t>
  </si>
  <si>
    <t>Actualizar un (1) inventario de bienes muebles pertenecientes al Distrito</t>
  </si>
  <si>
    <t>Implementar cinco (5) fases del proceso de rediseño organizacional (Acuerdo Inicial, Diagnóstico, Diseño, Implementación, Supresión y/o liquidación)</t>
  </si>
  <si>
    <t>Implementar (1) Un Plan Estratégico  de Tratamiento de Riesgo de Seguridad y Privacidad de la Información.</t>
  </si>
  <si>
    <t>Implementar (1) Un Plan Estratégico  de Seguridad y Privacidad de la información.</t>
  </si>
  <si>
    <t>Implementar un (1) Cloud Data Center para la protección y seguridad de la información en el Distrito de Cartagena</t>
  </si>
  <si>
    <t>Implementar cinco (5) servicios de gestión documental</t>
  </si>
  <si>
    <t>Implementar dos (2) servicios de sistemas de gestión</t>
  </si>
  <si>
    <t>Implementar un (1) Sistema de Gestión de Archivos Electrónicos – SGDEA en sus 5 fases: (Planeación, análisis, diseño, implementación y evaluacion, monitoreo y control)</t>
  </si>
  <si>
    <t>Diseñar e implementar un (1) Plan de Formación sobre el Sistema de Control Interno y Control Interno Contable</t>
  </si>
  <si>
    <t>Implementar un (1) Software de Auditoría Basada en Riesgos para procesos y sistemas de información</t>
  </si>
  <si>
    <t>Dotar tres (3) sedes del DATT con logística para mejorar la gestión administrativa y operativa en la prestación del servicio</t>
  </si>
  <si>
    <t>Diseñar un (1) portafolio virtual para oferta de trámites y servicios</t>
  </si>
  <si>
    <t>Recuperar ciento diecisiete mil dos ($ 117.002) millones de pesos de la cartera del DATT</t>
  </si>
  <si>
    <t>Instalar en treinta (30) puntos de la ciudad con sistema de monitoreo, control y fiscalización electrónica del tránsito</t>
  </si>
  <si>
    <t>Recaudar $1.727.905.000.000 pesos por impuesto predial unificado</t>
  </si>
  <si>
    <t>Recaudar $2.912.805.184.493 pesos por Impuesto de Industria y Comercio y complementarios</t>
  </si>
  <si>
    <t>Recaudar 34.797.802.428 de Impuesto delineación urbana en el cuatrienio</t>
  </si>
  <si>
    <t>Recaudar 238.874.034.451 de Sobretasa a la gasolina en el cuatrienio</t>
  </si>
  <si>
    <t>Implementar un (1) proyecto de modernización integral en la Secretaría de Hacienda</t>
  </si>
  <si>
    <t>Formar y cualificar dos mil ciento noventa y ocho (2.198) servidores públicos y contratistas del Distrito en enfoques diferenciales</t>
  </si>
  <si>
    <t>Crear e implementar cuatro (4) estrategias de formación en cultura tributaria dirigidas a servidores públicos y contratistas del Distrito</t>
  </si>
  <si>
    <t>Desarrollar ochenta (80) procesos de formación a ciudadanos</t>
  </si>
  <si>
    <t>Desarrollar veinte (20) procesos de formación a ciudadanos pertenecientes a grupos étnicos</t>
  </si>
  <si>
    <t>Elaborar dieciséis (16) mesas de planeación y participación dirigidas a distintos grupos de población con enfoque inclusivo, diferencial y territorial</t>
  </si>
  <si>
    <t>Desarrollar cuarenta (40) procesos de formación con enfoque inclusivo, diferencial y territorial</t>
  </si>
  <si>
    <t>Implementar cuatro (4) estrategias pedagógicas para promover el orgullo y el sentido de pertenencia por la ciudad</t>
  </si>
  <si>
    <t>Implementar ciento treina y ocho (138) iniciativas de cultura ciudadana</t>
  </si>
  <si>
    <t>Implementar ocho (8) estrategias pedagógicas para fortalecer la cultura vial y el adecuado uso del Sistema Integrado de Transporte Masivo</t>
  </si>
  <si>
    <t>Implementar cuatro (4) estrategias de promocion de practicas para el cuidado y el desarrollo integral del ser humano</t>
  </si>
  <si>
    <t>Implementar cuatro (4) estartegias para fomentar el respeto y la prevencion del maltrato contra la mujer</t>
  </si>
  <si>
    <t>Realizar doce (12) mesas de gobernanza para el seguimiento a indicadores de ciudad</t>
  </si>
  <si>
    <t>Desarrollar cuatro (4) procesos de formación en gobernanza e innovación pública</t>
  </si>
  <si>
    <t>Asesorar y acompañar doscientos nueve (209) organismos de acción comunal para el trámite exitoso de su Registro Único Tributario (RUT) ante la DIAN</t>
  </si>
  <si>
    <t>Asesorar y acompañar trescientos veintiocho (328) organismos de accion comunal asesorados y acompañados para eñ tramite exitoso de su registro unico comunal (RUC)</t>
  </si>
  <si>
    <t>Asesorar y acompañar cuatrocientos dos (402) rganismos de accion comunal en procesos de actualizacion estatutaria</t>
  </si>
  <si>
    <t>Crear e implementar una (1) Guia Metodologica para la formulacion de planes de desarrollo estrategicos comunales PDEC</t>
  </si>
  <si>
    <t>Diseñar una (1) ruta para garantizar la proteccion y acompañamiento de lideres y lideresas sociales, dignatarios y/o afiliados a organismos comunales de la ciudad en situacion de riesgo</t>
  </si>
  <si>
    <t>Crear y poner en funcionamiento una (1) Plataforma web de seguimiento a procesos y procedimientos de organismos comunales y organinazciones sociales de base</t>
  </si>
  <si>
    <t>Financiar trescientas (300) obras de interes comunitario con organismos de acción comunal a través de convenios solidarios</t>
  </si>
  <si>
    <t>Dotar y/o adecuar cien (100) sedes comunales en el Distrit</t>
  </si>
  <si>
    <t>Construir tres (3) sedes comunales en el Distrito</t>
  </si>
  <si>
    <t>Crear un (1) banco de proyectos de iniciativas comunales y comunitarias</t>
  </si>
  <si>
    <t>Desarrollar doscientas (200) actividades de cambio y transformación del entorno con organismos de acción comunal y la cuadrilla comunal</t>
  </si>
  <si>
    <t>Crear un (1) fondo de financiamiento y apalancamiento para la ejecución de iniciativas y proyectos de organizaciones comunales, comunitarias y/o sociales de base</t>
  </si>
  <si>
    <t>Invertir seis mil millones de pesos ($6.000.000.000) pesos para presupuestos participativos por año</t>
  </si>
  <si>
    <t>Vincular a cincuenta mil (50.000) ciudadanos a procesos de construcción de instrumentos de gestión y de políticas públicas</t>
  </si>
  <si>
    <t>Crear cuatro (4) campañas para la promoción de la participación ciudadana</t>
  </si>
  <si>
    <t>Desarrollar veinte (20) encuentros comunales y/o comunitarios de intercambio de experiencias, construcción de ciudad y promoción de la participación ciudadana</t>
  </si>
  <si>
    <t>Certificar mil quinientos (1.500) afiliados y afiliadas a organismos comunales del Distrito bajo la metodología del programa Formador de Formadores para la Acción Comunal</t>
  </si>
  <si>
    <t>Conformar un (1) voluntariado juvenil distrital</t>
  </si>
  <si>
    <t>Crear una (1) escuela de formación en liderazgo juvenil</t>
  </si>
  <si>
    <t>Vincular ocho mil (8.000) jóvenes en programas de formación sociopolítica y habilidades para la vida</t>
  </si>
  <si>
    <t>Implementar cuatro (4) programas (uno por año) para el fortalecimiento de los derechos de la Juventud</t>
  </si>
  <si>
    <t>Acompañar con apoyo técnico, administrativo y logístico al Consejo Distrital de Juventud y Plataforma de Juventudes</t>
  </si>
  <si>
    <t>Crear un (1) Consejo Consultivo de Mujeres y Equidad de Género</t>
  </si>
  <si>
    <t>Formar a tres mil (3.000) mujeres para la participación sociopolítica, liderazgo e incidencia política en el Distrito</t>
  </si>
  <si>
    <t>Diseñar, construir y dotar una (1) Casa de la Mujer para su operación y/o funcionamiento</t>
  </si>
  <si>
    <t>Elaborar cuatro (4) estudios socioeconómicos y poblacionales</t>
  </si>
  <si>
    <t>Elaborar seis (6) estudios de focalización territorial de beneficiarios de Programas Sociales</t>
  </si>
  <si>
    <t>Desarrollar seis (6) productos de generación de nuevo conocimiento</t>
  </si>
  <si>
    <t>Desarrollar diez (10) actividades científicas de apropiación social del conocimiento</t>
  </si>
  <si>
    <t>Desarrollar una (1) Encuesta Multipropósito</t>
  </si>
  <si>
    <t>Actualizar y optimizar un (1) Mapa Interactivo de Asuntos del Suelo - MIDAS</t>
  </si>
  <si>
    <t>Crear e implementar un (1) Sistema de Información Geográfico y Estadístico Distrital potenciado con infraestructura de datos espaciales</t>
  </si>
  <si>
    <t>Mantener actualizada una (1) base de datos de estratificación del Distrito</t>
  </si>
  <si>
    <t>Implementar una (1) Política de Gestión Estadística en el marco de MIPG</t>
  </si>
  <si>
    <t>Mantener actualizada una (1) base de datos del SISBEN IV en la fase de demanda</t>
  </si>
  <si>
    <t>Mejorar una (1) Oficina Administrativa y diez (10) puntos de atención del SISBEN IV</t>
  </si>
  <si>
    <t>Elaborar dieciséis (16) informes periódicos seguimiento de inversión pública</t>
  </si>
  <si>
    <t>Elaborar noventa y dos (92) asistencias técnicas entidades del Distrito</t>
  </si>
  <si>
    <t>Elaborar mil quinientos (1.500) soportes técnicos a usuarios en temas de proyectos de inversión</t>
  </si>
  <si>
    <t>Formular y hacer seguimiento a los Planes de Desarrollo Local</t>
  </si>
  <si>
    <t>Formular una (1) estrategia de asistencia técnica para la formulación de los Planes de Desarrollo Estratégicos Comunales</t>
  </si>
  <si>
    <t>Formular y hacer seguimiento a veintiun (21) Planes de Acción</t>
  </si>
  <si>
    <t>Formular en sus tres fases siete (7) proyectos estratégicos de ciudad</t>
  </si>
  <si>
    <t>Formular y acompañar en su evaluación y seguimiento a nueve (9) políticas públicas</t>
  </si>
  <si>
    <t>Finalizar la formulación y acompañar en la evaluación y seguimiento a tres (3) políticas públicas</t>
  </si>
  <si>
    <t>Elaborar un (1) estudio técnico para la creación de nuevas localidades</t>
  </si>
  <si>
    <t>Presentar un (1) proyecto de acuerdo al Concejo para la creación de dos localidades</t>
  </si>
  <si>
    <t>Desarrollar Asistencia tecnica y seguimiento a la ejecucion de los fondos de desarrollo local</t>
  </si>
  <si>
    <t>Acompañar con apoyo técnico, administrativo y logístico anualmente a cinco (5) instancias de planeación (Consejo Territorial de Planeación, el Consejo Consultivo de Ordenamiento Territorial y el Consejo de Participación Ciudadana)</t>
  </si>
  <si>
    <t>Implementar una (1) operación del servicio público de catastro multipropósito</t>
  </si>
  <si>
    <t>Formular un (1) plan de fortalecimiento para la prestación efectiva del servicio público de gestión catastral</t>
  </si>
  <si>
    <t>Revisar, actualizar y ajustar un (1) Plan de Ordenamiento Territorial para presentarlo ante el Concejo para su adopción</t>
  </si>
  <si>
    <t>Revisar, actualizar y ajustar un (1) Plan Especial de Manejo y Protección del Centro Histórico y su área de influencia para presentarlo ante el Ministerio de Cultura para su adopción</t>
  </si>
  <si>
    <t>Formular una (1) Actuación Urbana Integral A.U.I -12 / Recuperación Integral del Cerro de la Popa</t>
  </si>
  <si>
    <t>Formular una (1) Actuación Urbana Integral A.U.I -13 / Recuperación Integral del Cerro de Albornoz – Cospique</t>
  </si>
  <si>
    <t>Formular una (1) nueva Actuación Urbana Integral A.U.I / Desarrollo de un Plan Parcial de mejoramiento de vivienda con un proyecto multipropósito de espacios públicos y mixtos para el mejoramiento del hábitat de los asentamientos de Nelson y Villa Hermosa</t>
  </si>
  <si>
    <t>Formular dos (2) Planes: un (1) Plan Maestro de Servicios Urbanos e Institucionales al ciudadano, y un (1) Plan Maestro de Equipamientos Colectivos y Hábitat</t>
  </si>
  <si>
    <t>Formular un (1) Plan Local Portuario, articulado a los instrumentos de planeación territorial y a la Política Pública Nacional Portuaria</t>
  </si>
  <si>
    <t>Reformular, adoptar y dar seguimiento a un (1) Plan Parcial de Renovación Urbana de Bazurto</t>
  </si>
  <si>
    <t>Adoptar dos (2) Planes Parciales en suelo de expansión de los Centros Poblados de Bayunca y Pasacaballos</t>
  </si>
  <si>
    <t>Reformular, adoptar y dar seguimiento a un (1) Plan Parcial del Sector Policarpa, Arroz Barato y Puerta de Hierro</t>
  </si>
  <si>
    <t>Reformular, adoptar y dar seguimiento a un (1) Plan Parcial de Reordenamiento de las Lomas del Marión y Zaragocilla</t>
  </si>
  <si>
    <t>Tramitar la totalidad de los proyectos de legalización urbanística presentados a la administración distrital</t>
  </si>
  <si>
    <t>Diseñar y ejecutar un (1) Plan Estratégico para el traslado de Marlinda y Villa Gloria</t>
  </si>
  <si>
    <t>Formular y ejecutar diez (10) Planes de Mejoramiento Integral de Centros Poblados (Arroyo Grande, Arroyo de las Canoas, Punta Canoas, Manzanillo, Puerto Rey, Tierrabaja, Pontezuela, Membrillal, Leticia y Recreo)</t>
  </si>
  <si>
    <t>Diseñar cuatro (4) lineamientos técnicos y pedagógicos para garantizar el derecho a la ciudad de niñas y mujeres en el entorno urbano</t>
  </si>
  <si>
    <t>Formular un (1) Plan Estratégico Prospectivo Cartagena 2050</t>
  </si>
  <si>
    <t>Recuperar y mantener ciento ochenta y cinco mil (185.000) metros cuadrados de espacios públicos</t>
  </si>
  <si>
    <t>Habilitar once mil (11.000) metros cuadrados de espacio público nuevos para el aprovechamiento económico</t>
  </si>
  <si>
    <t>Presentar doscientas (200) querellas para la recuperación del espacio público</t>
  </si>
  <si>
    <t>Formular una (1) Política Pública de Legalización de Asentamientos Humanos y del Control Urbano</t>
  </si>
  <si>
    <t>Formular y presentar dos (2) documentos de planeación para la implementación de la curaduría pública y de nuevas curadurías urbanas</t>
  </si>
  <si>
    <t>Formular un (1) estudio para dar viabilidad para la creación de nuevas curadurías urbanas</t>
  </si>
  <si>
    <t>Elaborar ocho (8) obras de demolición derivadas de fallos, sentencias y sanciones</t>
  </si>
  <si>
    <t>Conformar un (1) equipo de reacción inmediata para la reducción, intervención y control de invasiones ilegales</t>
  </si>
  <si>
    <t>Certificar dos mil ochocientos (2.800) defensores urbanos barriales en normas urbanísticas</t>
  </si>
  <si>
    <t>Especializar y dotar siete (6) sedes de inspecciones en temas urbanísticos con herramientas tecnológicas</t>
  </si>
  <si>
    <t>Generar seiscientos (600) documentos normativos</t>
  </si>
  <si>
    <t>Desarrollar doce (12) actividades por año para promover la protección y bienestar animal en sectores turísticos</t>
  </si>
  <si>
    <t>Atender a veinte mil (20.000) animales por año en jornadas de salud, prevención y protección animal</t>
  </si>
  <si>
    <t>Estandarizar tres (3) protocolos para la atención a animales domésticos y silvestres</t>
  </si>
  <si>
    <t>Censar cien mil (100.000) animales domésticos</t>
  </si>
  <si>
    <t>Crear tres (3) módulos o aplicativos funcionales de software integrados en una plataforma web de acceso abierto</t>
  </si>
  <si>
    <t>Crear y poner en operación un (1) Centro de Bienestar Animal del Distrito</t>
  </si>
  <si>
    <t>Dotar tres (3) unidades móviles de atención veterinaria</t>
  </si>
  <si>
    <t>Plantar trescientos mil (300.000) árboles en el Distrito de Cartagena</t>
  </si>
  <si>
    <t>Restaurar ocho (8) hectáreas de áreas degradadas</t>
  </si>
  <si>
    <t>Construir y dotar un (1) Centro de Atención y Valoración de Fauna Silvestre nuevo</t>
  </si>
  <si>
    <t>Crear y poner en funcionamiento un (1) Centro Inteligente para el Monitoreo Ambiental de Cartagena</t>
  </si>
  <si>
    <t>Implementar dos (2) estaciones de monitoreo de la calidad del aire</t>
  </si>
  <si>
    <t>Elaborar cuatro (4) documentos de investigación para la gestión de la información y el conocimiento ambiental</t>
  </si>
  <si>
    <t>Formular una (1) Política Pública de Educación Ambiental</t>
  </si>
  <si>
    <t>Diseñar diez mil (10.000) metros lineales de senderos peatonales</t>
  </si>
  <si>
    <t>Diseñar y construir seis (6) megaproyectos de parques con criterios de adaptación al cambio climático</t>
  </si>
  <si>
    <t>Elaborar seis (6) documentos de lineamientos técnicos para determinantes ambientales</t>
  </si>
  <si>
    <t>Actualizar e implementar un (1) Plan 4C: Cartagena Competitiva y Compatible con el Clima</t>
  </si>
  <si>
    <t>Actualizar y adoptar un (1) Plan Distrital de Gestión de Riesgo</t>
  </si>
  <si>
    <t>Mantener actualizado un (1) Sistema de informacion de conocimiento del riesgo</t>
  </si>
  <si>
    <t>Llevar a ciento ocho (108) el número de inventarios de asentamientos en zonas de alto riesgo elaborados</t>
  </si>
  <si>
    <t>Implementar un (1) sistema de comunicación de gestión del riesgo con todos los actores que integran la gestión de riesgo del Distrito</t>
  </si>
  <si>
    <t>Coordinar veintitrés (23) acciones para mitigación y atención de desastres</t>
  </si>
  <si>
    <t>Formar ciento treinta y dos (132) organizaciones comunitarias en prevención y gestión de los riesgos</t>
  </si>
  <si>
    <t>Desarrollar tres (3) Acciones de protección de laderas para reducción del riesgo en el Cerro Lefran, Cerro la Popa y Cerro de Albornoz</t>
  </si>
  <si>
    <t>Actualizar y adoptar una (1) Estrategia de Respuesta a Emergencias del Distrito de Cartagena</t>
  </si>
  <si>
    <t>Atender dos mil (2.000) emergencias de riesgo que se presenten en el Distrito</t>
  </si>
  <si>
    <t>Entregar mil cuatrocientos cincuenta (1.450) beneficios económicos a familias afectadas en los distintos eventos manejados por la Oficina Asesora para la Gestión de Riesgo de Desastres</t>
  </si>
  <si>
    <t>Construir siete (7) km de protección costera para llegar a los 13.2 km</t>
  </si>
  <si>
    <t>Formular e implementar un (1) Plan Integral de Parques y Zonas Verdes</t>
  </si>
  <si>
    <t>Mejorar cinco (5) kilómetros de orillas para uso recreativo en caños, lagos y lagunas</t>
  </si>
  <si>
    <t>Formular e implementar un (1) Plan Especial de Movilidad y Peatonalización del Centro Histórico</t>
  </si>
  <si>
    <t>Mejorar catorce mil (14.000) metros lineales de andenes y bordillos del Centro Histórico</t>
  </si>
  <si>
    <t>Mejorar quince (15) plazas, parques y plazoletas del Centro Histórico</t>
  </si>
  <si>
    <t>Elaborar un (1) Estudio de Capacidad de Carga del Espacio Público Patrimonial</t>
  </si>
  <si>
    <t>Elaborar un (1) Estudio y dar lineamientos técnicos de las nuevas Tipologías Arquitectónicas del Centro Histórico</t>
  </si>
  <si>
    <t>Elaborar una (1) Cartilla del Espacio Público Patrimonial</t>
  </si>
  <si>
    <t>Recuperar y mantener dos parques: (parque Espíritu del Manglar y Parque del Centenario).</t>
  </si>
  <si>
    <t>Rehabilitar cuatro (4) espacios públicos que comunican el Centro Histórico y Castillo de San Felipe</t>
  </si>
  <si>
    <t>Adecuar tres (3) zonas del espacio público para la recreación y el deporte en el paisaje fortificado</t>
  </si>
  <si>
    <t>Construir dos (2) enlaces peatonales de cordon amurallado</t>
  </si>
  <si>
    <t>Desarrollar dieciséis (16) actividades para la apropiación colectiva del patrimonio y la gobernanza territorial</t>
  </si>
  <si>
    <t>Construir diez (10) obras para la competitividad distintas a vías</t>
  </si>
  <si>
    <t>Rehabilitar sesenta (60) km/carril de la malla vial</t>
  </si>
  <si>
    <t>Construir cuatro (4) km/carril de malla vial</t>
  </si>
  <si>
    <t>Construir tres (3) puentes nuevos en la ciudad</t>
  </si>
  <si>
    <t>Construir un (1) corredor vial de la troncal del sur</t>
  </si>
  <si>
    <t>Construir dos (2) kilómetros de vías urbanas por contribución de Valorización.</t>
  </si>
  <si>
    <t>Construir diez (10) kilómetros de vías rurales</t>
  </si>
  <si>
    <t>Construir diez mil (10.000) metros cuadrados de andenes y/o áreas peatonales</t>
  </si>
  <si>
    <t>Instalar dos mil doscientos ochenta y nueve (2.289) señales verticales</t>
  </si>
  <si>
    <t>Diseñar y demarcar veinte (20) kilómetros de ciclorutas</t>
  </si>
  <si>
    <t>Ampliar una (1) red semafórica de la ciudad</t>
  </si>
  <si>
    <t>Actualizar y normalizar catorce (14) rutas del Transporte Público Colectivo</t>
  </si>
  <si>
    <t>Erradicar diez (10) estaciones de transporte informal</t>
  </si>
  <si>
    <t>Intervenir y mejorar dieciocho (18) puntos críticos de movilidad</t>
  </si>
  <si>
    <t>Diseñar y demarcar Veinte (20) zonas de estacionamiento regulado (ZER)</t>
  </si>
  <si>
    <t>Sustituir ciento diecinueve (119) vehículos de tracción animal dedicados al transporte de cargas livianas</t>
  </si>
  <si>
    <t>Sustituir sesenta (60) vehículos de tracción animal dedicados al servicio turístico</t>
  </si>
  <si>
    <t>Elaborar una (1) caracterización socioeconómica de mototrabajadores</t>
  </si>
  <si>
    <t>Renovar dieciocho (18) estaciones del sistema</t>
  </si>
  <si>
    <t>Renovar un (1) Patio Portal</t>
  </si>
  <si>
    <t>Renovar un (1) carril de solobus</t>
  </si>
  <si>
    <t>Implementar un (1) servicio de seguridad ciudadana en el Sistema Integrado de Transporte Masivo</t>
  </si>
  <si>
    <t>Renovar cuatrocientos ochenta y dos (482) paraderos</t>
  </si>
  <si>
    <t>Modernizar un (1) sistema de recaudo, gestión de flota, información al usuario</t>
  </si>
  <si>
    <t>Implementar veinticinco (25) estrategias para la promoción de la cultura ciudadana y el uso del sistema</t>
  </si>
  <si>
    <t>Diseñar tres (3) estudios técnicos para la evaluación de operación de flota eléctrica, transporte acuático, transporte por cable aéreo</t>
  </si>
  <si>
    <t>Ejecutar tres (3) fases del proyecto de transporte acuático</t>
  </si>
  <si>
    <t>Construir o recuperar diez (10) embarcaderos para el transporte acuático</t>
  </si>
  <si>
    <t>Elaborar estudio para la implementación de la tarifa diferencial en el Sistema</t>
  </si>
  <si>
    <t>Implementar una (1) estrategia para la lucha contra el acoso en el Sistema Integrado de Transporte Masivo</t>
  </si>
  <si>
    <t>Movilizar ciento treinta y siete millones trescientos dos mil novecientos noventa y ocho (137.302.998) pasajeros en el cuatrienio</t>
  </si>
  <si>
    <t>Recuperar cuarenta (40) hectáreas de manglares</t>
  </si>
  <si>
    <t>Extraer ciento cuarenta mil (140.000) metros cúbicos de sedimentos en la Bocana y laguna de Chambacú</t>
  </si>
  <si>
    <t>Formular un (1) estudios de prefactibilidad para la implementación de laboratorio interactivo en un sector del caño Juan Angola</t>
  </si>
  <si>
    <t>Diseñar diez (10) kilómetros de canales.</t>
  </si>
  <si>
    <t>Construir un (1) km de canales.</t>
  </si>
  <si>
    <t>Retirar cien mil (100.000) m3 de material de limpieza en el cuatrienio.</t>
  </si>
  <si>
    <t>Recuperar diez (10) km de bordes de costa de cuerpos de agua</t>
  </si>
  <si>
    <t>Elaborar un (1) documento de acotamiento y priorización de ronda hídrica</t>
  </si>
  <si>
    <t>Recuperar una (1) ronda hídrica priorizada a través del documento de acotamiento</t>
  </si>
  <si>
    <t>Formular, adoptar y hacer seguimiento a un (1) Plan Parcial de Chambacú, Torices, La Unión</t>
  </si>
  <si>
    <t>Formular un (1) Plan Maestro de Caños, Laguna y Ciénagas interiores de la Ciudad y la Bahía de Cartagena</t>
  </si>
  <si>
    <t>Recuperar diez (10) afluentes principales que derivan en la Ciénaga de la Virgen</t>
  </si>
  <si>
    <t>Desarrollar veinte (20) campañas de educación ambiental sobre conservación y protección del espacio verde  para habitantes de zonas aledañas a la Ciénaga de la Virgen</t>
  </si>
  <si>
    <t>Desarrollar dos (2) proyectos de mejoramiento del Sistema Estabilizadora de Mareas</t>
  </si>
  <si>
    <t>Formular e implementar un (1) Plan de Gestión Social y Ambiental de la Ciénaga de la Virgen</t>
  </si>
  <si>
    <t>Formular un (1) estudio y diseño de fase III (factibilidad) para la construcción de la Vía Perimetral</t>
  </si>
  <si>
    <t>Formular y adoptar tres (3) Planes Parciales de Renovación Urbana: R4, R7 y R8</t>
  </si>
  <si>
    <t>Formular un (1) Plan de Mejoramiento Integral de la Boquilla</t>
  </si>
  <si>
    <t>Elaborar estudios detallados de amenaza y riesgo para los territorios delimitados en los Planes Parciales R1, R2, R3, R5 y R6</t>
  </si>
  <si>
    <t>Formular una (1) Operación Territorial – O.T-5 / Frente Costero y Protección de Playas</t>
  </si>
  <si>
    <t>Formular una (1) Operación Territorial – O.T-6 / Bahía de Cartagena – Canal del Dique</t>
  </si>
  <si>
    <t>Formular una (1) Operación Territorial – O.T 12 / Zona Insular</t>
  </si>
  <si>
    <t>Formular y ejecutar los Planes de Mejoramiento Integral de los Centros Poblados insulares de Bocachica, Caño del Oro, Punta Arena, Tierrabomba, Barú, Isla Grande, Santa Cruz del Islote, e Isla Fuerte</t>
  </si>
  <si>
    <t>Diseñar (1) Cartilla de Tipologías de Vivienda Insular o Costera adaptada a los eventos de cambio climático</t>
  </si>
  <si>
    <t>Implementar dos (2) proyectos estratégicos para el mantenimiento de los cuerpos de agua de la ciudad (Borde Social Ambiental Caño Juan Angola y Parque Pescadores de la Bocana)</t>
  </si>
  <si>
    <t>Formular en fase de prefactibilidad cuatro (4) proyectos estratégicos para el mantenimiento de los cuerpos de agua de la ciudad (Restauración ecosocial de cuenca Arroyo Matute, Zona de los canales, Zona de los arroyos, Zona de Caños y Lagos)</t>
  </si>
  <si>
    <t>Elaborar un (1) estudio de clúster para la competitividad regional</t>
  </si>
  <si>
    <t>Diseñar una (1) iniciativa regional de infraestructura de transporte abastecimiento y logística</t>
  </si>
  <si>
    <t>Desarrollar un (1) Servicio de protección del recurso hídrico para Promover inversiones supramunicipales</t>
  </si>
  <si>
    <t>Actualizar un (1) Plan Regional de Competitividad</t>
  </si>
  <si>
    <t>Implementar cuatro (4) acciones que fortalezcan el mejoramiento del clima de negocios</t>
  </si>
  <si>
    <t>Ejecutar cuatro (8) estrategias de acompañamiento de iniciativas clúster y apuestas productivas promisorias</t>
  </si>
  <si>
    <t xml:space="preserve">Beneficiar a mil (1.000)
personas a través del diseño y ejecución de 4 planes de fomento de la cultura de la innovación
</t>
  </si>
  <si>
    <t>Actualizar un (1) Sistema Distrital de Innovación a través de acciones anuales</t>
  </si>
  <si>
    <t>Implementar cuatro (4) Estrategias de posicionamiento “Cartagena Plataforma Exportadora”</t>
  </si>
  <si>
    <t>Asistir cien (100) empresas en programas de exportaciones</t>
  </si>
  <si>
    <t>Generar cuatro (4) alianzas para la promoción de Cartagena como “destino internacional en inversiones y apuestas productivas”</t>
  </si>
  <si>
    <t>Implementar cuatro (4) rutas para la diversificación económica y el desarrollo empresarial</t>
  </si>
  <si>
    <t>Ejecutar cuatro (4) estrategias de fortalecimiento empresarial y generación de encadenamientos productivos</t>
  </si>
  <si>
    <t>Impactar cuatrocientos (400) MiPymes con servicios de fortalecimiento empresarial</t>
  </si>
  <si>
    <t>Implementar un (1) programa de fortalecimiento de comerciantes de sectores estratégicos</t>
  </si>
  <si>
    <t>Habilitar y consolidar sesenta (60) alianzas de cooperantes nacionales e internacionales</t>
  </si>
  <si>
    <t>Habilitar y mapear mil doscientas (1.200) organizaciones para cooperar</t>
  </si>
  <si>
    <t>Consolidar sesenta (60) nuevos negocios verdes</t>
  </si>
  <si>
    <t>Implementar dos (2) plantas para la revalorización de residuos en zonas de tratamiento integral (acopio, transformación, aprovechamiento y comercialización).</t>
  </si>
  <si>
    <t>Implementar cinco (5) proyectos específicos de economía circular con apoyo de cooperantes</t>
  </si>
  <si>
    <t>Desarrollar una (1) investigación para evaluar y redefinir las apuestas productivas de la ciudad en el marco de las tendencias futuras de la economía mundial</t>
  </si>
  <si>
    <t>Elaborar (1) estudio sobre mercado laboral y pertinencia educativa</t>
  </si>
  <si>
    <t>Crear un (1) fondo para la reconversión productiva a emprendimientos de pequeñas y medianas empresas</t>
  </si>
  <si>
    <t>Crear una (1) estrategia de encadenamientos productivos a nivel intersectorial e intrasectorial entre las grandes, medianas y pequeñas empresas</t>
  </si>
  <si>
    <t>Crear y poner en funcionamiento tres (3) Centros de Formación para el Empleo con Enfoque en Ciencia, Tecnología, Innovación y Bilingüismo</t>
  </si>
  <si>
    <t>Vincular a quinientos (500) jóvenes (mujeres, grupos étnicos y víctimas) a estrategias de formación relacionadas a la innovación y la Cuarta Revolución Industrial</t>
  </si>
  <si>
    <t>Implementar cuatro (4) estrategias de acceso a oportunidades del mercado laboral (trabajo formal y formalización del trabajo informal)</t>
  </si>
  <si>
    <t>Crear tres (3) cooperativas que vinculen a: (2) Organizaciones Comunales y (1) organizaciones de víctimas en el desarrollo de oportunidades del mercado laboral</t>
  </si>
  <si>
    <t>Vincular a diez mil (10.000) personas a rutas de empleo y capital humano (al menos 50% mujeres)</t>
  </si>
  <si>
    <t>Vincular cuatrocientos (400) jóvenes estudiantes en la realización de las prácticas laborales y recibiendo auxilios como incentivos, con criterios de paridad de género</t>
  </si>
  <si>
    <t>Vincular cuatrocientos (400) jóvenes graduados sin experiencia laboral a la administración distrital, con criterios de paridad de género</t>
  </si>
  <si>
    <t>Cualificar mil trescientos (1.300) mujeres para la inserción laboral acorde a la pertinencia y necesidades del mercado laboral de la ciudad</t>
  </si>
  <si>
    <t>Implementar cuatro (4) rutas de emprendimiento</t>
  </si>
  <si>
    <t>Ejecutar cuatro (4) planes de comercialización y visibilización de productos de emprendedores</t>
  </si>
  <si>
    <t>Elaborar cuatro (4) estrategias de acompañamiento a emprendimientos y MiPymes para acceso a mecanismos de financiación</t>
  </si>
  <si>
    <t>Intervenir a dos mil (2000) emprendedores con capacidad para emprender</t>
  </si>
  <si>
    <t>Diseñar y ejecutar una (1) estrategia de proveeduría de sectores administrados por el Distrito que vincule la participación de emprendimientos, negocios y/o proyectos productivos liderado por mujeres</t>
  </si>
  <si>
    <t xml:space="preserve">Implementar cuatro (4) estrategias para la promoción de ecosistemas de emprendimiento e innovación
</t>
  </si>
  <si>
    <t>Crear dos (2) microcentros de inteligencia artificial</t>
  </si>
  <si>
    <t>Elaborar una (1) Caracterización socio empresarial de familias vulnerables atendidas en el Distrito.</t>
  </si>
  <si>
    <t>Formar y asistir con fortalecimiento productivo a cuatro mil (4.000) personas vulnerables</t>
  </si>
  <si>
    <t>Desarrollar una (1) feria anual de emprendimiento en el Distrito priorizando mujeres y jóvenes</t>
  </si>
  <si>
    <t>Financiar y formalizar cien (100) negocios y/o proyectos productivos liderados por mujere</t>
  </si>
  <si>
    <t>Formar a dos mil (2.000) jóvenes en emprendimientos e inclusión productiva</t>
  </si>
  <si>
    <t>Apoyar financieramente seiscientos (600) emprendimientos juvenile</t>
  </si>
  <si>
    <t>Formar y certificar a cuatrocientos (400) jóvenes para la vinculación e inserción en el mercado labora</t>
  </si>
  <si>
    <t>Crear cuatro (4) espacios o acciones de promoción para la vinculación laboral de jóvenes al trabajo formal y promoción del primer empleo</t>
  </si>
  <si>
    <t>Formalizar seiscientos (600) vendedores con emprendimiento y creación de pequeña empresa</t>
  </si>
  <si>
    <t>Diseñar seis (6) mobiliarios urbanos para el emprendimiento económico</t>
  </si>
  <si>
    <t>Elaborar cuatro (4) documentos de linemientos para el manejo del sector turismo</t>
  </si>
  <si>
    <t>Poner en funcionamiento seis (6) Centros de Atención al Turista en el Distrito (zona insular y urbana)</t>
  </si>
  <si>
    <t>Entregar trescientos sesenta (360) equipamientos para brigadistas y guardavidas del Distrito</t>
  </si>
  <si>
    <t xml:space="preserve">Vincular a trescientos veinte (320) personas líderes y autoridades turísticas a procesos de formación
</t>
  </si>
  <si>
    <t>Vincular cuatro mil ochocientas veintisiete (4.827) personas a procesos de formación y capacitación formal e informal en asuntos turísticos</t>
  </si>
  <si>
    <t>Vincular a cuatrocientas (400) personas con oportunidades de acceso a rutas de empleo y capital humano en turismo sostenible con paridad de genero</t>
  </si>
  <si>
    <t>Crear e implementar ocho (8) rutas comunitarias</t>
  </si>
  <si>
    <t>Vincular a ochenta (80) personas a asistencia técnica para el fortalecimiento de la actividad artesanal</t>
  </si>
  <si>
    <t>Entregar quinientos (500) activos productivos a prestadores de servicios turísticos</t>
  </si>
  <si>
    <t>Implementar acciones de sostenibilidad ambiental en dos (2) atractivos turísticos</t>
  </si>
  <si>
    <t>Cofinanciar cuatro (4) proyectos para la actividad turística</t>
  </si>
  <si>
    <t>Obtener dos (2) certificaciones turísticas</t>
  </si>
  <si>
    <t>Crear un (1) Portal Único de Información Turística sobre la Oferta Turística</t>
  </si>
  <si>
    <t>Crear e implementar una (1) Tecnologia de destino turistica inteligente</t>
  </si>
  <si>
    <t>Implementar cinco (5) alianzas con universidades para la formacion y profesionalizacion de actores turisticos</t>
  </si>
  <si>
    <t>Promover y desarrollar ocho (8) eventos turísticos náuticos en la zona insular y urbana del Distrito</t>
  </si>
  <si>
    <t>Desarrollar cuatro (4) campañas de divulgación para la promoción turística y conectividad</t>
  </si>
  <si>
    <t>Participar en sesenta (60) eventos especializados</t>
  </si>
  <si>
    <t>Desarrollar cuatro (4) productos turísticos</t>
  </si>
  <si>
    <t>Implementar cinco (5) eventos de ciudad</t>
  </si>
  <si>
    <t>Dotar, adecuar, mejorar, mantener y/o construir nueve (9) infraestructuras turísticas</t>
  </si>
  <si>
    <t>Elaborar dos (2) estudios de preinversión para proyectos turísticos</t>
  </si>
  <si>
    <t>Instalar ochenta (80) señalizaciones turísticas en 2 playas y/o espacios turísticos</t>
  </si>
  <si>
    <t>Implementar acciones de mantenimiento en veinticinco (25) infraestructuras turísticas para prestar servicios de vigilancia, control y seguridad a los turistas</t>
  </si>
  <si>
    <t>Consolidar una (1) entidad para el desarrollo y sostenibilidad turística</t>
  </si>
  <si>
    <t>Crear un (1) Observatorio de Turismo</t>
  </si>
  <si>
    <t>Elaborar un (1) documento de Planificación de Ordenamiento de Playas</t>
  </si>
  <si>
    <t>Desarrollar diez (10) procesos productivos de agricultura campesina familiar y comunitaria</t>
  </si>
  <si>
    <t>Atender a mil setecientos sesenta y siete (1.767) mujeres rurales con servicios de extensión agropecuari</t>
  </si>
  <si>
    <t>Atender a doscientas (200) mujeres afro rurales con servicios de extensión agropecuaria</t>
  </si>
  <si>
    <t>Atender a cien (100) mujeres indígena en el fortalecimiento de las actividades propias</t>
  </si>
  <si>
    <t>Implementar tres (3) circuitos cortos de comercialización</t>
  </si>
  <si>
    <t>Formular y ejecutar un (1) Plan de Extensión Agropecuaria del Distrito</t>
  </si>
  <si>
    <t>Atender a tres mil seiscientos cincuenta y dos (3.652) productores con servicios de extensión agropecuaria</t>
  </si>
  <si>
    <t>Consolidar dos (2) encadenamientos y/o cadenas productivas para garantizar el derecho humano a la alimentación</t>
  </si>
  <si>
    <t>Formular y ejecutar tres (3) procesos productivos en producción, reproducción y mejoramiento genético (bovina y/o especies menores)</t>
  </si>
  <si>
    <t>Crear cuatro (4) procesos asociativos para fortalecer las capacidades y competencias agropecuarias</t>
  </si>
  <si>
    <t>Asistir veinte (20) emprendimientos rurales orientados a la generación de valor agregad</t>
  </si>
  <si>
    <t>Implementar cuatro (4) alianzas y/o convenios interadministrativos para la dotación de infraestructura física y/o activos productivos de carácter público</t>
  </si>
  <si>
    <t>Implementar una (1) solución alternativa de fuentes de agua en zonas de producción agrícola para mitigar el cambio climático</t>
  </si>
  <si>
    <t>Formular e implementar dos (2) proyectos de maricultura</t>
  </si>
  <si>
    <t>Desarrollar cuatro (4) acciones para el fortalecimiento de la mujer en el ejercicio de la pesca</t>
  </si>
  <si>
    <t>Crear un (1) Centro de Acopio Integral</t>
  </si>
  <si>
    <t>Crear una (1) escuela de pescadores de saberes ancestrales</t>
  </si>
  <si>
    <t>Elaborar (1) prueba bromatológica en los peces de la bahía de Cartagena.</t>
  </si>
  <si>
    <t>Elaborar (1) prueba ambientales en los peces de la bahía de Cartagena.</t>
  </si>
  <si>
    <t xml:space="preserve">Implementar tres (3) fases del proceso de traslado del Mercado de Bazurto 
(1. Levantamiento, recopilación y revisión de información. 
2. Estudio de preinversion para el desarrollo de la estructuración técnica, social, ambiental, predial, financiera, jurídica y operativa del nuevo sistema de abastecimiento 
3. Ejecución) 
</t>
  </si>
  <si>
    <t>Formalizar a ciento setenta y seis (176) O.E.P. reubicados al interior del mercado</t>
  </si>
  <si>
    <t>Formalizar a seiscientos cuarenta y siete (647) O.E.P. de zonas no intervenidas en el mercado de Bazurto pendientes por formalizar en mercados sectoriales</t>
  </si>
  <si>
    <t>Actualizar dos (2) documentos normativos que rigen la operación de la plaza de mercados</t>
  </si>
  <si>
    <t>Implementar dos (2) Plan Gestión: 1. Ambiental, 2. Administrativa operativa y jurídica del Sistema de Mercados</t>
  </si>
  <si>
    <t>Intervenir o mantener quinientos (500) metros cuadrados de infraestructura de las plazas de mercado que conforman el Sistema Integral de Abastecimiento del Distrito</t>
  </si>
  <si>
    <t>TABLERO DE CONTROL PARA PLANES DE ACCIÓN - RANGOS POR TRIMESTRE AJUSTADOS SEGÚN EL PERIODO DE CORTE.</t>
  </si>
  <si>
    <t>Criterio de Seguimiento</t>
  </si>
  <si>
    <t>Rango de Seguimiento</t>
  </si>
  <si>
    <t>Primer Trimestre</t>
  </si>
  <si>
    <t>Segundo Trimestre</t>
  </si>
  <si>
    <t>Tercer Trimestre</t>
  </si>
  <si>
    <t>Cuarto Trimestre</t>
  </si>
  <si>
    <t>Sobresaliente</t>
  </si>
  <si>
    <t>90,1% - 100%</t>
  </si>
  <si>
    <t>22,51% - 25%</t>
  </si>
  <si>
    <t>45,1% - 50%</t>
  </si>
  <si>
    <t>67,51% - 75%</t>
  </si>
  <si>
    <t>Aceptable</t>
  </si>
  <si>
    <t>75,1% - 90%</t>
  </si>
  <si>
    <t>18,76% - 22,5%</t>
  </si>
  <si>
    <t>37,51% - 45%</t>
  </si>
  <si>
    <t>56,26% - 67,5%</t>
  </si>
  <si>
    <t>Medio</t>
  </si>
  <si>
    <t>50,1% - 75%</t>
  </si>
  <si>
    <t>12,51% - 18,75%</t>
  </si>
  <si>
    <t>25,1% - 37,5%</t>
  </si>
  <si>
    <t>37,51% - 56,25%</t>
  </si>
  <si>
    <t>Deficiente</t>
  </si>
  <si>
    <t>25,1% - 50%</t>
  </si>
  <si>
    <t>6,26% - 12,5%</t>
  </si>
  <si>
    <t>12,51% - 25%</t>
  </si>
  <si>
    <t>18,76% - 37,5%</t>
  </si>
  <si>
    <t>Crítico</t>
  </si>
  <si>
    <t>0%  - 25%</t>
  </si>
  <si>
    <t>0% - 6,25%</t>
  </si>
  <si>
    <t>0% - 12,5%</t>
  </si>
  <si>
    <t>0% - 18,75%</t>
  </si>
  <si>
    <t>0% - 25%</t>
  </si>
  <si>
    <t>PLAN DE ACCIÓN METAS PRODUCTO</t>
  </si>
  <si>
    <t>NIVEL DE EFICACIA</t>
  </si>
  <si>
    <t>ESTADO INDICADORES TABLERO DE CONTROL</t>
  </si>
  <si>
    <t>CALIFICACIÓN</t>
  </si>
  <si>
    <t>Muy Alto</t>
  </si>
  <si>
    <t>Mayor o igual a 90%</t>
  </si>
  <si>
    <t>Alto</t>
  </si>
  <si>
    <t>Igual o mayor al 70%  hasta el  89,9%</t>
  </si>
  <si>
    <t>Igual o mayor al 50% hasta el  69,9%</t>
  </si>
  <si>
    <t>Bajo</t>
  </si>
  <si>
    <t>Igual o mayor al 30% hasta el  49,9%</t>
  </si>
  <si>
    <t>Muy Bajo</t>
  </si>
  <si>
    <t>Menor al 29,9%</t>
  </si>
  <si>
    <t>Demarcar ciento noventa (190,58) kilómetros de marcas longitudinales</t>
  </si>
  <si>
    <t>SECRETARÍA DE INFRAESTRUCTURA - EDURBE</t>
  </si>
  <si>
    <t>TOTAL METAS PRODUCTO PDD 2024 -2027</t>
  </si>
  <si>
    <t xml:space="preserve">PARTICIPACIÓN DE METAS PRODUCTO </t>
  </si>
  <si>
    <t>GEPM (GERENCIA DE ESPACIO PÚBLICO Y MOVILIDAD)</t>
  </si>
  <si>
    <t>GEPM (GERENCIA DE ESPACIO PÚBLICO Y MOVILIDAD) - SECRETARÍA DE INFRAESTRUCTURA</t>
  </si>
  <si>
    <t>DATT - GEPM (GERENCIA DE ESPACIO PÚBLICO Y MOVILIDAD)</t>
  </si>
  <si>
    <t>SECRETARÍA DE PLANEACIÓN - EPA</t>
  </si>
  <si>
    <t>Crear e implementar cuatro (4) estrategias de formación en cultura tributaria</t>
  </si>
  <si>
    <t>Número de estrategias de formación en cultura tributaria creadas e implementadas</t>
  </si>
  <si>
    <t>Revisar con enlace el cumplimiento de esa meta producto</t>
  </si>
  <si>
    <t xml:space="preserve">SECRETARÍA GENERAL
COOPERACIÓN INTERNACIONAL
</t>
  </si>
  <si>
    <t>SECRETARÍA GENERAL  - COOPERACIÓN INTERNACIONAL</t>
  </si>
  <si>
    <t>SECRETARÍA GENERAL - Corporación Museo Histórico de Cartagena</t>
  </si>
  <si>
    <t>ESCUELA DE GOBIERNO Y LIDERAZGO - Oficina Asesora de Control Interno</t>
  </si>
  <si>
    <t>SECRETARÍA GENERAL - Oficina Asesora Jurídica</t>
  </si>
  <si>
    <t>No Programada por el Colegio Mayor para la vigencia  2024</t>
  </si>
  <si>
    <t>OFICINA ASESORA PARA LA GESTIÓN DE RIESGO DE DESASTRE  / Oficina de Informática de la Alcaldía Distrital de Cartagena</t>
  </si>
  <si>
    <t xml:space="preserve">OFICINA ASESORA PARA LA GESTIÓN DE RIESGO DE DESASTRE - SECRETARÍA DE INFRAESTRUCTURA </t>
  </si>
  <si>
    <t>DISTRISEGURIDAD - SECRETARÍA DEL INTERIOR Y CONVIVENCIA CIUDADANA</t>
  </si>
  <si>
    <t>Diseñar e implementar anualmente cuatro (4) nuevas estrategias de fortalecimiento tributario en el Distrito</t>
  </si>
  <si>
    <t>No programado SED para la vigencia 2024</t>
  </si>
  <si>
    <t xml:space="preserve"> SECRETARÍA DEL INTERIOR Y CONVIVENCIA CIUDADANA - DISTRISEGURIDAD </t>
  </si>
  <si>
    <t>No programada DADIS para la vigencia 2025</t>
  </si>
  <si>
    <t>Revisar esta meta ya que cuenta con reporte de GEPM (programó 0,5 para esta vigencia) y tiene como reponsable ETCAR</t>
  </si>
  <si>
    <t>Número de personas con discapacidad vinculadas a rutas de empleo</t>
  </si>
  <si>
    <t>Vincular a sesenta (60) personas con discapacidad a rutas de empleo</t>
  </si>
  <si>
    <t>SECRETARÍA DE PARTICIPACIÓN Y DESARROLLO SOCIAL - SECRETARÍA DEL INTERIOR Y CONVIVENCIA CIUDADANA</t>
  </si>
  <si>
    <t>Revisa con enlace - No reportada por la Secretaría de Participación  para este trimestre</t>
  </si>
  <si>
    <t>Revisar porque la meta producto es anual y no fue  programada DADIS para la vigencia 2026</t>
  </si>
  <si>
    <t>Revisar reporte de Secretaría del Interior - El Intituto Comunal tambien reporta</t>
  </si>
  <si>
    <t>No Programada por el Instituto Comunal para la vigencia 2026</t>
  </si>
  <si>
    <t>No Programada por el Instituto Comunal para la vigencia 2027</t>
  </si>
  <si>
    <t>Revisar con enlace, ya que esta meta no la reportaron</t>
  </si>
  <si>
    <t>SECRETARÍA DE INFRAESTRUCTURA -  EDURBE</t>
  </si>
  <si>
    <t>Esta meta no fue programada por el EPA para la vigencia 2024</t>
  </si>
  <si>
    <t xml:space="preserve">GEPM (GERENCIA DE ESPACIO PÚBLICO Y MOVILIDAD) - SECRETARÍA DE INTERIOR </t>
  </si>
  <si>
    <t>Esta meta no fue reportada ni programada por Transcaribe o Secretaría de Infraestructura  para la vigencia 2025</t>
  </si>
  <si>
    <t>Esta meta no fue ni reportada ni programada por la Secreatría de Infraestructura para la vigencia 2024.</t>
  </si>
  <si>
    <t>Esta meta no fue ni reportada ni programada por el EPA para la vigencia 2024.</t>
  </si>
  <si>
    <t>No programado ni reportado por la Secretaría de Turismo se programa cero para esta vigencia al igual que el reporte</t>
  </si>
  <si>
    <t>Esta meta no fue programada ni reportada por la Secretaría de Infraestructura ni la Secretaría de Turismo para esta vigencia 2024</t>
  </si>
  <si>
    <t>PROGRAMADO CORTE  2024 RESPECTO AL CUATRIENIO 2024 -2027 (PONDERADOR)</t>
  </si>
  <si>
    <t>Secretaría General  no programó de esta meta Producto para vigencia 2024</t>
  </si>
  <si>
    <t xml:space="preserve"> Corvivienda no Programó esta meta para esta Linea Estrategica para la vigencia</t>
  </si>
  <si>
    <t>Esta meta no se Programó por el IPCC para la vigencia 2025</t>
  </si>
  <si>
    <t>Esta meta Secretaría de Turismo  no reportó ni programó para esta vigencia</t>
  </si>
  <si>
    <t xml:space="preserve"> Corvivienda Programó esta meta para esta Linea Estrategica para la vigencia en el reporte</t>
  </si>
  <si>
    <t xml:space="preserve"> Esta meta no se reportó ni programó por parte de la Secretaría de Hacienda para la vigencia 2024</t>
  </si>
  <si>
    <t xml:space="preserve">Componente Impulsor del avance: Transparencia y Gobierno Abierto
</t>
  </si>
  <si>
    <t>PLAN DE DESARROLLO CARTAGENA CIUDAD DE DERECHOS 2024 - 2027</t>
  </si>
  <si>
    <t>Meta Cumplida</t>
  </si>
  <si>
    <t>Ete programa se ajusta el avance, ya que para el primer año, solo se programaron dos metas, por lo tanto, solo se  incluye el avance sobre 12 metas y no 2, para la priemra vigencia 2024. se colocó 12,5% de avance en el cuatrienio</t>
  </si>
  <si>
    <t>META CUMPLIDA</t>
  </si>
  <si>
    <t xml:space="preserve"> SEGURIDAD HUMANA
</t>
  </si>
  <si>
    <t xml:space="preserve"> PLAN ESTRATÉGICO DE SEGURIDAD INTEGRAL TITAN 24</t>
  </si>
  <si>
    <t>EL CUERPO DE BOMBEROS AVANZA</t>
  </si>
  <si>
    <t>SEGURIDAD YA CON DOTACIÓN A LOS ORGANISMOS DE SEGURIDAD, SOCORRO, JUSTICIA Y CONVIVENCIA Y TECNOLOGÍA PARA LA PREVENCIÓN</t>
  </si>
  <si>
    <t xml:space="preserve"> SEGURIDAD YA EN LAS PLAYAS DE CARTAGENA</t>
  </si>
  <si>
    <t xml:space="preserve"> EDUCACIÓN, CULTURA Y SEGURIDAD VIAL PARA AVANZAR</t>
  </si>
  <si>
    <t xml:space="preserve"> UNA VIDA LIBRE DE VIOLENCIA PARA LAS MUJERES</t>
  </si>
  <si>
    <t xml:space="preserve"> DERECHO A LA PAZ Y CONVIVENCIA CON EQUIDAD DE GÉNERO</t>
  </si>
  <si>
    <t>CARTAGENA AVANZA EN CONVIVENCIA</t>
  </si>
  <si>
    <t xml:space="preserve"> AVANZANDO EN EL FORTALECIMIENTO DE CASAS DE JUSTICIA, COMISARÍAS DE FAMILIA E INSPECCIONES DE POLICÍA</t>
  </si>
  <si>
    <t xml:space="preserve"> ATENCIÓN INTEGRAL A JÓVENES EN SITUACIÓN DE RIESGO SOCIAL</t>
  </si>
  <si>
    <t>ASISTENCIA, ATENCIÓN Y REPARACIÓN EFECTIVA E INTEGRAL A LAS VÍCTIMAS DEL CONFLICTO ARMADO</t>
  </si>
  <si>
    <t>DERECHOS HUMANOS PARA LA VIDA DIGNA</t>
  </si>
  <si>
    <t>SISTEMA PENITENCIARIO Y CARCELARIO EN EL MARCO DE LOS DERECHOS HUMANOS</t>
  </si>
  <si>
    <t xml:space="preserve"> SALUD CON COBERTURA, ACCESIBILIDAD, CALIDAD E INCLUSIÓN</t>
  </si>
  <si>
    <t xml:space="preserve"> DERECHOS EN SALUD Y PROMOCIÓN SOCIAL</t>
  </si>
  <si>
    <t xml:space="preserve"> FORTALECIMIENTO DEL CENTRO REGULADOR DE URGENCIAS, EMERGENCIAS Y DESASTRES EN EL DISTRITO DE CARTAGENA - CRUED</t>
  </si>
  <si>
    <t xml:space="preserve"> SALUD PÚBLICA</t>
  </si>
  <si>
    <t xml:space="preserve"> CEMENTERIOS</t>
  </si>
  <si>
    <t xml:space="preserve"> FORTALECIMIENTO A LA PROTECCIÓN DIGNA DE LAS PERSONAS MAYORES EN EL DISTRITO DE CARTAGENA</t>
  </si>
  <si>
    <t xml:space="preserve"> ASISTENCIA SOCIAL E INCLUYENTE A LAS PERSONAS CON DISCAPACIDAD Y/O SU FAMILIA O CUIDADORES PARA LA SEGURIDAD HUMANA Y BIENESTAR SOCIAL</t>
  </si>
  <si>
    <t xml:space="preserve"> UNIDOS PARA LA INCLUSIÓN PRODUCTIVA DE LAS PERSONAS CON DISCAPACIDAD</t>
  </si>
  <si>
    <t xml:space="preserve"> CIUDADANOS HABITANTES DE CALLE CON PROTECCIÓN SOCIAL Y GARANTÍA DE DERECHOS</t>
  </si>
  <si>
    <t>ATENCIÓN INTEGRAL AL MIGRANTE</t>
  </si>
  <si>
    <t>CARTAGENA DIVERSA</t>
  </si>
  <si>
    <t>SISTEMA DISTRITAL DEL CUIDADO</t>
  </si>
  <si>
    <t xml:space="preserve"> IDENTIFICACIÓN PARA LA SUPERACIÓN DE LA POBREZA EXTREMA</t>
  </si>
  <si>
    <t xml:space="preserve"> SALUD PARA LA SUPERACIÓN DE LA POBREZA EXTREMA</t>
  </si>
  <si>
    <t>EDUCACIÓN PARA LA SUPERACIÓN DE LA POBREZA EXTREMA</t>
  </si>
  <si>
    <t>HABITABILIDAD PARA LA SUPERACIÓN DE LA POBREZA EXTREMA</t>
  </si>
  <si>
    <t>INGRESO Y TRABAJO PARA LA SUPERACIÓN DE LA POBREZA EXTREMA</t>
  </si>
  <si>
    <t xml:space="preserve"> BANCARIZACIÓN PARA LA SUPERACIÓN DE LA POBREZA EXTREMA</t>
  </si>
  <si>
    <t xml:space="preserve"> DINÁMICA FAMILIAR PARA LA SUPERACIÓN DE LA POBREZA EXTREMA</t>
  </si>
  <si>
    <t xml:space="preserve"> SEGURIDAD ALIMENTARIA Y NUTRICIÓN PARA LA SUPERACIÓN DE LA POBREZA EXTREMA</t>
  </si>
  <si>
    <t>ACCESO A LA JUSTICIA PARA LA SUPERACIÓN DE LA POBREZA EXTREMA</t>
  </si>
  <si>
    <t xml:space="preserve"> FORTALECIMIENTO INSTITUCIONAL DE RENTA CIUDADANA, RENTA JOVEN Y COLOMBIA MAYOR PARA LA SUPERACIÓN DE LA POBREZA EXTREMA</t>
  </si>
  <si>
    <t xml:space="preserve"> FORTALECIMIENTO INSTITUCIONAL PARA LA SUPERACIÓN DE LA POBREZA EXTREMA</t>
  </si>
  <si>
    <t>SALUD PÚBLICA</t>
  </si>
  <si>
    <t>CEMENTERIOS</t>
  </si>
  <si>
    <t xml:space="preserve"> ATENCIÓN INTEGRAL AL MIGRANTE</t>
  </si>
  <si>
    <t xml:space="preserve"> CARTAGENA DIVERSA</t>
  </si>
  <si>
    <t xml:space="preserve"> SISTEMA DISTRITAL DEL CUIDADO</t>
  </si>
  <si>
    <t xml:space="preserve"> EDUCACIÓN PARA LA SUPERACIÓN DE LA POBREZA EXTREMA</t>
  </si>
  <si>
    <t xml:space="preserve"> HABITABILIDAD PARA LA SUPERACIÓN DE LA POBREZA EXTREMA</t>
  </si>
  <si>
    <t xml:space="preserve"> INGRESO Y TRABAJO PARA LA SUPERACIÓN DE LA POBREZA EXTREMA</t>
  </si>
  <si>
    <t xml:space="preserve"> ACCESO A LA JUSTICIA PARA LA SUPERACIÓN DE LA POBREZA EXTREMA</t>
  </si>
  <si>
    <t xml:space="preserve"> Educación
</t>
  </si>
  <si>
    <t xml:space="preserve"> VIDA DIGNA
</t>
  </si>
  <si>
    <t>MODERNIZACIÓN DE LA INFRAESTRUCTURA EDUCATIVA</t>
  </si>
  <si>
    <t xml:space="preserve"> AVANZANDO DESDE EL COMIENZO</t>
  </si>
  <si>
    <t>ME QUEDO PORQUE ME QUEDO</t>
  </si>
  <si>
    <t xml:space="preserve"> YO CUENTO</t>
  </si>
  <si>
    <t xml:space="preserve"> ESCUELA HOGAR</t>
  </si>
  <si>
    <t xml:space="preserve"> CARTAGENA TERRITORIO PLURILINGÜE</t>
  </si>
  <si>
    <t>CARTAGENA MEJOR EDUCADA</t>
  </si>
  <si>
    <t xml:space="preserve"> LEVANTEMOS LA VOZ</t>
  </si>
  <si>
    <t xml:space="preserve"> AULA GLOBAL</t>
  </si>
  <si>
    <t xml:space="preserve"> FORMACIÓN Y CUALIFICACIÓN DE DOCENTES Y DIRECTIVOS DOCENTES</t>
  </si>
  <si>
    <t xml:space="preserve"> FORTALECIMIENTO DE LA GESTIÓN ESCOLAR EN LAS INSTITUCIONES EDUCATIVAS OFICIALES</t>
  </si>
  <si>
    <t>UNIDOS POR EL SUEÑO SUPERIOR</t>
  </si>
  <si>
    <t>CARTAGENA, TERRITORIO DIGITAL</t>
  </si>
  <si>
    <t>OFERTA ACADÉMICA SUPERIOR CON CALIDAD</t>
  </si>
  <si>
    <t>FORMACIÓN TÉCNICA Y COMPLEMENTARIA EN OFICIOS</t>
  </si>
  <si>
    <t xml:space="preserve"> Acceso a Servicios Básicos
</t>
  </si>
  <si>
    <t>ACCESO AL AGUA POTABLE Y SANEAMIENTO BÁSICO</t>
  </si>
  <si>
    <t>AVANZAMOS POR UNA CARTAGENA ILUMINADA Y LA TRANSICIÓN ENERGÉTICA</t>
  </si>
  <si>
    <t>UNIDOS POR LA GESTIÓN DE LOS RESIDUOS Y EL DESARROLLO SOSTENIBLE</t>
  </si>
  <si>
    <t xml:space="preserve"> Vivienda Digna y Hábitat
</t>
  </si>
  <si>
    <t xml:space="preserve"> UNIDOS POR UNA VIVIENDA PARA TI</t>
  </si>
  <si>
    <t>MI CASA AVANZA</t>
  </si>
  <si>
    <t>MI CASA CON PROPIEDAD</t>
  </si>
  <si>
    <t xml:space="preserve"> MI TERRITORIO EN ORDEN</t>
  </si>
  <si>
    <t xml:space="preserve">Artes, Cultura y Patrimonio
</t>
  </si>
  <si>
    <t xml:space="preserve"> ESCENARIOS CULTURALES VIVOS PARA TRANSFORMAR</t>
  </si>
  <si>
    <t xml:space="preserve"> DEMOCRATIZACIÓN DE LA CULTURA: ESTÍMULOS PARA EL FOMENTO Y DESARROLLO ARTÍSTICO, CULTURAL Y CREATIVO.</t>
  </si>
  <si>
    <t xml:space="preserve"> FORMACIÓN ARTÍSTICA Y CULTURAL</t>
  </si>
  <si>
    <t xml:space="preserve"> DERECHOS CULTURALES Y FORTALECIMIENTO INSTITUCIONAL PARA LA GOBERNANZA</t>
  </si>
  <si>
    <t xml:space="preserve"> CARTAGENA BRILLA CON SU CULTURA Y PATRIMONIO MATERIAL E INMATERIAL</t>
  </si>
  <si>
    <t xml:space="preserve"> MEMORIA Y PATRIMONIO AL SERVICIO DE LA CIUDADANÍA</t>
  </si>
  <si>
    <t xml:space="preserve">Deporte y Recreación
</t>
  </si>
  <si>
    <t xml:space="preserve"> FORTALECIMIENTO Y MANTENIMIENTO DE LA RED DE INFRAESTRUCTURA DEPORTIVA DEL DISTRITO</t>
  </si>
  <si>
    <t xml:space="preserve"> FOMENTO AL DEPORTE DE ALTO RENDIMIENTO</t>
  </si>
  <si>
    <t>FORTALECIMIENTO DEL CAPITAL HUMANO A TRAVÉS DE LAS CIENCIAS APLICADAS AL DEPORTE Y LA RECREACIÓN.</t>
  </si>
  <si>
    <t xml:space="preserve"> FORTALECIMIENTO DEL DEPORTE FORMATIVO, ESTUDIANTIL Y LA EDUCACIÓN FÍSICA EXTRAESCOLAR</t>
  </si>
  <si>
    <t xml:space="preserve"> FORTALECIMIENTO DEL DEPORTE SOCIAL COMUNITARIO, AVANZAR EN NUESTRO TERRITORIO</t>
  </si>
  <si>
    <t>PROMOCIÓN DE HÁBITOS Y ESTILOS DE VIDA SALUDABLE, RECREACIÓN, ACTIVIDAD FÍSICA Y EL APROVECHAMIENTO DEL TIEMPO LIBRE EN EL DISTRITO DE CARTAGENA</t>
  </si>
  <si>
    <t xml:space="preserve"> CARTAGENA CIUDAD DESTINO DE TURISMO DEPORTIVO</t>
  </si>
  <si>
    <t xml:space="preserve"> Infancia, Adolescencia y Familia
</t>
  </si>
  <si>
    <t xml:space="preserve"> ENTORNOS SEGUROS PARA LA PRIMERA INFANCIA</t>
  </si>
  <si>
    <t>AVANZANDO HACIA UNA INFANCIA Y ADOLESCENCIA PROTEGIDA Y SIN VIOLENCIAS</t>
  </si>
  <si>
    <t>JUGANDO Y PARTICIPANDO LOS DERECHOS DE LA NIÑEZ VAMOS IMPULSANDO</t>
  </si>
  <si>
    <t xml:space="preserve"> MODERNIZACIÓN DE LA INFRAESTRUCTURA EDUCATIVA</t>
  </si>
  <si>
    <t xml:space="preserve"> ME QUEDO PORQUE ME QUEDO</t>
  </si>
  <si>
    <t xml:space="preserve"> CARTAGENA MEJOR EDUCADA</t>
  </si>
  <si>
    <t xml:space="preserve"> UNIDOS POR EL SUEÑO SUPERIOR</t>
  </si>
  <si>
    <t xml:space="preserve"> AVANZAMOS EN EL FORTALECIMIENTO INSTITUCIONAL DE LA SECRETARÍA DE EDUCACIÓN</t>
  </si>
  <si>
    <t xml:space="preserve"> CARTAGENA, TERRITORIO DIGITAL</t>
  </si>
  <si>
    <t xml:space="preserve"> OFERTA ACADÉMICA SUPERIOR CON CALIDAD</t>
  </si>
  <si>
    <t xml:space="preserve"> FORMACIÓN TÉCNICA Y COMPLEMENTARIA EN OFICIOS</t>
  </si>
  <si>
    <t xml:space="preserve"> ACCESO AL AGUA POTABLE Y SANEAMIENTO BÁSICO</t>
  </si>
  <si>
    <t xml:space="preserve"> AVANZAMOS POR UNA CARTAGENA ILUMINADA Y LA TRANSICIÓN ENERGÉTICA</t>
  </si>
  <si>
    <t xml:space="preserve"> UNIDOS POR LA GESTIÓN DE LOS RESIDUOS Y EL DESARROLLO SOSTENIBLE</t>
  </si>
  <si>
    <t xml:space="preserve"> MI CASA AVANZA</t>
  </si>
  <si>
    <t xml:space="preserve"> MI CASA CON PROPIEDAD</t>
  </si>
  <si>
    <t xml:space="preserve"> FORTALECIMIENTO DEL CAPITAL HUMANO A TRAVÉS DE LAS CIENCIAS APLICADAS AL DEPORTE Y LA RECREACIÓN.</t>
  </si>
  <si>
    <t xml:space="preserve"> PROMOCIÓN DE HÁBITOS Y ESTILOS DE VIDA SALUDABLE, RECREACIÓN, ACTIVIDAD FÍSICA Y EL APROVECHAMIENTO DEL TIEMPO LIBRE EN EL DISTRITO DE CARTAGENA</t>
  </si>
  <si>
    <t xml:space="preserve"> AVANZANDO HACIA UNA INFANCIA Y ADOLESCENCIA PROTEGIDA Y SIN VIOLENCIAS</t>
  </si>
  <si>
    <t xml:space="preserve"> JUGANDO Y PARTICIPANDO LOS DERECHOS DE LA NIÑEZ VAMOS IMPULSANDO</t>
  </si>
  <si>
    <t xml:space="preserve"> UNIDOS POR UNA CARTAGENA COMPETITIVA E INNOVADORA</t>
  </si>
  <si>
    <t xml:space="preserve"> CARTAGENA GLOBAL</t>
  </si>
  <si>
    <t xml:space="preserve"> UNIDOS POR LA DIVERSIFICACIÓN ECONÓMICA Y EL DESARROLLO EMPRESARIAL</t>
  </si>
  <si>
    <t xml:space="preserve"> COOPERACIÓN PARA AVANZAR</t>
  </si>
  <si>
    <t xml:space="preserve"> ECONOMÍA CIRCULAR Y NEGOCIOS VERDES</t>
  </si>
  <si>
    <t xml:space="preserve"> TRANSFORMACIÓN PRODUCTIVA</t>
  </si>
  <si>
    <t xml:space="preserve"> EMPLEO Y CAPITAL HUMANO</t>
  </si>
  <si>
    <t xml:space="preserve"> MI PRIMERA CHAMBA</t>
  </si>
  <si>
    <t xml:space="preserve"> DERECHO AL TRABAJO EN CONDICIONES DE IGUALDAD Y DIGNIDAD PARA LA MUJER</t>
  </si>
  <si>
    <t xml:space="preserve"> AVANZAMOS CON CAPACIDADES EMPRENDEDORAS</t>
  </si>
  <si>
    <t xml:space="preserve"> AVANZAMOS PARA FORTALECER LA ECONOMÍA POPULAR Y GENERAR MEJORES INGRESOS PARA NUESTRAS FAMILIAS</t>
  </si>
  <si>
    <t xml:space="preserve"> CARTAGENA FOMENTA LA INCLUSIÓN PRODUCTIVA JUVENIL</t>
  </si>
  <si>
    <t xml:space="preserve"> FOMENTO EMPRESARIAL Y DESARROLLO SOSTENIBLE</t>
  </si>
  <si>
    <t xml:space="preserve"> SEGURIDAD, VIGILANCIA Y CONTROL PARA UN TURISMO RESPONSABLE</t>
  </si>
  <si>
    <t xml:space="preserve"> TURISMO SOSTENIBLE E INCLUYENTE CON LAS COMUNIDADES</t>
  </si>
  <si>
    <t xml:space="preserve"> PROMOCIÓN TURÍSTICA</t>
  </si>
  <si>
    <t xml:space="preserve"> INFRAESTRUCTURA TURÍSTICA PARA EL DESARROLLO</t>
  </si>
  <si>
    <t xml:space="preserve"> GOBERNANZA Y FORTALECIMIENTO INSTITUCIONAL PARA UNA CIUDAD DE DERECHOS, RESPONSABLE Y COMPETITIVA</t>
  </si>
  <si>
    <t xml:space="preserve"> INCLUSIÓN PRODUCTIVA Y SOCIAL DE LA AGRICULTURA CAMPESINA, FAMILIAR Y COMUNITARIA</t>
  </si>
  <si>
    <t xml:space="preserve"> EXTENSIÓN AGROPECUARIA, INFRAESTRUCTURA Y ACTIVOS PRODUCTIVOS PARA LA COMPETITIVIDAD AGROPECUARIA Y LA SOBERANÍA ALIMENTARIA</t>
  </si>
  <si>
    <t xml:space="preserve"> CARTAGENA CIUDAD DE PESCADORES</t>
  </si>
  <si>
    <t xml:space="preserve"> DESARROLLO DEL NUEVO SISTEMA DE MERCADOS DEL DISTRITO</t>
  </si>
  <si>
    <t xml:space="preserve"> GESTIÓN INTEGRAL DEL SISTEMA DE MERCADOS</t>
  </si>
  <si>
    <t xml:space="preserve"> INSTRUMENTOS DE PLANIFICACIÓN TERRITORIAL</t>
  </si>
  <si>
    <t xml:space="preserve"> RECUPERACIÓN Y TRANSFORMACIÓN DEL ESPACIO PÚBLICO</t>
  </si>
  <si>
    <t xml:space="preserve"> RECUPERANDO LA GOBERNANZA URBANÍSTICA, CARTAGENA VUELVE A BRILLAR</t>
  </si>
  <si>
    <t xml:space="preserve"> CARTAGENA AVANZA EN EL FORTALECIMIENTO DEL PLAN DE NORMALIZACIÓN URBANÍSTICA</t>
  </si>
  <si>
    <t xml:space="preserve"> BIENESTAR ANIMAL Y PROTECCIÓN DE LA VIDA SILVESTRE</t>
  </si>
  <si>
    <t xml:space="preserve"> GESTIÓN Y CONSERVACIÓN DE LA VEGETACIÓN Y LA BIODIVERSIDAD</t>
  </si>
  <si>
    <t xml:space="preserve"> ALERTAS TEMPRANAS</t>
  </si>
  <si>
    <t xml:space="preserve"> INVESTIGACIÓN, EDUCACIÓN Y CULTURA AMBIENTAL</t>
  </si>
  <si>
    <t xml:space="preserve"> GENERACIÓN DE ESPACIOS PÚBLICOS REVITALIZADOS Y ADAPTADOS PARA TODOS</t>
  </si>
  <si>
    <t xml:space="preserve"> ORDENAMIENTO Y SOSTENIBILIDAD AMBIENTAL</t>
  </si>
  <si>
    <t xml:space="preserve"> CONOCIMIENTO DEL RIESGO</t>
  </si>
  <si>
    <t xml:space="preserve"> REDUCCIÓN DEL RIESGO</t>
  </si>
  <si>
    <t xml:space="preserve"> MANEJO DE DESASTRES</t>
  </si>
  <si>
    <t xml:space="preserve"> PROTECCIÓN COSTERA</t>
  </si>
  <si>
    <t xml:space="preserve"> ADAPTACIÓN DEL ESPACIO PÚBLICO AL CAMBIO CLIMÁTICO</t>
  </si>
  <si>
    <t xml:space="preserve"> SOSTENIBILIDAD DEL ESPACIO PÚBLICO DEL CENTRO HISTÓRICO DE CARTAGENA DE INDIAS.</t>
  </si>
  <si>
    <t xml:space="preserve"> CONEXIÓN ENTRE EL CASTILLO DE SAN FELIPE DE BARAJAS Y SU ÁREA DE INFLUENCIA PARA LA RECUPERACIÓN DEL PATRIMONIO ARQUEOLÓGICO, MATERIAL E INMATERIAL</t>
  </si>
  <si>
    <t xml:space="preserve"> MURALLA PARA TODOS</t>
  </si>
  <si>
    <t xml:space="preserve"> INTERVENCIONES URBANAS INTEGRALES</t>
  </si>
  <si>
    <t xml:space="preserve"> REHABILITACIÓN, MANTENIMIENTO, ADECUACIÓN, Y OBRA NUEVA PARA EL SISTEMA VIAL Y ESTRUCTURAS DE PASO</t>
  </si>
  <si>
    <t xml:space="preserve"> SOLUCIONES VIALES PARA LA COMPETITIVIDAD A TRAVÉS DE CONTRIBUCIÓN POR VALORIZACIÓN</t>
  </si>
  <si>
    <t xml:space="preserve"> MOVILIDAD ORDENADA, SOSTENIBLE Y AMIGABLE CON EL MEDIO AMBIENTE</t>
  </si>
  <si>
    <t xml:space="preserve"> TRANSPORTE MASIVO CONFIABLE, EFICIENTE Y SOSTENIBLE</t>
  </si>
  <si>
    <t xml:space="preserve"> GESTIÓN Y CONSERVACIÓN DEL AGUA</t>
  </si>
  <si>
    <t xml:space="preserve"> RECUPERACIÓN DEL SISTEMA DE CANALES Y DRENAJES PLUVIALES</t>
  </si>
  <si>
    <t xml:space="preserve"> RECUPERACIÓN Y ESTABILIZACIÓN DEL SISTEMA HÍDRICO Y LITORAL DE CARTAGENA</t>
  </si>
  <si>
    <t xml:space="preserve"> PLAN DE RESTAURACIÓN INTEGRAL DE LA CIÉNAGA DE LA VIRGEN</t>
  </si>
  <si>
    <t xml:space="preserve"> GESTIÓN DEL TERRITORIO MARINO-COSTERO</t>
  </si>
  <si>
    <t xml:space="preserve"> PROMOCIÓN, CREACIÓN Y OPERACIÓN DE ESQUEMAS ASOCIATIVOS TERRITORIALES DE LA CIUDAD REGIÓN</t>
  </si>
  <si>
    <t xml:space="preserve"> PROCESOS ADMINISTRATIVOS ÓPTIMOS Y TRANSPARENTES</t>
  </si>
  <si>
    <t xml:space="preserve"> TRANSPARENCIA Y LUCHA CONTRA LA CORRUPCIÓN</t>
  </si>
  <si>
    <t xml:space="preserve"> CARTAGENA DIGITAL, INCLUSIVA Y CONECTADA</t>
  </si>
  <si>
    <t xml:space="preserve"> MODELO INTEGRADO DE PLANEACIÓN Y GESTIÓN - MIPG</t>
  </si>
  <si>
    <t xml:space="preserve"> MEJORA NORMATIVA EN EL DISTRITO DE CARTAGENA DE INDIAS</t>
  </si>
  <si>
    <t xml:space="preserve"> PATRIMONIO PÚBLICO AL SERVICIO DE CARTAGENA</t>
  </si>
  <si>
    <t xml:space="preserve"> REDISEÑO INSTITUCIONAL E INNOVACIÓN ADMINISTRATIVA DEL DISTRITO</t>
  </si>
  <si>
    <t xml:space="preserve"> SEGURIDAD DIGITAL</t>
  </si>
  <si>
    <t xml:space="preserve"> TRANSFORMACIÓN DIGITAL DEL SISTEMA DE ARCHIVO PARA LA GESTIÓN PÚBLICA EFICIENTE</t>
  </si>
  <si>
    <t xml:space="preserve"> FORTALECIMIENTO DEL SISTEMA DE CONTROL INTERNO, SCI</t>
  </si>
  <si>
    <t xml:space="preserve"> FORTALECIMIENTO DE LA GESTIÓN ADMINISTRATIVA Y OPERATIVA DEL DEPARTAMENTO ADMINISTRATIVO DE TRÁNSITO Y TRANSPORTE - DATT</t>
  </si>
  <si>
    <t xml:space="preserve"> GESTIÓN FISCAL Y FINANCIERA OPORTUNA</t>
  </si>
  <si>
    <t xml:space="preserve"> HACIENDA MODERNA Y DIGITAL</t>
  </si>
  <si>
    <t xml:space="preserve"> SERVIDORES CON ESPLENDOR CONSTRUYENDO CIUDAD</t>
  </si>
  <si>
    <t xml:space="preserve"> CIUDADANÍA DIVERSA, PARTICIPATIVA Y PROPULSORA DEL DESARROLLO</t>
  </si>
  <si>
    <t xml:space="preserve"> CARTAGENEIDAD CON ORGULLO Y ESPLENDOR</t>
  </si>
  <si>
    <t xml:space="preserve"> CARTAGENA BRILLA CON CULTURA CIUDADANA</t>
  </si>
  <si>
    <t xml:space="preserve"> ESCUELA DE GOBERNANZA E INNOVACIÓN PÚBLICA</t>
  </si>
  <si>
    <t xml:space="preserve"> ORGANISMOS COMUNALES TÉCNICOS Y ADMINISTRATIVAMENTE EFICIENTES</t>
  </si>
  <si>
    <t xml:space="preserve"> ORGANIZACIONES SOCIALES SÓLIDAS E INCIDENTES EN EL DESARROLLO LOCAL</t>
  </si>
  <si>
    <t xml:space="preserve"> PRESUPUESTO PARTICIPATIVO</t>
  </si>
  <si>
    <t xml:space="preserve"> PARTICIPANDO DECIDIMOS Y AVANZAMOS</t>
  </si>
  <si>
    <t xml:space="preserve"> PROMOCIÓN Y GARANTÍA PARA LA PARTICIPACIÓN SOCIOPOLÍTICA JUVENIL</t>
  </si>
  <si>
    <t xml:space="preserve"> DERECHO A LA PARTICIPACIÓN Y REPRESENTACIÓN CON EQUIDAD DE GÉNERO</t>
  </si>
  <si>
    <t xml:space="preserve"> CENTRO DE INVESTIGACIÓN DE INFORMACIÓN DE LA CIUDAD PARA LA TOMA DE DECISIONES (CIDI)</t>
  </si>
  <si>
    <t xml:space="preserve"> SISTEMAS DE INFORMACIÓN PARA EL DESARROLLO DE CARTAGENA</t>
  </si>
  <si>
    <t xml:space="preserve"> INVERSIÓN PÚBLICA EFICIENTE Y TRANSPARENTE</t>
  </si>
  <si>
    <t xml:space="preserve"> POLÍTICAS PÚBLICAS INTERSECTORIALES Y CON VISIÓN INTEGRAL</t>
  </si>
  <si>
    <t xml:space="preserve"> DESCENTRALIZACIÓN ADMINISTRATIVA</t>
  </si>
  <si>
    <t xml:space="preserve"> GESTIÓN CATASTRAL CON ENFOQUE MULTIPROPÓSITO</t>
  </si>
  <si>
    <t xml:space="preserve"> GOBERNANZA Y PARTICIPACIÓN DE LAS COMUNIDADES NEGRAS AFROCOLOMBIANAS, RAIZALES Y PALENQUERAS PARA EL FORTALECIMIENTO DE LA DEMOCRACIA EN EL DISTRITO</t>
  </si>
  <si>
    <t xml:space="preserve"> DESARROLLO HUMANO Y BIENESTAR SOCIAL DE LAS COMUNIDADES NEGRAS, AFROCOLOMBIANAS, RAIZALES Y PALENQUERAS</t>
  </si>
  <si>
    <t xml:space="preserve"> DESARROLLO LOCAL SOSTENIBLE Y PROSPERIDAD COLECTIVA EN LOS TERRITORIOS DE LAS COMUNIDADES NEGRAS DEL DISTRITO DE CARTAGENA</t>
  </si>
  <si>
    <t xml:space="preserve"> TERRITORIO PROPIO</t>
  </si>
  <si>
    <t xml:space="preserve"> ATENCIÓN INTEGRAL PARA LAS COMUNIDADES INDÍGENAS</t>
  </si>
  <si>
    <t xml:space="preserve"> MUJER INDÍGENA, FAMILIA Y GENERACIÓN DE INGRESOS</t>
  </si>
  <si>
    <t xml:space="preserve"> Competitividad e innovación
</t>
  </si>
  <si>
    <t xml:space="preserve"> DESARROLLO ECONÓMICO EQUITATIVO
</t>
  </si>
  <si>
    <t xml:space="preserve"> Diversificación Económica
</t>
  </si>
  <si>
    <t xml:space="preserve"> Trabajo Decente y Cierre de Brechas Laborales
</t>
  </si>
  <si>
    <t xml:space="preserve"> Economía Popular y Emprendimiento
</t>
  </si>
  <si>
    <t>AVANZAMOS PARA FORTALECER LA ECONOMÍA POPULAR Y GENERAR MEJORES INGRESOS PARA NUESTRAS FAMILIAS</t>
  </si>
  <si>
    <t>FOMENTO EMPRESARIAL Y DESARROLLO SOSTENIBLE</t>
  </si>
  <si>
    <t xml:space="preserve">Turismo Sostenible y Responsable
</t>
  </si>
  <si>
    <t>SEGURIDAD, VIGILANCIA Y CONTROL PARA UN TURISMO RESPONSABLE</t>
  </si>
  <si>
    <t>TURISMO SOSTENIBLE E INCLUYENTE CON LAS COMUNIDADES</t>
  </si>
  <si>
    <t>PROMOCIÓN TURÍSTICA</t>
  </si>
  <si>
    <t xml:space="preserve"> Desarrollo Agropecuario 
</t>
  </si>
  <si>
    <t xml:space="preserve">Sistema Integral de Abastecimiento del Distrito
</t>
  </si>
  <si>
    <t xml:space="preserve">CARTAGENA CIUDAD CONECTADA Y SOSTENIBLE
</t>
  </si>
  <si>
    <t xml:space="preserve"> Ordenamiento del Territorio y espacio público.
</t>
  </si>
  <si>
    <t>INSTRUMENTOS DE PLANIFICACIÓN TERRITORIAL</t>
  </si>
  <si>
    <t xml:space="preserve"> Control Urbanístico y Territorial
</t>
  </si>
  <si>
    <t xml:space="preserve"> Cartagena Amigable con el Ambiente 
</t>
  </si>
  <si>
    <t>GENERACIÓN DE ESPACIOS PÚBLICOS REVITALIZADOS Y ADAPTADOS PARA TODOS</t>
  </si>
  <si>
    <t xml:space="preserve"> Cartagena Adaptada al Clima y Resiliente a los Desastres
</t>
  </si>
  <si>
    <t>ORDENAMIENTO Y SOSTENIBILIDAD AMBIENTAL</t>
  </si>
  <si>
    <t>REDUCCIÓN DEL RIESGO</t>
  </si>
  <si>
    <t>PROTECCIÓN COSTERA</t>
  </si>
  <si>
    <t xml:space="preserve">Ciudad Histórica y Patrimonial
</t>
  </si>
  <si>
    <t>SOSTENIBILIDAD DEL ESPACIO PÚBLICO DEL CENTRO HISTÓRICO DE CARTAGENA DE INDIAS.</t>
  </si>
  <si>
    <t xml:space="preserve">Infraestructura, Movilidad Sostenible y Accesibilidad para Todos
</t>
  </si>
  <si>
    <t>SOLUCIONES VIALES PARA LA COMPETITIVIDAD A TRAVÉS DE CONTRIBUCIÓN POR VALORIZACIÓN</t>
  </si>
  <si>
    <t xml:space="preserve">Cartagena Ordenada Alrededor del Agua
</t>
  </si>
  <si>
    <t>GESTIÓN Y CONSERVACIÓN DEL AGUA</t>
  </si>
  <si>
    <t>RECUPERACIÓN DEL SISTEMA DE CANALES Y DRENAJES PLUVIALES</t>
  </si>
  <si>
    <t xml:space="preserve"> Integración Regional y Metropolitana
</t>
  </si>
  <si>
    <t xml:space="preserve"> INNOVACIÓN PÚBLICA Y PARTICIPACIÓN CIUDADANA
</t>
  </si>
  <si>
    <t>PROCESOS ADMINISTRATIVOS ÓPTIMOS Y TRANSPARENTES</t>
  </si>
  <si>
    <t>TRANSPARENCIA Y LUCHA CONTRA LA CORRUPCIÓN</t>
  </si>
  <si>
    <t>CARTAGENA DIGITAL, INCLUSIVA Y CONECTADA</t>
  </si>
  <si>
    <t xml:space="preserve">Fortalecimiento Institucional e Innovación Administrativa
</t>
  </si>
  <si>
    <t>MEJORA NORMATIVA EN EL DISTRITO DE CARTAGENA DE INDIAS</t>
  </si>
  <si>
    <t>PATRIMONIO PÚBLICO AL SERVICIO DE CARTAGENA</t>
  </si>
  <si>
    <t xml:space="preserve"> Finanzas Públicas
</t>
  </si>
  <si>
    <t xml:space="preserve">Cultura Ciudadana
</t>
  </si>
  <si>
    <t>CIUDADANÍA DIVERSA, PARTICIPATIVA Y PROPULSORA DEL DESARROLLO</t>
  </si>
  <si>
    <t>CARTAGENEIDAD CON ORGULLO Y ESPLENDOR</t>
  </si>
  <si>
    <t>CARTAGENA BRILLA CON CULTURA CIUDADANA</t>
  </si>
  <si>
    <t>ESCUELA DE GOBERNANZA E INNOVACIÓN PÚBLICA</t>
  </si>
  <si>
    <t xml:space="preserve">Participación Ciudadana y Acción Comunal
</t>
  </si>
  <si>
    <t>PRESUPUESTO PARTICIPATIVO</t>
  </si>
  <si>
    <t>PARTICIPANDO DECIDIMOS Y AVANZAMOS</t>
  </si>
  <si>
    <t xml:space="preserve">Sistema de Planeación Distrital
</t>
  </si>
  <si>
    <t>DESCENTRALIZACIÓN ADMINISTRATIVA</t>
  </si>
  <si>
    <t xml:space="preserve"> Fortalecimiento al Desarrollo Afro-Territorial de la Población Negra, Afrocolombiana, Raizal y Palenquera
</t>
  </si>
  <si>
    <t xml:space="preserve">Territorio Sitio de Paz y Pensamiento Colectivo
</t>
  </si>
  <si>
    <t>TERRITORIO PROPIO</t>
  </si>
  <si>
    <t>ATENCIÓN INTEGRAL PARA LAS COMUNIDADES INDÍGENAS</t>
  </si>
  <si>
    <t>MUJER INDÍGENA, FAMILIA Y GENERACIÓN DE INGRESOS</t>
  </si>
  <si>
    <t xml:space="preserve">CAPÍTULO DE LOS PUEBLOS Y COMUNIDADES ÉTNICAS
</t>
  </si>
  <si>
    <t>Para el reporte de diciembre, se desprogramó esta meta producto. Entonces para el ultico corte, se desprograma a cero</t>
  </si>
  <si>
    <t>AVANCE  NUMERICO META PRODUCTO  CORTE DICIEMBRE 2024</t>
  </si>
  <si>
    <t>LOGRO  (%) META PRODUCTO RESPECTO AL PROGRAMADO CUATRIENIO PARCIAL DICIEMBRE 2024</t>
  </si>
  <si>
    <t>LOGRO  (%) META PRODUCTO RESPECTO AL PROGRAMADO CUATRIENIO PARCIAL DICIEMBRE 2024 (PONDERADOR)</t>
  </si>
  <si>
    <t>REVISADO DIC 2024</t>
  </si>
  <si>
    <t>REPORTAN 4 A CORTE DICIEMBRE, CUANDO A 15 DE SEPTIEMBRE ERAN 8.</t>
  </si>
  <si>
    <t xml:space="preserve">REVISADO DIC 2024. </t>
  </si>
  <si>
    <t>REVISADO DIC 2024. La Gerencia de Espacio Publico la desprogramó para el 2024</t>
  </si>
  <si>
    <t>No programado por ETCAR ni por la Gerencia de espacio publico y movilidad GEPM para la vigencia 2024</t>
  </si>
  <si>
    <t xml:space="preserve">ESCUELA TALLER CARTAGENA DE INDIAS -  - GERENCIA DE ESPACIO PÚBLICO Y MOVILIDAD -  IDER
SECRETARÍA DE INFRAESTRUCTURA
</t>
  </si>
  <si>
    <t>REVISADO DIC 2024. La Gerencia de Espacio Publico la desprogramó para el 2024 y el DATT tampoco programó para la misma vigencia</t>
  </si>
  <si>
    <t>REVISADO DIC 2024. La Gerencia de Espacio Publico la desprogramó para el 2024. El DATT tampoco programó para la vigencia</t>
  </si>
  <si>
    <t>REVISADO DIC 2024. No programado  por el DATT para la vigencia 2024</t>
  </si>
  <si>
    <t>REVISADO DIC 2024. DESPROGRAMADO PARA LA VIGENCIA EN EL ULTIMO REPORTE</t>
  </si>
  <si>
    <t>REVISADO DIC 2024. Reportada por la IDACCC por 0,45</t>
  </si>
  <si>
    <t>REVISADO DIC 2024. Reportada por la IDACCC por 0,46</t>
  </si>
  <si>
    <t>Programas ajsutado en el cuatrienio, por tener solo dos metas producto programadas</t>
  </si>
  <si>
    <t>SE ESPERA PROGRAMAR PARA LAS VIGENCIAS 2025, 2026 Y 2027 POR PARTE DEL DADIS</t>
  </si>
  <si>
    <t>REVISAR CON ENLACE, YA QUE EL REPORTE  DEBE CONFIRMAR SUPERACIÓN DE LA META</t>
  </si>
  <si>
    <t>REVISAR CON ENLACE</t>
  </si>
  <si>
    <t>Se ajustan los esperado y los avances para eliminar el sesgo de los los no programados (Se colocaron 0% en los esperados como los no programados para la vigencia)</t>
  </si>
  <si>
    <t>REVISADO DIC 2024.  VERIFICAR PLAN DE ACCIÓN  2025</t>
  </si>
  <si>
    <t>Esta meta es compartida entre Gestión de Riesgo e Infraestructura y esta ultima reporta 6 de 5 que programó. PARA DICIEMBRE 2024 GESTION DE RIESGO PROGRAMÓ 2 Y EJECUTÓ 2. A DICIEMBRE SEC DE INFRAESTRUCTURA REPORTA ACUMUALDO DE 6</t>
  </si>
  <si>
    <t>REVISADO DIC 2024. REPORTADO POR SEC DE HACIENDA</t>
  </si>
  <si>
    <t xml:space="preserve">SECRETARÍA DEL INTERIOR Y CONVIVENCIA CIUDADANA
DISTRISEGURIDAD
ESTABLECIMIENTO PÚBLICO AMBIENTAL (FRANCISCO CASTILLO)
OFICINA ASESORA PARA LA GESTIÓN DEL RIESGO DE DESASTRES
GERENCIA DE ESPACIO PÚBLICO Y MOVILIDAD
</t>
  </si>
  <si>
    <t>Implementar cinco (5) estrategias de educación ambiental (PRAES, IDAU, PROCEDA, SOCIOEDUCACIÓN, ICEA)</t>
  </si>
  <si>
    <t>SECRETARÍA GENERAL  - ACUACAR -  SECRETARÍA DE PLANEACIÓN</t>
  </si>
  <si>
    <t>PROGRAMADO NUMERICO META PRODUCTO 2025</t>
  </si>
  <si>
    <t>ESPERADO PORCENTUAL META PRODUCTO CUATRIENIO EN LA VIGENCIA 2025</t>
  </si>
  <si>
    <t>ESPERADO PORCENTUAL META PRODUCTO CUATRIENIO EN LA VIGENCIA 2025 (PONDERADOR)</t>
  </si>
  <si>
    <t>AVANCE  NUMERICO META PRODUCTO  CORTE MARZO 2025</t>
  </si>
  <si>
    <t>AVANCE  NUMERICO META PRODUCTO  CORTE SEPTIEMBRE 2025</t>
  </si>
  <si>
    <t>AVANCE  NUMERICO META PRODUCTO  CORTE JUNIO 2025</t>
  </si>
  <si>
    <t>ACUMULADO PARCIAL 2025</t>
  </si>
  <si>
    <t>OBSERVACIONES DICIEMBRE 2025</t>
  </si>
  <si>
    <t>LOGRO  (%) META PRODUCTO RESPECTO AL PROGRAMADO CUATRIENIO  ACUMULADO DICIEMBRE  2024</t>
  </si>
  <si>
    <t>OBSERVACIONES MARZO 2025</t>
  </si>
  <si>
    <t>REVISAR CUANDO SE PROGRAME Y REPORTE PARA EL 2025</t>
  </si>
  <si>
    <t>REVISAR ESTA META CUMPLIDA PARA EL CUATRENIO</t>
  </si>
  <si>
    <t>REVISAR CUANDO SE CALCULE EL AVANCE DE ESTE PROGRAMA</t>
  </si>
  <si>
    <t>REVISAR CUANDO SE CALCULE EL AVANCE DE ESTE PROGRAMA SEGÚN LO QUE SE PROGRAME EN LOS PROGRAMAS NO PROGRAMADOS EN EL 2024</t>
  </si>
  <si>
    <t>REVISAR CUANDO SE REPORTE EL ULTIMO COMPONENTE IMPULSOR DE AVANCE</t>
  </si>
  <si>
    <t>REVISAR AL MOMENTO DE REPORTE SEGÚN LOS PROGRAMAS QUE NO SE PROGRAMARON EN EL 2024</t>
  </si>
  <si>
    <t>REVISAR AL MOMENTO DE REPORTE SEGÚN LOS PROGRAMAS QUE NO SE PROGRAMARON EN EL 2024, QUE EN EL 2024 ERAN 4 DE 8 DEL COMPONENTE</t>
  </si>
  <si>
    <t>REVISADO MARZO 2025. EL RESULTADO ACUMULADO SE AJUSTA CADA TRIMESTRE</t>
  </si>
  <si>
    <t xml:space="preserve">REVISADO MARZO 2025. </t>
  </si>
  <si>
    <t>REVISADO MARZO 2025</t>
  </si>
  <si>
    <t>REVISADO MARZO 2026</t>
  </si>
  <si>
    <t>REVISADO MARZO 2027</t>
  </si>
  <si>
    <t>REVISADO GEPM 2025 - REVISAR CON LOS REPORTES DE LAS DEMAS DEPENDENCIAS</t>
  </si>
  <si>
    <t>REVISADO MARZO 2028</t>
  </si>
  <si>
    <t>REVISAR PORQUE ESTA META YA SE CUMPLIÓ EN EL 2024</t>
  </si>
  <si>
    <t xml:space="preserve">REVISAR CON ENLACE EL REPORTE, EL INDICADOR Y EL PROGRAMADO PARA LA VIGENCIA </t>
  </si>
  <si>
    <t>REVISAR CON ENLACES PARA QUE ARTICULEN EL PROGRAMADO Y EL REPORTE, YA QUE DATT PROGRAMÓ 10 Y GEPM 4 PARA LA VIGENCIA 2024. PARA MARZO 2025 SOLO REPORTÓ GEPM 0,1, DATT NO REPORTA</t>
  </si>
  <si>
    <t>REVISAR CON ENLACES PARA QUE ARTICULEN EL PROGRAMADO Y EL REPORTE, YA QUE DATT PROGRAMÓ 5 Y GEPM 4 PARA LA VIGENCIA 2024. PARA MARZO 2025 SOLO REPORTÓ GEPM 0,1, DATT NO REPORTA</t>
  </si>
  <si>
    <t>REVISADO MARZO  2025</t>
  </si>
  <si>
    <t xml:space="preserve">REVISAR CON ENLACE, YA QUE NO SE INCLUYÓ EN EL PLAN DE ACCIÓN </t>
  </si>
  <si>
    <t>REVISAR CON ENLACE ESTA META NO ESTÁ INSCRITA EN EL PLAN DE ACCIÓN  2025</t>
  </si>
  <si>
    <t>ESTA  META LA REPORTAN DOS DEPENDENCIAS, HACIENDA PROGRAMÓ 1 Y SEC DE PLANEACIÓN 0,25; ESTA ULTIMA REPORTA A MARZO 0,05 Y HACIENDA, NO REPORTA</t>
  </si>
  <si>
    <t>ESTA  META LA REPORTAN DOS DEPENDENCIAS, HACIENDA NO PROGRMÓ Y SEC DE PLANEACIÓN 0,25; ESTA ULTIMA REPORTA A MARZO 0,05</t>
  </si>
  <si>
    <t>REVISADO DIC 2025</t>
  </si>
  <si>
    <t>META CUMPLIDA MARZO 2025</t>
  </si>
  <si>
    <t>REVISAR CALCULO DE AVANCE CON ENLACE</t>
  </si>
  <si>
    <t>REVISAR CON ENLACE YA QUE DA POR CUMPLIDA ESTA META CUANDO AUN FALTA PARA EL 100%</t>
  </si>
  <si>
    <t>REVISAR CON ENLACE LA META NUMERICA DEL CUATRIENIO</t>
  </si>
  <si>
    <t>REVISAR CON ENLACE, YA QUE ESTA META SE PROGRAMÓ EN 2024 Y EN EL REPORTE APARECE COMO ACUMUALDO CERO</t>
  </si>
  <si>
    <t xml:space="preserve">REVISAR ACUMULADO CUATRIENIO CON ENLACE </t>
  </si>
  <si>
    <t>REVISAR CON ENLACE YA QUE NO SE PROGRAMÓ PARA 2025</t>
  </si>
  <si>
    <t>REVISAR CON ENLACE YA QUE EL PROGRAMADO CUATRIENIO DEBE SER 20 Y EN EL PLAN DE ACCIÓN  EL PRROGRAMADO CUATRIENIO ES SOLO 5</t>
  </si>
  <si>
    <t>SE COLOCA ACUMULADO CUATRIENIO MANUAL HASTA  QUE SE REPORTE AVANCE DE LA PRIMERA Y SEGUNDA META PRODUCTO.</t>
  </si>
  <si>
    <t>REVISAR CON ENLACE YA QUE EL PROGRAMADO PARA LA VIGENCIA  2025 DEBE SER EN NUEMRIO Y LO TIENE EN PORCENTAJE</t>
  </si>
  <si>
    <t>SE AJUSTA CADA TRIMESTRE SEGÚN AVANCE REPORTADO</t>
  </si>
  <si>
    <t>SE INCLUYE EL AVANCE CUANDO EMPEICEN A REPORTAR EN LOS SIGUIENTES TRIMESTRES DEL 2025, YA QUE PARA MARZO 2025 NO HAY REPORTE</t>
  </si>
  <si>
    <t>SE INCLUYE EL AVANCE CUANDO EMPIECEN A REPORTAR EN LOS SIGUIENTES TRIMESTRES DEL 2025, YA QUE PARA MARZO 2025 NO HAY REPORTE</t>
  </si>
  <si>
    <t>REVISADO MARZO 2025. SE INCLUYE AVANCE CERO  EN MARZO 2025, PARA COMPENSAR REPORTE ACUMULADO DEL PROGRAMA A DICIEMBRE 2024</t>
  </si>
  <si>
    <t>REVISAR EL PROGRAMADO NUMERICO PARA EL 2025, YA QUE SEGÚN EL PLAN DE ACCIÓN SE´RIA 0,5. ADEMAS DE INCLUIR EL REPORTE DE ACUMULADO CUANDO REPORTEN EN LOS SIGUIENTES TRIMESTRESDE 2025</t>
  </si>
  <si>
    <t>SE INCLUYE EL AVANCE EN CERO PARA AJUSTAR EL ACUMULADO DEL PROGRAMA A CORTE MARZO 2025 HASTA QUE SE REPORTEN LOS SIGUIENTES TRIMESTRES LOS AVANCES</t>
  </si>
  <si>
    <t>REVISAR CON EL ENLACE YA QUE NO SE REPORTA NI PROGRAMADO NI AVANCE A MARZO 2025</t>
  </si>
  <si>
    <t>REVISAR CON EL ENLACE YA QUE NO SE REPORTA NI PROGRAMADO NI AVANCE A MARZO 2026</t>
  </si>
  <si>
    <t>REVISAR CON ENLACE YA QUE PROGRAMA  18 PARA LA VIGENCIA 2025,CUANDO ESTA ES LA MISMA META CUATRIENIO Y YA TIENE UN ACUMULADO DE 2  A DICIEMBRE DE 2024</t>
  </si>
  <si>
    <t>REVISAR CON ENLACE, YA QUE NO SE AJUSTA LA META ACUMULADA CON LA QUE ESTÁ REPORTADA A DICIEMBRE 2024 Y PORQUE TAMPOCO COINCIDE CON EL PROGRAMADO</t>
  </si>
  <si>
    <t>REVISAR EL PROGRAMDO Y AVANCE REPORTADO A MARZO 2025</t>
  </si>
  <si>
    <t>REVISAR EL PROGRAMADO Y AVANCE REPORTADO A MARZO 2025</t>
  </si>
  <si>
    <t>REVISAR EL PROGRAMADO Y AVANCE REPORTADO A MARZO 2025. PORQUE APARACE COMO CUMPLIDA A DICIEMBRE 2024</t>
  </si>
  <si>
    <t>SE INCLUYE EL AVANCE EN CERO PARA AJUSTAR EL ACUMULADO DEL PROGRAMA A CORTE MARZO 2025 HASTA QUE SE REPORTEN LOS SIGUIENTES TRIMESTRES LOS AVANCES. ADEMAS, SE INCLUYE EL PROGRAMADO POR LA SECRETARÍA DE PARTICIPACION PARA LA VIGENCIA 2025 EN MARZO EN 15</t>
  </si>
  <si>
    <t>SECRETARÍA DE PARTICIPACIÓN - SECRETARÍA DEL INTERIOR Y CONVIVENCIA CIUDADANA</t>
  </si>
  <si>
    <t>REVISAR CON ENLACE YA QUE NO PROGRAMÓ PARA LA VIGENCIA Y REPORTA EN MARZO 25 EN EL 2025</t>
  </si>
  <si>
    <t xml:space="preserve"> GEPM - SECRETARÍA DE HACIENDA - SECRETARÍA DE PARTICIPACIÓN Y DESARROLLO SOCIAL</t>
  </si>
  <si>
    <t>AJUSTADO CADA TRIMESTRE. SE ABREN CUPOS POR 80, POR LO TANTO PARA EFECTOS DE SEGUIMIENTO SE DISTRIBUYEN 20 POR CADA TRIMESTRE</t>
  </si>
  <si>
    <t>PROGRAMADO VIGENCIA  2025</t>
  </si>
  <si>
    <t>REVISADO MARZO 2025. LA ULTIMA META PRODUCTO SE INCLUYE AL MOMENTO DEL REPORTE EN LA VIGENICIA 2025</t>
  </si>
  <si>
    <t>REVISADO MARZO 2025. SE INCLUYE EL ACUMULADO AL MOMENTO DE REPORTE DE LA META EN LA VIGENCIA 2025</t>
  </si>
  <si>
    <t>REVISADO MARZO 2025. SE EMPIEZA  A CONTABILIZAR AL MOMENTO DE REPORTAR EN EL TRIMESTRE 2025</t>
  </si>
  <si>
    <t>REVISAR SI SECRETARÍA DEL INTERIOR PROGRAMÓ PARA EL 2025, YA QUE EL INSTITUTO COMUNAL NO PROGRAMÓ PARA ESTA VIGENCIA</t>
  </si>
  <si>
    <t>REVISAR CON ENLACE, YA QUE ESTA META LA REPORTARON COMO LOGARADA LA VIGENCIA ANTERIOR</t>
  </si>
  <si>
    <t>REVISAR CON ENLACE, YA QUE ESTA META LA REPORTARON COMO LOGARADA LA VIGENCIA ANTERIOR POR CORPOTURISMO</t>
  </si>
  <si>
    <t>REVISAR EL CALCULO DEL AVANCE, YA QUE TIENE 25% ACUMULADO CUATRIENIO Y DEBE SER 31,5% A CORTE MARZO 2025</t>
  </si>
  <si>
    <t>META CUMPLIDA DICIEMBRE 2024</t>
  </si>
  <si>
    <t>REVISADO MARZO  2025. SE LES INCLUYE CERO EN EL ACUMULADO PARA EQUILIBARA EL CALCULO, HASTA QUE REPORTEN EN LOS SIGUIENTES TRIMESTRES DEL 2025</t>
  </si>
  <si>
    <t>REVISADO MARZO  2025. SE LES INCLUYE CERO EN EL ACUMULADO PARA EQUILIBAR EL CALCULO, HASTA QUE REPORTEN EN LOS SIGUIENTES TRIMESTRES DEL 2025</t>
  </si>
  <si>
    <t>REVISADO MARZO  2025. SE LES INCLUYE CERO EN EL ACUMULADO PARA EQUILIBAR EL CALCULO, HASTA QUE REPORTEN EN LOS SIGUIENTES TRIMESTRES DEL 2026</t>
  </si>
  <si>
    <t>REVISADO MARZO  2025. SE LES INCLUYE CERO EN EL ACUMULADO PARA EQUILIBAR EL CALCULO, HASTA QUE REPORTEN EN LOS SIGUIENTES TRIMESTRES DEL 2027</t>
  </si>
  <si>
    <t>REVISAR CON ENLACE PORQUE SE AJUSTÓ EL AVANCE CUATRENIO. AJUSTAR EL AVANCE DEL AÑO 2025 PARCIALMENTE</t>
  </si>
  <si>
    <t>AJUSTADO EN SU ACUMUALDO CUATRIENIO A CORTE MATRZO 2025 DEL REPORTE DE DICIEMBRE DE 2024</t>
  </si>
  <si>
    <t>REVISAR CON ENLACELA META DE CUATRIENIO</t>
  </si>
  <si>
    <t>REVISAR YA QUE NO HAY PROGRAMACIÓN PARA LA VIGENCIA 2025</t>
  </si>
  <si>
    <t>META LOGRADA DICIEMBRE 2024</t>
  </si>
  <si>
    <t>REVISAR CON ENLACE, ESTA META PRODUCTO APARECE EN EL PLAN DE ACCIÓN A CORTE MARZO 2025 EN LA LINEA ESTRATEGICA DE DESARROLLO ECONOMICO Y CON OTRO PROGRAMA</t>
  </si>
  <si>
    <t>SE AJUSTA EN CADA CALCULO DE ACUMULADO CUATRIENIO YA QUE LA META CUATRIENIO NO ES 1200 SINO 262</t>
  </si>
  <si>
    <t>SE INCLUYE EL REPORTE EN CERO PARA EQUILIBRAR EL CALCULO DEL CUATRIENIO. AL MOMENTO DE LOS REPORTES TRIMESTRALES DE LA VIGENCIA 2025 SE AJUSTA AUTOMATICAMENTE</t>
  </si>
  <si>
    <t>REVISAR CON ENLACE, YA QUE ESTA META LA COLOCA COMO LOGRADA EN EL CUATRIENIO, CUANDO ES DE MANTENIMIENTO DE 300 CADA AÑO</t>
  </si>
  <si>
    <t>REVISAR EL REPORTE 2025 A MARZO, EL PROGRAMADO DE LA VIGENCIA 2025, EL PROGRAMADO DE LA VIGENCIA 2024 QUE NO COINCIDE CON EL REPORTE A MARZO 2025</t>
  </si>
  <si>
    <t>ESTA META PRODUCTO SE EMPEZARÁ A ACUMULAR DE ACUERDO A LOS AVANCES REPORTADOS  A LO LARGO DEL AÑO 2025. REVISAR EL PROGRAMADO REPORTADO A CORTE MARZO 2025, YA QUE NO COINCIDE CON EL SEGUIMIENTO DEL PLAN DE ACCIÓN A DICIEMBRE 2024</t>
  </si>
  <si>
    <t>REVISAR EL PROGRAMADO REPORTADO A CORTE MARZO 2025, YA QUE NO COINCIDE CON EL SEGUIMIENTO DEL PLAN DE ACCIÓN A DICIEMBRE 2024. TAMBIEN, REVISAR EL PROGRAMADO PARA LA VIGENCIA 2025</t>
  </si>
  <si>
    <t xml:space="preserve">REVISAR EL PROGRAMADO REPORTADO A CORTE MARZO 2025, YA QUE NO COINCIDE CON EL SEGUIMIENTO DEL PLAN DE ACCIÓN A DICIEMBRE 2024. </t>
  </si>
  <si>
    <t>SE AJUSTA EL ACUMULADO CUATRIENIO EN MARZO 2025 YA QUE SE CORRIGIÓ LA META CUATRIENIO A  879.</t>
  </si>
  <si>
    <t>META CUMPLIDA. PERO REVISAR PORQUE LA PROGRAMARON PARA EL 2025</t>
  </si>
  <si>
    <t>META CUMPLIDA. PERO REVISAR PORQUE SE PROGRAMARON 5 PARA LA VIGENCIA 2025</t>
  </si>
  <si>
    <t>NO PROGRAMADA PARA VIGENCIA 2025</t>
  </si>
  <si>
    <t xml:space="preserve">REVISAR CON ENLACE YA QUE EL AVANCE DEL PROGRAMA DEBE AJUSTARSE PARA QUE NO SE VAYA A SESGAR POR EL AVANCE DE UNA SOLA META, POR LO TANTO SE LE COLOCA DE MANERA IMPLICITA: 25% A LAS TRES METAS PRODUCTO QUE NO SE PROGRAMARON COMO AVANCE DEL CUATRIENIO AUNQUE ESTAS NO SE INCLUYAN. DE ESA MANERA SE EQUILIBRA </t>
  </si>
  <si>
    <t>REVISAR EL  PROGRAMADO DEL PROGRAMA  "FORTALECIMIENTO INSTITUCIONAL DE RENTA CIUDADANA, RENTA JOVEN Y COLOMBIA MAYOR PARA LA SUPERACIÓN DE LA POBREZA EXTREMA".</t>
  </si>
  <si>
    <t xml:space="preserve"> PARA EL AÑO 2024  ERAN 5 PROGRAMAS PROGRAMADOS, PARA EL 2025 SON 6 CON EL DE  MEMORIA Y PATRIMONIO AL SERVICIO DE LA CIUDADANÍA, QUE SE INCLUIRÁ COMO PROGRAMA 6 DEL DENOMINADOR CUANDO SE REPORTEN EN LA VIGENCIA PRESENTE</t>
  </si>
  <si>
    <t>SE INCLUYE EL AVANCE DEL PROGRAMA CUANDO EMPIECEN A REPORTAR EN LOS SIGUIENTES TRIMESTRES DEL 2025, YA QUE PARA MARZO 2025 NO HAY REPORTE</t>
  </si>
  <si>
    <t>PROGRAMADO CORTE  2025 RESPECTO AL CUATRIENIO 2024 -2027 (PONDERADOR)</t>
  </si>
  <si>
    <t>LOGRO ALCANZADO DICIEMBRE RESPECTO AL CUATRIENIO (PONDERADOR) 2024</t>
  </si>
  <si>
    <t>REVISADO MARZO 2025. NO PROGRAMADO POR VALORIZACIÓN, PERO SEC DE INFRAESTRUCTURA PROGRAMÓ 0,12 PARA LA VIGENCIA 2025. PERO REVISRA YA QUE EN EL PLAN DE ACCIÓN DE SEC DE INFRAESTRUCTRURA APARECE COMO CUMPLIDA AL 100%</t>
  </si>
  <si>
    <t>REVISADO MARZO 2025. GESTION DE RIESGO PROGRAMÓ 2 Y SEC DE INFRAESTRUCTURA 4 PARA LA VIGENCIA 2025 Y QUE PARA MARZO 2025 REPORTA EJECUCIÓN DE 3</t>
  </si>
  <si>
    <t>REVISAR CON ENLACE YA QUE EN EL ACUMUALDO DEL REPORTE A MARZO 2025 PRESENTA 6 Y EN EL ACUMUALDO DE DICIEMBRE 12</t>
  </si>
  <si>
    <t>REVISAR CON ENLACE YA QUE ESTA META PRODUCTO SE CUMPLIÓ</t>
  </si>
  <si>
    <t xml:space="preserve">REVISAR CON ENLACE </t>
  </si>
  <si>
    <t>ACUMULADO DICIEMBRE 2024</t>
  </si>
  <si>
    <t>ESPERADO A DICIEMBRE 2025</t>
  </si>
  <si>
    <t>ESPERADO PARCIAL POR TRIMESTRE 2025</t>
  </si>
  <si>
    <t>AVANCE ENERO - MARZO 2025</t>
  </si>
  <si>
    <t>DEFICIT O SUPERAVIT ENTRE ENERO - MARZO 2025</t>
  </si>
  <si>
    <t>LOGRO (%) RESPECTO AL PROGRAMADO PARA LA VIGENCIA 2025</t>
  </si>
  <si>
    <t>SE INCLUYE EN EL CALCULO DEL CUATRIENIO DEL COMPONENTE IMPULSO, AL MOMENTO DE EMPEZAR A REPORTAR</t>
  </si>
  <si>
    <t>ESPERADO ACUMULADO A  DICIEMBRE 2025</t>
  </si>
  <si>
    <t>ESPERADO ACUMULADO CUATRIENIO A DICIEMBRE 2025</t>
  </si>
  <si>
    <t xml:space="preserve">AVANCE  CORTE DICIEMBRE  2024 RESPECTO AL CUATRIENIO </t>
  </si>
  <si>
    <t>SE INCLUYE CUANDO SE AVALEN LA CIFRA CON LA SED</t>
  </si>
  <si>
    <t>SECRETARÍA DE INFRAESTRUCTURA - EPA- SECRETARÍA DE PLANEACIÓN</t>
  </si>
  <si>
    <t>REVISAR PROGRAMADO PARA EL 2025 Y ACUMULADO DEL 2024 YA QUE NO COINCIDE CON EL REPORTADO EN EL 2024</t>
  </si>
  <si>
    <t>REVISAR CUANDO SE CALCULE EL AVANCE DE ESTE PROGRAMA PARA SACAR EL PROMEDIO MAXIMO ENTFRE LOS PROGRAMADO EN EL 2024 Y EL 2025 CON EL MAXIMO REPORTADO.</t>
  </si>
  <si>
    <t>COMPONENTE AJUSTADO</t>
  </si>
  <si>
    <t>PROGRAMA AJUSTADO</t>
  </si>
  <si>
    <t>REVISADO JUNIO 10</t>
  </si>
  <si>
    <t>PROGRAMA AJUSTADO EN JUNIO 2025</t>
  </si>
  <si>
    <t>SE INCLUYE EN EL CALCULO DEL CUATRIENIO DEL COMPONENTE IMPULSO, AL MOMENTO DE EMPEZAR A REPORTAR CON EL PROMEDIO DEL COMPONENTE IGUAL O MENOR AL DEL PROGRAMA</t>
  </si>
  <si>
    <t xml:space="preserve">REVISADO JUNIO 10 </t>
  </si>
  <si>
    <t xml:space="preserve">REVISADO 10  JUNIO </t>
  </si>
  <si>
    <t>REVISADO 10 JUNIO 2025</t>
  </si>
  <si>
    <t xml:space="preserve">REVISADO 10 DE JUNIO </t>
  </si>
  <si>
    <t>AVANCE ACUMULADO MARZO 2025</t>
  </si>
  <si>
    <t>A la espera del reporte de corpoturismo junio 10 de 2025</t>
  </si>
  <si>
    <t>A la espera del reporte de corpoturismo junio 10 de 2026</t>
  </si>
  <si>
    <t>REVISADO 10  JUNIO 0,1 REPORTADO POR DATT Y 0,15 POR GEPM</t>
  </si>
  <si>
    <t>VALORIZACIÓN REPORTA A 10 DE JUNIO AVANCE CERO</t>
  </si>
  <si>
    <t>REVISADO 10 DE JUNO 2025</t>
  </si>
  <si>
    <t>HASTA EL MOMENTO NO SE HA RECIBIDO DESPROGRAMACIÓN DE LA META. POR LO TANTO AL FINAL DE LA VIGENCIA SINO REPORTA, ES CERO.</t>
  </si>
  <si>
    <t>SE BAJA LA PROGRAMACIÓN A 0,5 DE 1 QUE TENIAN AL PRINCIPIO</t>
  </si>
  <si>
    <t>SE BAJA LA PROGRAMACIÓN A 1 DE 2 QUE TENIAN AL PRINCIPIO</t>
  </si>
  <si>
    <t>SUBE LA  PROGRAMCIÓN DE 0,1 A 0,5</t>
  </si>
  <si>
    <t>DESPROGRAMADA PARA  LA VIGENCIA 2025</t>
  </si>
  <si>
    <t>DESPROGRAMADA PARA EL 2025</t>
  </si>
  <si>
    <t>AVANCE SEGUNDO TRIMESTRE 2025</t>
  </si>
  <si>
    <t>AVANCE MARZO - JUNIO  DE 2025</t>
  </si>
  <si>
    <t>DEFICIT O SUPERAVIT ENTRE MARZO -   JUNIO 2025</t>
  </si>
  <si>
    <t xml:space="preserve">REVISADO 30  JUNIO </t>
  </si>
  <si>
    <t>REVISADO 30 JUNIO</t>
  </si>
  <si>
    <t>REVISADO 30 DE JUNIO</t>
  </si>
  <si>
    <t xml:space="preserve">REVISADO 30 DE JUNIO </t>
  </si>
  <si>
    <t>OBSERVACIONES  10 JUNIO 2025</t>
  </si>
  <si>
    <t>OBSERVACIONES 30 JUNIO  2025</t>
  </si>
  <si>
    <t>REVISAR EL CALCULO CON ENLACE, YA QUE ESTA ES META PRODUCTO DE MANTENIMIENTO Y LA COLOCA COMO EJECUTADA AL 100% AL CUATRIENIO.</t>
  </si>
  <si>
    <t>INCLUIR SOLO CUANDO SE ACORDE CON EL ENLACE EL REPORTE</t>
  </si>
  <si>
    <t>PARA JUNIO  2025 SOLO REPORTÓ GEPM, DATT NO ESTÁ REPORTA</t>
  </si>
  <si>
    <t>REVISAR TANTO EL PROGRAMADO COMO EL REPORTADO COMO EL ACUMULADO 2024</t>
  </si>
  <si>
    <t>REVISAR CON ENLACE, PROGRAMADO Y REPORTE</t>
  </si>
  <si>
    <t>REVISAR CON ENLACE, YA QUE EN EL REPORTE DE PLAN DE ACCIÓN TIENE OTRO NOMBRE ESTE PROGRAMA</t>
  </si>
  <si>
    <t>REVISAR CON  ENLACE EL PROGRAMADO Y REPORTE A JUNIO 2025</t>
  </si>
  <si>
    <t>REVISAR CON  ENLACE EL PROGRAMADO Y REPORTE A JUNIO 2026</t>
  </si>
  <si>
    <t>META CUMPLIDA 30 DE JUNIO DE 2025</t>
  </si>
  <si>
    <t>REVISADO 30 DE JUNIO 2025</t>
  </si>
  <si>
    <t>REVISAR AVANCE CUATRENIO 2025</t>
  </si>
  <si>
    <t>REVISAR CON ENLACE, YA QUE ESTA META SE LLOGRÓ POR CORPOTURISMO</t>
  </si>
  <si>
    <t>REVISAR CON EL ENLACE</t>
  </si>
  <si>
    <t>REVISAR CON ENLACE YA QUE ESTA META PRODUCTO SE CUMPLIÓ Y PROGRAMARON PARA ESTA VIGENCIA</t>
  </si>
  <si>
    <t>REVISAR ACUMULADO CUATRIENIO CON EL ENLACE</t>
  </si>
  <si>
    <t>REVISAR CON ENLACE, YA QUE EL PROGRAMADO ES DE 0,25 Y TIENE 2 PARA EL REPORTE DE JUNIO 30</t>
  </si>
  <si>
    <t>META CUMPLIDA JUNIO 2025</t>
  </si>
  <si>
    <t>REVISAR EL PORQUÉ  AHORA ESA META  APARECE PARA EL 2025 COMO DESPROGRAMADA, CUANDO ESTABA EN 0,3 PARA EL AÑO. ADEMAS DE REPORTAR EN 0,2 EN JUNIO 10 Y AHORA NO REPORTA A JUNIO 30</t>
  </si>
  <si>
    <t>REVISAR CON ENLACE, ESTA META ESTÁ REPORTADA DOS VECES EN EL REPORTE DE PLAN DE ACCIÓN</t>
  </si>
  <si>
    <t xml:space="preserve">REVISAR CON ENLACE, YA QUE SEC GENERAL NO PROGRAMA ESA META </t>
  </si>
  <si>
    <t>PARA JUNIO 30 DE 2025. HACIENDA NO REPORTA, PERO SEC DE PLANEACIÓN REPORTA PARA JUNIO 30 DE 2025 UNA CIFRA DE 0,03</t>
  </si>
  <si>
    <t>SEC DE PLANEACIÓN REPORTA PARA JUNIO 30 DE 2025 UNA CIFRA DE 0,03. PERO REVISAR REPORTE DE SEC DE HACIENDA, YA QUE REPORTA MAL EL INDICADOR</t>
  </si>
  <si>
    <t>AVANCE ACUMULADO JULIO 2025</t>
  </si>
  <si>
    <t>REVISAR CON ENLACE, YA QUE ESTA META SE PROGRAMÓ ENE L 2024 Y NO EJECUTÓ, POR LO TANTO LLEVA UN ACUMUALDO DE CERO.</t>
  </si>
  <si>
    <t>REVISAR CON ENLACE EL AVANCE DEL AÑO Y EL CUATRIENIO</t>
  </si>
  <si>
    <t xml:space="preserve">REVISAR CON ENLACE YA  QUE  ESTAS METAS  PRODUCTO NO SE HAN PROGRAMADO </t>
  </si>
  <si>
    <t>REVISAR CON LOS ENLACES, YA QUE NO SE PROGRAMARON EN LOS PLANES DE ACCIÓN</t>
  </si>
  <si>
    <t>REVISAR CON ENLACE, YA QUE NO PROGRAMAN NO REPORTAN EN EL PLAN DE ACCIÓN</t>
  </si>
  <si>
    <t>REVISAR EL ACUMULADO GENERAL CON EL ENLACE</t>
  </si>
  <si>
    <t>REVISAR META COMPLETAMENTE CON ENLACE</t>
  </si>
  <si>
    <t>REVISAR CON ENLACE, YA QUE ESA META SE CUMPLIÓ</t>
  </si>
  <si>
    <t>REVISAR EL REPORTE DE JUNIO CON ENLACE</t>
  </si>
  <si>
    <t>META LOGRADA</t>
  </si>
  <si>
    <t>META CUMPLIDA. REPORTADA COMO LOGRADA EN EL MES DE JUNIO.</t>
  </si>
  <si>
    <t>SE REPORTA LO LOGRADO EN EL 2024. EN 2025 AUN NO REPORTAN</t>
  </si>
  <si>
    <t xml:space="preserve">AVANCE  ANUAL ALCANZADO RESPECTO A LA VIGENCIA  2024 </t>
  </si>
  <si>
    <t>META N0 PROGRAMDA EN LAS DOS VIGENCIAS 2024 - 2025</t>
  </si>
  <si>
    <t>SOLO LA PROGRAMÓ GEMPM Y A LA FECHA DE CORTE JUNIO 2025, NO HAY REPORTE</t>
  </si>
  <si>
    <t>NO INLCUIR EL REPORTE LOGRADO A 2004 EN DICIEMBRE, EN ESPERA DE OFICIO PARA AJUSTAR Y PROCEDER A ELIMINAR EL AVANCE</t>
  </si>
  <si>
    <t>REVISAR EL PORQUÉ EN EL REPORTE LA COLOCA COMO CUMPLIDA, CUANDO EN EL PROGRAMADO DEL CUATRENIO SE INDICA QUE ES DE MANTENIMIENTO</t>
  </si>
  <si>
    <t>REVISAR EL PROGRAMADO DEL CUATRIENIO, YA QUE EN REPORTE COLOCAN 1 CUANDO SON 4</t>
  </si>
  <si>
    <t>REVISAR CON ENLACE, YA QUE EN AÑO 2024 NO SE PROGRAMÓ NI SE EJECUTÓ ESTA META, Y APARECE PROGRAMADA Y CON EJECUCIÓN DEL  0,7 PARA LA VIGENCIA ANTERIOR  EN EL REPORTE DE JUNIO DE 2025</t>
  </si>
  <si>
    <t>SE ESTARÍA REPORTANDO EN EL ULTIMO TRIMESTRE DE 20256</t>
  </si>
  <si>
    <t>REVISADO 30  JUNIO . PARA EL REPORTE DE SEPTIEMBRE SE AJUSTA EL PROGRAMADO A CERO PARA LA VIGENCIA</t>
  </si>
  <si>
    <t>REVISADO 30 DE JUNIO. PERO PARA AJUSTE FUTURO</t>
  </si>
  <si>
    <t>OBSERVACIONES SEPTIEMBRE 15 DE 2025</t>
  </si>
  <si>
    <t>AVANCE ACUMULADO SEPTIEMBRE 15 DE 2025</t>
  </si>
  <si>
    <t>REPROGRAMADA DE  3.241 A 420</t>
  </si>
  <si>
    <t>REPROGRAMADA DE  3.500 A 730</t>
  </si>
  <si>
    <t>REPROGRAMADA DE  1.675 A 1.000</t>
  </si>
  <si>
    <t>REPROGRAMADO DE 600 A 315</t>
  </si>
  <si>
    <t>REPROGRAMADO DE 150  A 86</t>
  </si>
  <si>
    <t>REPROGRAMADA DE 200 A 400</t>
  </si>
  <si>
    <t>REPROGRAMADA DE 399 A 729</t>
  </si>
  <si>
    <t>SE REPROGRAMA  DE 60 A 180</t>
  </si>
  <si>
    <t>SE REPROGRAMA  DE 67 A 41</t>
  </si>
  <si>
    <t xml:space="preserve">REPROGRMÓ DE 2 A 5 </t>
  </si>
  <si>
    <t>SE AJUSTA LA PROGRAMACIÓN DE LA META PRODUCTO PARA LA VIGENCIA 2025, YA QUE ESTANA EN CERO Y SE REPROGRAMÓ A 1. SE CONTABILIZA APENAS EMPIECEN A REPORTAR EN LA VIGENCIA.</t>
  </si>
  <si>
    <t>SE CAMBIA LA PROGRAMACIÓN  META PRODUCTO DE 20 A 50.</t>
  </si>
  <si>
    <t>GEPM DESPROGRAMA LO QUE PROGRAMÓ PARA LA VIGENCIA 2025. PERO EL AVANCE CUATRIENIO SE MANTENDRÁ EN CERO, YA QUE ES UNA META COMPARTIDA Y HAY CORRESPONSABILIDAD Y MAS QUE TODO, LA SECRETARÍA DE PARTICIPACIÓN LA PROGRAMÓ.</t>
  </si>
  <si>
    <t>GEPM DESPROGRAMA LO QUE PROGRAMÓ PARA LA VIGENCIA 2025.  PROGRAMÓ PARA LA VIGENCIA 2025. PERO EL AVANCE CUATRIENIO SE MANTENDRÁ EN CERO, YA QUE ES UNA META COMPARTIDA Y HAY CORRESPONSABILIDAD.</t>
  </si>
  <si>
    <t>REVISAR CON ENLACES, YA QUE LA GEPM PROGRAMÓ 200 PARA LA VIGENCIA 2025. PEDIR REUNIÓN PARA PROGRAMAR EN CONJUNTO CON LAS DEMAS DEPENDENCIAS ESTA META PRODUCTO</t>
  </si>
  <si>
    <t>REVISAR CON ENLACES, YA QUE LA GEMPPROGRAMÓ 200 PARA LA VIGENCIA 2025. PEDIR REUNIÓN PARA PROGRAMAR EN CONJUNTO CON LAS DEMAS DEPENDENCIAS ESTA META PRODUCTO</t>
  </si>
  <si>
    <t>SOLO LA  GEPM PROGRAMÓ  Y A LA FECHA DE CORTE JUNIO 2025, NO HAY REPORTE</t>
  </si>
  <si>
    <t>REVISAR CON ENLACE, YA QUE NO REPORTA  AVANCE A MARZO 2025</t>
  </si>
  <si>
    <t>REVISAR CON ENLACE, YA QUE NO REPORTA  AVANCE A JUNIO 2025</t>
  </si>
  <si>
    <t>GEPM DESPROGRAMÓ LA META  PARA LA VIGENCIA 2025</t>
  </si>
  <si>
    <t>GEPM  DESPROGRAMÓ PARA LA VIGENCIA 2025</t>
  </si>
  <si>
    <t>DESPROGRAMADO POR LA GEPM PARA LA VIGENCIA 2025</t>
  </si>
  <si>
    <t>EL DATT REPROGRAMÓ LA META DE 5 A CERO PARA LA VIGENCIA 2025</t>
  </si>
  <si>
    <t>EL DATT REPROGRAMÓ LA META DE 20.000 MILLONES A 15.000 MILLONES EN LA VIGENCIA 2025</t>
  </si>
  <si>
    <t>YA ESTA REPROGRAMADA, PERO PARA DEJAR FORMALIZADO EL CAMBIO</t>
  </si>
  <si>
    <t>SE REPROGRAMÓ DE 0 A 0,1 EN LA VIGENCIA 2025</t>
  </si>
  <si>
    <t>YA ESTABA REPROGRAMADO. PERO PARA EFECTOS FORMALES</t>
  </si>
  <si>
    <t>SE REPORGRAMÓ DE 0 A 0,2 PARA LA VIGENCIA 2025.</t>
  </si>
  <si>
    <t>SE REPROGRAMÓ DE 0 A 0,8 PARA LA VIGENCIA 2025</t>
  </si>
  <si>
    <t>SE REPROGRAMÓ DE 0,3 A 0,2 PARA LA VIGENCIA 2025</t>
  </si>
  <si>
    <t>YA ESTABA REPROGRAMADA, PERO PARA FORMALIZARLO</t>
  </si>
  <si>
    <t>YA ESTABA REPROGRAMADA, PERO PARA EFECTOS DE FORMALIZADA.</t>
  </si>
  <si>
    <t>SE REPROGRAMA DE 0 A 0,5 PARA LA VIGENCIA 2025.</t>
  </si>
  <si>
    <t>SE REPROGRAMÓ LA META PRODUCTO  DE CERO A SEIS PARA LA VIGENCIA 2025</t>
  </si>
  <si>
    <t>SE REPROGRAMÓ LA META PRODUCTO  DE 1,5 A 5 PARA LA VIGENCIA 2025</t>
  </si>
  <si>
    <t>SE REPROGRAMA DE 0,5 A 0,33 PARA LA VIGENCIA 2025.</t>
  </si>
  <si>
    <t>SE DESPROGRAMÓ PARA LA VIGENCIA 2025</t>
  </si>
  <si>
    <t>SE REPROGRAMÓ DE 0, 5 A 0,3 PARA LA VIGENCIA 2025</t>
  </si>
  <si>
    <t>SE REPROGRAMÓ DE 0  A 0,33  PARA LA VIGENCIA 2025</t>
  </si>
  <si>
    <t>SE REPROGRAMÓ A 427 PARA LA VIGENCIA 2025</t>
  </si>
  <si>
    <t>SE REPROGRAMÓ DE CERO A 0,3 PARA LA VIGENCIA 2025</t>
  </si>
  <si>
    <t>YA ESTABA PROGRAMADA A 2 PARA LA VIGENCIA. PERO FORMALISMO SE REITERA.</t>
  </si>
  <si>
    <t>SE REPROGRAMÓ DE 18 A 14 PARA LA VIGENCIA 2025.</t>
  </si>
  <si>
    <t>SE REPROGRAMÓ A 0 PARA ESTA VIGENCIA</t>
  </si>
  <si>
    <t>SE REPROGRAMÓ A  1 PARA ESTA VIGENCIA</t>
  </si>
  <si>
    <t>REVISADO 15 DE SEPTIEMBRE</t>
  </si>
  <si>
    <t>REVISADO 15 DE SEPTIEMBRE 2025</t>
  </si>
  <si>
    <t>REVISADO 15 DE SEPTIEMBRE DE 2025</t>
  </si>
  <si>
    <t>REVISAR EL REPORTE CON ENLACE</t>
  </si>
  <si>
    <t>VALORIZACIÓN REPORTA PARA SEPTIEMBRE 6826</t>
  </si>
  <si>
    <t>REVISAR CON ENLACE YA QUE EL ACUMUALDO 2024 ERA DE 2 Y AHORA REPORTAN 4</t>
  </si>
  <si>
    <t>NO REPORTARON ESTA META EN EL PLAN DE ACCIÓN A CORTE 15 DE SEPTIEMBRE 2025</t>
  </si>
  <si>
    <t>NUEVAMENTE SE COLOCA COMO AVANCE ACUMULADO 2024 9, CUANDO REPORTARON 34.</t>
  </si>
  <si>
    <t>REVISAR, YA QUE EN REPORTE DE JUNIO REPORTARON 98 Y AHORA EN EL REPORTE A SEP 58</t>
  </si>
  <si>
    <t>REPORTARON EN DICIEMBRE DE 2024 UN AVANCE DE 2.952 Y EN SEPTIEMBRE EN EL REPORTE  DE PLAN DE ACCIÓN 3.031</t>
  </si>
  <si>
    <t>EN EL REPORTE DE DICIEMBRE 2024 REPORTARON 8 Y AHORA APARECE 16. ADEMAS DE REPORTAR 43 CUANDO SE PROGRAMARON 4 PARA LA VIGENCIA</t>
  </si>
  <si>
    <t>META CUMPLIDA SEPTIEMBRE 2025</t>
  </si>
  <si>
    <t>REVISAR EL ACUMULADO CUATRIENIO</t>
  </si>
  <si>
    <t>REVISAR CON ENLACE EL INDICADOR DE REPORTE. AUNQUE ES META CUMPLIDA</t>
  </si>
  <si>
    <t>GEPM REPORTA CERO PARA SEPTIEMBRE 2025</t>
  </si>
  <si>
    <t>PARA SEPTIEMBRE 15 DE 2025. HACIENDA NO REPORTA, PERO SEC DE PLANEACIÓN REPORTA  UNA CIFRA DE 0,08</t>
  </si>
  <si>
    <t>0,43</t>
  </si>
  <si>
    <t>HACIENDA NO REPORTÓ NI PLAENACIÓN PARA SEPTIEMBRE 2025</t>
  </si>
  <si>
    <t>REVISAR CON ENLACE EL REPORTE</t>
  </si>
  <si>
    <t>REVISAR CON ENLACE,</t>
  </si>
  <si>
    <t>REVISAR CON ENLACE. YA QUE ESTA META ESTÁ CUMPLIDA</t>
  </si>
  <si>
    <t>REVISAR YA QUE ESTA EMTA SE CUMPLIÓ</t>
  </si>
  <si>
    <t>ACEPTABLE</t>
  </si>
  <si>
    <t xml:space="preserve">EN ESPERA </t>
  </si>
  <si>
    <t>META CUMPLIDA SEP 2025</t>
  </si>
  <si>
    <t>VALORIAZIÓN REPORA PARA SEPTIEMBRE 0,18. SEC INFRAESTRUCTURA REPORTÓ 0</t>
  </si>
  <si>
    <t>REVISAR A LA HORA DE INGRESAR REPORTE DE LA OGRD PARA CORTE DE JUNIO, YA QUE ESA DEPENDENCIA REPORTÓ 1, Y PROGRAMÓ 2. LA SECRETARÍA DE INFRAESTRUCTURA REPORTA CERO EN JUNIO, PERO EN MARZO HABÍA REPORTADO 3. ENTONCES, EN EL AÑO VAN 4 A JUNIO DE 2025.</t>
  </si>
  <si>
    <t>SECREARÍA DE INFRAESTRUCTURA EN SEPTIEMBRE REPORTA CERO. PERO LA OGRD REPORTA 1</t>
  </si>
  <si>
    <t>AVANCE  NUMERICO META PRODUCTO  CORTE 15 DE NOVIEMBRE 2025</t>
  </si>
  <si>
    <t>OBSERVACIONES NOVIEMBRE 15 DE 2025</t>
  </si>
  <si>
    <t xml:space="preserve">AVANCE  CUARTO* TRIMESTRE 2025 RESPECTO AL PROGRAMADO PARA IGUAL VIGENCIA </t>
  </si>
  <si>
    <t>REVISADO 15 DE NOVIEMBRE</t>
  </si>
  <si>
    <t>META CUMPLIDA NOVIEMBRE 15 DE 2025</t>
  </si>
  <si>
    <t>REVISADO 15 DE NOVIEMBRE 2025</t>
  </si>
  <si>
    <t>REVISADO 15 DE NOVIEMBRE DE 2025</t>
  </si>
  <si>
    <t>REVISADO 15 DE NOVIEMBRE  2025</t>
  </si>
  <si>
    <t>META CUMPLIDA 15 DE NOVIEMBRE</t>
  </si>
  <si>
    <t>REVISADO 15 DE NOVIEMBRE2025</t>
  </si>
  <si>
    <t>REVISADO 15 DE NOVIEMBRE DE 2025 DATT. PERO REVISAR PROGRAMADO CON GEPM</t>
  </si>
  <si>
    <t>REVISADO 15 DE NOVIEMBRE  DE 2025</t>
  </si>
  <si>
    <t>AVANCE JUNIO  - 15 DE SEPTIEMBRE DE 2025</t>
  </si>
  <si>
    <t>DEFICIT O SUPERAVIT ENTRE     JUNIO - 15 DE SEPTIEMBRE  DE  2025</t>
  </si>
  <si>
    <t>REVISAR CUANDO REPORTEN LAS DOS DEPENDENCIAS RESPONSABLES</t>
  </si>
  <si>
    <t xml:space="preserve">GEPM REPROGRAMÓ DE 4 A 0,1 PARA VIGENCIA 2025. COMO EL DATT TAMBIEN PROGRAMÓ 10 PARA MISMA VIGENCIA, EL ESPERADO ES DE 10,1. </t>
  </si>
  <si>
    <t xml:space="preserve">GEPM REPROGRAMÓ DE 4 A 0,25 PARA VIGENCIA 2025. COMO EL DATT TAMBIEN PROGRAMÓ  5 PARA LA MISMA VIGENCIA, EL ESPERADO ES DE  5,25. PERO LA GEPM Y EL DATT REPORTA CERO PARA SEPTIEMBRE </t>
  </si>
  <si>
    <t>14,8% - 24,68%</t>
  </si>
  <si>
    <t>24,69% - 34,57%</t>
  </si>
  <si>
    <t>34,58% - 44,46%</t>
  </si>
  <si>
    <t>44,47% o más.</t>
  </si>
  <si>
    <t>META CUMPLIDA. 15 DE NOVIEMBRE DE 2025</t>
  </si>
  <si>
    <t>META CUMPLIDA. 15 DE NOVIEMBRE  2025</t>
  </si>
  <si>
    <t>REVISAR CUANDO REPORTE SEC DEL INFRAESTRUCTURA</t>
  </si>
  <si>
    <t>META CUMPLIDA 15 DE NOVIEMBRE DE 2025</t>
  </si>
  <si>
    <t>REVISAR CON ENLACE EL REPORTE DE SEPTIEMBRE Y EL  PROGRAMADO DEL AÑO 2025</t>
  </si>
  <si>
    <t>LA  OGRD REPORTA EN NOVIEMBRE CERO.</t>
  </si>
  <si>
    <t>META CUMPLIDA NOVIEMBRE 2025</t>
  </si>
  <si>
    <t>NO REPORTARON ESTA META EN EL PLAN DE ACCIÓN A CORTE 15 DE NOVIEMBRE 2025</t>
  </si>
  <si>
    <t>META CUMPLIDA Y SUPERADA. PARA REVISAR</t>
  </si>
  <si>
    <t>REVISADO 15 DE NOVIEMBRE. AJUSTADO CON CORRECIÓN DE SEPTIEMBRE</t>
  </si>
  <si>
    <t>15 de Noviembre 2025*</t>
  </si>
  <si>
    <t>0% - 21,87%</t>
  </si>
  <si>
    <t>21,88% - 43,75%</t>
  </si>
  <si>
    <t>43,76% - 65,62%</t>
  </si>
  <si>
    <t>65,63% - 78,75%</t>
  </si>
  <si>
    <t>78,76% - 87,5%</t>
  </si>
  <si>
    <t>NO PROGRAMADO 2025</t>
  </si>
  <si>
    <t>REVISAR REPORTE CON ENLACE</t>
  </si>
  <si>
    <t>REVISAR EL ACUMULADO DE 2024</t>
  </si>
  <si>
    <t>REVISAR, YA QUE  HAY INCONGRUENCIAS EN REPORTE. REVISADO OK</t>
  </si>
  <si>
    <t>REVISAR CON ENLACE. REVISADO OK</t>
  </si>
  <si>
    <t xml:space="preserve">AVANCE  NUMERICO META PRODUCTO  CORTE 31 DICIEMBRE </t>
  </si>
  <si>
    <t>OBSERVACIONES DICIEMBRE 2024</t>
  </si>
  <si>
    <t>LOGRO (%) RESPECTO AL PROGRAMADO PARA LA VIGENCIA 2025. CORTE DICIEMBRE 31</t>
  </si>
  <si>
    <t>LOGRO  (%) META PRODUCTO RESPECTO AL PROGRAMADO CUATRIENIO 31 DICIEMBRE  2025</t>
  </si>
  <si>
    <t>LOGRO  (%) META PRODUCTO RESPECTO AL PROGRAMADO CUATRIENIO DICIEMBRE 31 DE 2025 (PONDERADOR)</t>
  </si>
  <si>
    <t xml:space="preserve">AVANCE  TRIMESTRE ENERO -DICIEMBRE  DE 2025  </t>
  </si>
  <si>
    <t>AVANCE ACUMULADO  CORTE  DICIEMBRE 31 DE 2025 RESPECTO AL CUATRIENIO</t>
  </si>
  <si>
    <t>LOGRO (%) RESPECTO AL PROGRAMADO PARA LA VIGENCIA 2025 CORTE  DICIEMBRE</t>
  </si>
  <si>
    <t>LOGRO  (%) META PRODUCTO RESPECTO AL PROGRAMADO CUATRIENIO PARCIAL DICIEMBRE 31 DE 2025 (PONDERADOR)</t>
  </si>
  <si>
    <t>CRITERIO DE SEGUMIENTO CORTE  31 DICIEMBRE  DE 2025*</t>
  </si>
  <si>
    <t>AVANCE PLAN DE DESARROLLO 2024 - 2027. CORTE  31 DICIEMBRE 2025</t>
  </si>
  <si>
    <t>NIVEL DE EFICACIA A CORTE 31 DICIEMBRE*</t>
  </si>
  <si>
    <t>AVANCE ACUMULADO 31 DICIEMBRE DE 2025</t>
  </si>
  <si>
    <t>DEFICIT O SUPERAVIT ENTRE      15 DE SEPTIEMBRE   - 31 DICIEMBRE DE 2025</t>
  </si>
  <si>
    <t>REVISADO 31 DE DICIEMBRE</t>
  </si>
  <si>
    <t>REVISAR CON ENLACE EL CUMPLIEMIENTO REPORTADO</t>
  </si>
  <si>
    <t>AVANCE PARCIAL NOVIEMBRE 2025*</t>
  </si>
  <si>
    <t>AVANCE JUNIO  15 DE SEPTIEMBRE -31 DE DICIEMBRE DE 2025</t>
  </si>
  <si>
    <t>META LOGRADA 31 DE DICIEMBRE 2024</t>
  </si>
  <si>
    <t>META CUMPLIDA 31 DE DICIEMBRE 2025</t>
  </si>
  <si>
    <t>REVISADO 31 DE DICIEMBRE 2025</t>
  </si>
  <si>
    <t>LA SPDS  REPORTA A DICIEMBRE 2025 LA CIFRA DE 151, PERO NO ESTABA PROGRAMADA Y EN EL PLAN DE ACCIÓN DE ESA DEPENDENCIA NO SE CONTABILIZA PARA LA VIGENCIA, PERO SI PARA EL CUATRIENIO.</t>
  </si>
  <si>
    <t>META CUMPLIDA DICIEMBRE 2025</t>
  </si>
  <si>
    <t>REVISADO 31 DE DICIEMBRE DE 2025</t>
  </si>
  <si>
    <t>REVISADO 31 DE DICIEMBRE  DE 2025</t>
  </si>
  <si>
    <t>NO REPORTARON ESTA META EN EL PLAN DE ACCIÓN A CORTE 31 DE DICIEMBRE 2025</t>
  </si>
  <si>
    <t>MUY ALTO</t>
  </si>
  <si>
    <t>REVISAR CON ENLACE EL REPORTE ACUMULADO DEL 2024 Y EL  PROGRAMADO DEL AÑO 2025</t>
  </si>
  <si>
    <t>REVISAR CON ENLACE YA QUE CON EL ACUMULADO 2024, ESTA META ESTÁ CUMPLIDA</t>
  </si>
  <si>
    <t>META CUMPLIDA A DICIEMBRE DE 2025</t>
  </si>
  <si>
    <t>SE INCLUYE MANUAL EL 100% DE LOGRADO PARA EL AÑO AUNQUE NO SE SE PROGRAMÓ PARA LA VIGENCIA. SE PROGRAMÓ 0,3 PARA EL AÑO*</t>
  </si>
  <si>
    <t>SE INCLUYE AVANCE DEL AÑO, SE LE COLOCA MANUAL EL AVANCE DEL  AÑO Y EL DEL CUATRIENIO PARA QUE COINCIDA CON EL DE LUZ MARLENE.</t>
  </si>
  <si>
    <t>EL ESPERADO PARA EL CUATRIENIO ES 1 NO 4, POR ESO DE AQUÍ EN ADELANTE, EL DENOMINDOR ES 1.</t>
  </si>
  <si>
    <t>REVISADO 31 DE DICIEMBRE  DE 2025. EL DENOMINADOR CAMBIA DE 16 A 4 DE AHORA EN ADELANTE, YA QUE EL ESPERADO DEL CUATRIENIO PASA DE 16 A 4.</t>
  </si>
  <si>
    <t>LA  OGRD REPORTA EN DICIEMBRE CERO.  SEC DE INFRAESTRUCTURA TAMBIEN REPORTA CERO</t>
  </si>
  <si>
    <t>REVISAR LA FORMA DE REPORTE CON EL ENLACE.</t>
  </si>
  <si>
    <t>REVISAR  EL REPORTE NO COINCIDE CON EL DE SEPTIEMBRE, JUNIO Y MARZO DE 2025</t>
  </si>
  <si>
    <t>REVISAR CON ENLACE EL REPORTE DE MARZO, QUE APARECE EN EL ULTIMO REPORTE COMO 0,1, Y EN EL DE SEPTIEMBRE CERO, PARA EL CORTE DE MARZO.</t>
  </si>
  <si>
    <t>REVISAR CON ENLACE EL ACUMULADO REPORTADO PARA DICIEMBRE DE 2024</t>
  </si>
  <si>
    <t>REVISAR REPORTE DE JUNIO Y SEPTIEMBRE</t>
  </si>
  <si>
    <t>REVISAR REPORTE DE SEPTIEMBRE</t>
  </si>
  <si>
    <t>REVISAR CON ENLACE, SE SUPONE QUE AL REPORTAR 1 EN  JUNIO, NO DEBIERON REPORTAR MAS. QUEDA ENTONCES META CUMPLIDA</t>
  </si>
  <si>
    <t>REVISAR EL PROGRAMADO PARA LA VIGENCIA 2025</t>
  </si>
  <si>
    <t xml:space="preserve">REVISAR EL PROGRAMADO PARA LA VIGENCIA 2025. </t>
  </si>
  <si>
    <t>REVISAR CON ENLACE, YA QUE REPORTARON UNA CIFRA DIFERENTE A  LA QUE YA SE REPORTÓ EN SEPTIEMBRE.</t>
  </si>
  <si>
    <t>REVISAR CON ENLACE  QUE AJUSTAN EL REPORTE DE MARZO, CUANDO YA HA PASADO 9 MESES.</t>
  </si>
  <si>
    <t>META  SIN PROGRAMACIÓN POR PARTE DE RESPONSABLES</t>
  </si>
  <si>
    <t>NO REPORTADO EN PLAN DE ACCIÓN  DE SEC DE INFRAESTRUCTURA</t>
  </si>
  <si>
    <t>REVISAR CON ENLACE, LA EVIDENCIA VISUAL NO COINCIDE CON LA REPORTADA</t>
  </si>
  <si>
    <t>ESTA META NO SE HABÍA PROGRAMADO PARA VIGENCIA, ASÍ QUE SOLO SE CALCULA EL AVANCE PARA EL ACUMULADO DEL CUATRIENIO</t>
  </si>
  <si>
    <t>SEC DE INFRAESTRUCTURA REPORTA 0,25  Y VALORIZACIÓN 0,125 PARA EL ULTIMO REPORTE A DICIEMBRE 2025.</t>
  </si>
  <si>
    <t>REVISADO CON ENLACE. SE CAMBIÓ EL ESPERADO A 200 PARA LA VIGENCIA 2025.</t>
  </si>
  <si>
    <t>SE INCLUYE UNA PROGRAMACION DE 1 PARA LA VIGENCIA 2025. POR ELLO, SE ALCANZA UN AVANCE PARA ESE AÑO.</t>
  </si>
  <si>
    <t>ESPERADO PORCENTUAL META PRODUCTO CUATRIENIO EN LA VIGENCIA 2026</t>
  </si>
  <si>
    <t>PROGRAMADO NUMERICO META PRODUCTO 2026</t>
  </si>
  <si>
    <t>AVANCE  NUMERICO META PRODUCTO  CORTE 31 DE MARZO 2026</t>
  </si>
  <si>
    <t>ACUMULADO  2024 - 2025 - PARCIAL 2026</t>
  </si>
  <si>
    <t>AVANCE  NUMERICO META PRODUCTO  CORTE 30 DE JUNIO 2026</t>
  </si>
  <si>
    <t>AVANCE  NUMERICO META PRODUCTO  CORTE 3O DE SEPTIEMBRE 2026</t>
  </si>
  <si>
    <t>AVANCE  NUMERICO META PRODUCTO  CORTE 31 DE DICIEMBRE 2026</t>
  </si>
  <si>
    <t>ACUMUALDO PARCIAL 2026</t>
  </si>
  <si>
    <t>LOGRO  (%) META PRODUCTO RESPECTO AL PROGRAMADO 2025 CORTE  DICIEMBRE</t>
  </si>
  <si>
    <t>LOGRO  (%) META PRODUCTO RESPECTO AL PROGRAMADO  DICIEMBRE 2025 (PONDERADOR)</t>
  </si>
  <si>
    <t>LOGRO  (%) META PRODUCTO RESPECTO AL PROGRAMADO CUATRIENIO  ACUMULADO DICIEMBRE  2025</t>
  </si>
  <si>
    <t>LOGRO  (%) META PRODUCTO RESPECTO AL PROGRAMADO CUATRIENIO  DICIEMBRE 2024 (PONDERADOR)</t>
  </si>
  <si>
    <t>LOGRO  (%) META PRODUCTO RESPECTO AL PROGRAMADO CUATRIENIO  DE DICIEMBRE 2025 (PONDERADOR)</t>
  </si>
  <si>
    <t>OBSERVACIONES MARZO 2026</t>
  </si>
  <si>
    <t>LOGRO  (%) META PRODUCTO RESPECTO AL PROGRAMADO CUATRIENIO  MARZO 2026 (PONDERADOR)</t>
  </si>
  <si>
    <t>ESPERADO ACUMULADO CUATRIENIO A DICIEMBRE 2026</t>
  </si>
  <si>
    <t>ESPERADO ACUMUALDO CUATRIENIO EN LA VIGENCIA 2025</t>
  </si>
  <si>
    <t>ESPERADO ACUMUALDO CUATRIENIO EN LA VIGENCIA 2024</t>
  </si>
  <si>
    <t>LOGRO  (%) META PRODUCTO RESPECTO AL PROGRAMADO MARZO 2026 (PONDERADOR)</t>
  </si>
  <si>
    <t>AVANCE  NUMERICO META PRODUCTO  CORTE 31 DICIEMBRE 2025</t>
  </si>
  <si>
    <t>ESPERADO PORCENTUAL META PRODUCTO CUATRIENIO EN LA VIGENCIA 2026 (PONDERADOR)</t>
  </si>
  <si>
    <t>LOGRO  (%) META PRODUCTO RESPECTO AL PROGRAMADO CUATRIENIO PARCIAL  DICIEMBRE (PONDERADOR)</t>
  </si>
  <si>
    <t>LOGRO (%) RESPECTO AL PROGRAMADO PARA LA VIGENCIA 2026. CORTE MARZO</t>
  </si>
  <si>
    <t>GEMP PROGRAMÓ 9,75 PARA LA VIGENCIA Y REPORTA CERO PARA EL PRIMER CORTE DE MARZO Y DATT PROGRAMÓ 10 E IGUAL REPORTA CERO PARA MARZO</t>
  </si>
  <si>
    <t>GEMP PROGRAMÓ 9,75 PARA LA VIGENCIA Y REPORTA CERO PARA EL PRIMER CORTE DE MARZO Y DATT PROGRAMÓ  8,25 E IGUAL REPORTA CERO PARA MARZO</t>
  </si>
  <si>
    <t>SPDS PROGRAMÓ 200 PARA LA VIGENCIA Y REPORTA CERO PARA MARZO - GEPM PROGRAMÓ 300 PARA LA VIGENCIA Y REPORTA 0 EN EL PRIMER TRIMESTRE</t>
  </si>
  <si>
    <t>Dotar veinte (20) organizaciones de pescadores (pertenecientes a grupos étnicos)</t>
  </si>
  <si>
    <t>REVISADO MARZO 2026. SE LE INCLUYE UN AVANCE DE 0,1 DEL AÑO 2025, QUE DEJÓ DE REPORTARSE</t>
  </si>
  <si>
    <t>REVISADO MARZO 2026. SE LE INCLUYE UN AVANCE DE 0,03 DEL AÑO 2025, QUE DEJÓ DE REPORTARSE</t>
  </si>
  <si>
    <t>META CUMPLIDA MARZO 2026</t>
  </si>
  <si>
    <t>REVISAR CON ENLACE, YA QUE EL PROGRAAMDO INICIAL Y APROBADO ERA 3 Y EN EL REPORTE APARECE 2.</t>
  </si>
  <si>
    <t>REVISADO CON ENLACE, YA QUE LA META CUATRIENIO ES 40 NO 10.</t>
  </si>
  <si>
    <t>REVISAR CON ENLACE DE SECRETARÍA DEL INTERIOR.</t>
  </si>
  <si>
    <t>0,33</t>
  </si>
  <si>
    <t>ESPERADO ACUMUALDO CUATRIENIO EN LA VIGENCIA 2026</t>
  </si>
  <si>
    <t>PROGRAMADO VIGENCIA  2026</t>
  </si>
  <si>
    <t>AVANCE ESPERADO ACUMULADO CUATRIENIO 2024 - 2025 - 2026</t>
  </si>
  <si>
    <t xml:space="preserve">AVANCE  PRIMER* TRIMESTRE 2026 RESPECTO AL PROGRAMADO PARA IGUAL VIGENCIA </t>
  </si>
  <si>
    <t>AVANCE ACUMULADO  CORTE  MARZO 2026 RESPECTO AL CUATRIENIO</t>
  </si>
  <si>
    <t>ACUMULADO DICIEMBRE 2025</t>
  </si>
  <si>
    <t>ESPERADO A DICIEMBRE 2026</t>
  </si>
  <si>
    <t>ESPERADO ACUMULADO A  DICIEMBRE 2026</t>
  </si>
  <si>
    <t>ACUMULADO MARZO 2026</t>
  </si>
  <si>
    <t>PLAN DE DESARROLLO VIGENCIA 2026</t>
  </si>
  <si>
    <t>PLAN DE DESARROLLO VIGENCIA 2025</t>
  </si>
  <si>
    <t>LOGRO (%) RESPECTO AL PROGRAMADO PARA LA VIGENCIA 2026</t>
  </si>
  <si>
    <t>PLAN DE ACCIÓN METAS PRODUCTO VIGENCIA 2026</t>
  </si>
  <si>
    <t>LOGRO (%) RESPECTO AL PROGRAMADO PARA LA VIGENCIA 2026. CORTE JUNIO</t>
  </si>
  <si>
    <t>LOGRO (%) RESPECTO AL PROGRAMADO PARA LA VIGENCIA 2026 CORTE  MARZO</t>
  </si>
  <si>
    <t>LOGRO (%) RESPECTO AL PROGRAMADO PARA LA VIGENCIA 2026 CORTE  JUNIO</t>
  </si>
  <si>
    <t>AVANCE ACUMULADO  CORTE  JUNIO 2026 RESPECTO AL CUATRIENIO (PONDERADOR)</t>
  </si>
  <si>
    <t>AVANCE SEGUNDO TRIMESTRE 2026</t>
  </si>
  <si>
    <t>CRITERIO DE SEGUIMIENTO CORTE  JUNIO VIGENCIA 2026</t>
  </si>
  <si>
    <t>AVANCE PLAN DE DESARROLLO 2024 - 2027. CORTE  JUNIO 2026</t>
  </si>
  <si>
    <t>NIVEL DE EFICACIA A CORTE JUNIO 2026*</t>
  </si>
  <si>
    <t>ACUMULADO JUNIO 2026</t>
  </si>
  <si>
    <t>AVANCE ENERO - MARZO 2026</t>
  </si>
  <si>
    <t>ESPERADO PARCIAL POR TRIMESTRE 2026</t>
  </si>
  <si>
    <t>AVANCE MARZO  - JUNIO  2026</t>
  </si>
  <si>
    <t>DIFERENCIAL ENTRE EL ESPERADO 2026  POR TRIMESTRE Y EL CORTE A JUNIO 2026</t>
  </si>
  <si>
    <t>DIFERENCIAL ENTRE EL ESPERADO 2026  POR TRIMESTRE Y EL CORTE A  MARZO 2026</t>
  </si>
  <si>
    <t>LOGRO  (%) META PRODUCTO RESPECTO AL PROGRAMADO CUATRIENIO 30 DE JUNIO 2026</t>
  </si>
  <si>
    <t>AVANCE ACUMULADO  CORTE  JUNIO 2026 RESPECTO AL CUATRIENIO</t>
  </si>
  <si>
    <t>LOGRO  (%) META PRODUCTO RESPECTO AL PROGRAMADO CUATRIENIO JUNIO 2026 (PONDERADOR)</t>
  </si>
  <si>
    <t>OBSERVACIONES JUNIO 2026</t>
  </si>
  <si>
    <t>REVISADO JUNIO 2026</t>
  </si>
  <si>
    <t>23,98% - 40,01%</t>
  </si>
  <si>
    <t>40,02% - 56,05%</t>
  </si>
  <si>
    <t>56,06% - 72,09%</t>
  </si>
  <si>
    <t>72,1% o más.</t>
  </si>
  <si>
    <t>LOGRO  (%) META PRODUCTO RESPECTO AL PROGRAMADO 2026 CORTE JUNIO</t>
  </si>
  <si>
    <t>LOGRO  (%) META PRODUCTO RESPECTO AL PROGRAMADO CUATRIENIO  ACUMULADO JUNIO  2026</t>
  </si>
  <si>
    <t>LOGRO  (%) META PRODUCTO RESPECTO AL PROGRAMADO CUATRIENIO  JUNIO 2026 (PONDERADOR)</t>
  </si>
  <si>
    <t>LOGRO  (%) META PRODUCTO RESPECTO AL PROGRAMADO JUNIO 2026 (PONDERADOR)</t>
  </si>
  <si>
    <t>0,132</t>
  </si>
  <si>
    <t>0,074</t>
  </si>
  <si>
    <t>ALTO</t>
  </si>
  <si>
    <t>REVISAR CON ENLACE, YA QUE EN EL REPORTE DE PLAN DE ACCIÓN TIENE OTRO NOMBRE ESTE PROGRAMA. REVISAR CON ENLACE YA QUE EL REPORTE DE SEPTIEMBRE EN EL ULTIMO RPEORTE ESTÁ EN 0,1, Y EN EL DE CORTE SEPTIEMBRE ANTERIOR, ESTÁ 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</si>
</sst>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44" formatCode="_-&quot;$&quot;\ * #,##0.00_-;\-&quot;$&quot;\ * #,##0.00_-;_-&quot;$&quot;\ * &quot;-&quot;??_-;_-@_-"/>
    <numFmt numFmtId="43" formatCode="_-* #,##0.00_-;\-* #,##0.00_-;_-* &quot;-&quot;??_-;_-@_-"/>
    <numFmt numFmtId="164" formatCode="0.000%"/>
    <numFmt numFmtId="165" formatCode="0.0%"/>
    <numFmt numFmtId="166" formatCode="d/m"/>
    <numFmt numFmtId="167" formatCode="0.000"/>
    <numFmt numFmtId="168" formatCode="0.0000"/>
    <numFmt numFmtId="169" formatCode="_-* #,##0_-;\-* #,##0_-;_-* &quot;-&quot;??_-;_-@_-"/>
    <numFmt numFmtId="170" formatCode="0.0"/>
    <numFmt numFmtId="173" formatCode="0.00000%"/>
    <numFmt numFmtId="174" formatCode="_-* #,##0.0_-;\-* #,##0.0_-;_-* &quot;-&quot;??_-;_-@_-"/>
    <numFmt numFmtId="175" formatCode="#,##0.000"/>
    <numFmt numFmtId="176" formatCode="0.000000"/>
  </numFmts>
  <fonts count="111" x14ac:knownFonts="1">
    <font>
      <sz val="11"/>
      <color theme="1"/>
      <name val="Calibri"/>
      <scheme val="minor"/>
    </font>
    <font>
      <sz val="11"/>
      <color theme="1"/>
      <name val="Calibri"/>
      <family val="2"/>
      <scheme val="minor"/>
    </font>
    <font>
      <b/>
      <sz val="26"/>
      <color theme="1"/>
      <name val="Calibri"/>
      <family val="2"/>
    </font>
    <font>
      <b/>
      <sz val="41"/>
      <color rgb="FFFF0000"/>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b/>
      <sz val="18"/>
      <color theme="1"/>
      <name val="Calibri"/>
      <family val="2"/>
      <scheme val="minor"/>
    </font>
    <font>
      <sz val="14"/>
      <color theme="1"/>
      <name val="Calibri"/>
      <family val="2"/>
      <scheme val="minor"/>
    </font>
    <font>
      <b/>
      <sz val="36"/>
      <color theme="1"/>
      <name val="Calibri"/>
      <family val="2"/>
      <scheme val="minor"/>
    </font>
    <font>
      <b/>
      <sz val="28"/>
      <color theme="1"/>
      <name val="Calibri"/>
      <family val="2"/>
      <scheme val="minor"/>
    </font>
    <font>
      <b/>
      <sz val="22"/>
      <color theme="1"/>
      <name val="Calibri"/>
      <family val="2"/>
      <scheme val="minor"/>
    </font>
    <font>
      <b/>
      <sz val="8"/>
      <color theme="1"/>
      <name val="Times New Roman"/>
      <family val="1"/>
    </font>
    <font>
      <sz val="8"/>
      <color theme="1"/>
      <name val="Times New Roman"/>
      <family val="1"/>
    </font>
    <font>
      <b/>
      <sz val="10"/>
      <color theme="1"/>
      <name val="Times New Roman"/>
      <family val="1"/>
    </font>
    <font>
      <sz val="10"/>
      <color theme="1"/>
      <name val="Times New Roman"/>
      <family val="1"/>
    </font>
    <font>
      <sz val="48"/>
      <color theme="1"/>
      <name val="Calibri"/>
      <family val="2"/>
      <scheme val="minor"/>
    </font>
    <font>
      <b/>
      <sz val="14"/>
      <color theme="1"/>
      <name val="Calibri"/>
      <family val="2"/>
    </font>
    <font>
      <b/>
      <sz val="26"/>
      <name val="Calibri"/>
      <family val="2"/>
    </font>
    <font>
      <b/>
      <sz val="36"/>
      <name val="Calibri"/>
      <family val="2"/>
    </font>
    <font>
      <b/>
      <sz val="48"/>
      <name val="Calibri"/>
      <family val="2"/>
      <scheme val="minor"/>
    </font>
    <font>
      <b/>
      <sz val="14"/>
      <color theme="1"/>
      <name val="Calibri"/>
      <family val="2"/>
      <scheme val="minor"/>
    </font>
    <font>
      <b/>
      <sz val="85"/>
      <name val="Bodoni MT"/>
      <family val="1"/>
    </font>
    <font>
      <b/>
      <sz val="14"/>
      <color rgb="FFFF0000"/>
      <name val="Calibri"/>
      <family val="2"/>
    </font>
    <font>
      <b/>
      <i/>
      <sz val="45"/>
      <color theme="1"/>
      <name val="Calibri"/>
      <family val="2"/>
      <scheme val="minor"/>
    </font>
    <font>
      <sz val="26"/>
      <color theme="1"/>
      <name val="Calibri"/>
      <family val="2"/>
      <scheme val="minor"/>
    </font>
    <font>
      <sz val="28"/>
      <color theme="1"/>
      <name val="Calibri"/>
      <family val="2"/>
      <scheme val="minor"/>
    </font>
    <font>
      <b/>
      <sz val="16"/>
      <name val="Calibri"/>
      <family val="2"/>
    </font>
    <font>
      <b/>
      <sz val="11"/>
      <color rgb="FFFF0000"/>
      <name val="Calibri"/>
      <family val="2"/>
      <scheme val="minor"/>
    </font>
    <font>
      <sz val="16"/>
      <name val="Calibri"/>
      <family val="2"/>
    </font>
    <font>
      <sz val="16"/>
      <name val="Calibri"/>
      <family val="2"/>
      <scheme val="minor"/>
    </font>
    <font>
      <b/>
      <i/>
      <sz val="16"/>
      <name val="Calibri"/>
      <family val="2"/>
    </font>
    <font>
      <b/>
      <sz val="16"/>
      <name val="Calibri"/>
      <family val="2"/>
      <scheme val="minor"/>
    </font>
    <font>
      <sz val="36"/>
      <name val="Calibri"/>
      <family val="2"/>
    </font>
    <font>
      <sz val="36"/>
      <name val="Calibri"/>
      <family val="2"/>
      <scheme val="minor"/>
    </font>
    <font>
      <b/>
      <sz val="12"/>
      <color theme="1"/>
      <name val="Times New Roman"/>
      <family val="1"/>
    </font>
    <font>
      <b/>
      <sz val="12"/>
      <color rgb="FFFF0000"/>
      <name val="Times New Roman"/>
      <family val="1"/>
    </font>
    <font>
      <sz val="14"/>
      <name val="Arial"/>
      <family val="2"/>
    </font>
    <font>
      <sz val="14"/>
      <name val="Calibri"/>
      <family val="2"/>
    </font>
    <font>
      <b/>
      <sz val="14"/>
      <name val="Calibri"/>
      <family val="2"/>
    </font>
    <font>
      <sz val="14"/>
      <name val="Calibri"/>
      <family val="2"/>
      <scheme val="minor"/>
    </font>
    <font>
      <b/>
      <sz val="14"/>
      <name val="Calibri"/>
      <family val="2"/>
      <scheme val="minor"/>
    </font>
    <font>
      <b/>
      <i/>
      <sz val="14"/>
      <name val="Calibri"/>
      <family val="2"/>
    </font>
    <font>
      <sz val="38"/>
      <name val="Calibri"/>
      <family val="2"/>
    </font>
    <font>
      <b/>
      <sz val="38"/>
      <name val="Calibri"/>
      <family val="2"/>
    </font>
    <font>
      <b/>
      <sz val="38"/>
      <name val="Calibri"/>
      <family val="2"/>
      <scheme val="minor"/>
    </font>
    <font>
      <sz val="38"/>
      <name val="Calibri"/>
      <family val="2"/>
      <scheme val="minor"/>
    </font>
    <font>
      <b/>
      <sz val="34"/>
      <name val="Calibri"/>
      <family val="2"/>
    </font>
    <font>
      <sz val="34"/>
      <name val="Calibri"/>
      <family val="2"/>
    </font>
    <font>
      <sz val="15"/>
      <name val="Calibri"/>
      <family val="2"/>
    </font>
    <font>
      <b/>
      <sz val="15"/>
      <name val="Calibri"/>
      <family val="2"/>
    </font>
    <font>
      <sz val="15"/>
      <name val="Calibri"/>
      <family val="2"/>
      <scheme val="minor"/>
    </font>
    <font>
      <b/>
      <sz val="15"/>
      <name val="Calibri"/>
      <family val="2"/>
      <scheme val="minor"/>
    </font>
    <font>
      <b/>
      <i/>
      <sz val="15"/>
      <name val="Calibri"/>
      <family val="2"/>
    </font>
    <font>
      <sz val="15"/>
      <name val="Arial"/>
      <family val="2"/>
    </font>
    <font>
      <sz val="15"/>
      <name val="Calibri Light"/>
      <family val="2"/>
    </font>
    <font>
      <b/>
      <sz val="48"/>
      <name val="Calibri"/>
      <family val="2"/>
    </font>
    <font>
      <sz val="18"/>
      <name val="Calibri"/>
      <family val="2"/>
    </font>
    <font>
      <b/>
      <sz val="18"/>
      <name val="Calibri"/>
      <family val="2"/>
    </font>
    <font>
      <b/>
      <sz val="18"/>
      <name val="Calibri"/>
      <family val="2"/>
      <scheme val="minor"/>
    </font>
    <font>
      <sz val="18"/>
      <name val="Calibri"/>
      <family val="2"/>
      <scheme val="minor"/>
    </font>
    <font>
      <b/>
      <i/>
      <sz val="18"/>
      <name val="Calibri"/>
      <family val="2"/>
    </font>
    <font>
      <b/>
      <sz val="26"/>
      <color theme="1"/>
      <name val="Calibri"/>
      <family val="2"/>
      <scheme val="minor"/>
    </font>
    <font>
      <b/>
      <sz val="26"/>
      <color rgb="FFFF0000"/>
      <name val="Calibri"/>
      <family val="2"/>
      <scheme val="minor"/>
    </font>
    <font>
      <b/>
      <sz val="40"/>
      <name val="Calibri"/>
      <family val="2"/>
    </font>
    <font>
      <b/>
      <sz val="72"/>
      <color rgb="FFFF0000"/>
      <name val="Bodoni MT"/>
      <family val="1"/>
    </font>
    <font>
      <sz val="21"/>
      <name val="Calibri"/>
      <family val="2"/>
    </font>
    <font>
      <b/>
      <sz val="21"/>
      <name val="Calibri"/>
      <family val="2"/>
    </font>
    <font>
      <b/>
      <sz val="21"/>
      <name val="Calibri"/>
      <family val="2"/>
      <scheme val="minor"/>
    </font>
    <font>
      <sz val="21"/>
      <name val="Calibri"/>
      <family val="2"/>
      <scheme val="minor"/>
    </font>
    <font>
      <b/>
      <sz val="20"/>
      <name val="Calibri"/>
      <family val="2"/>
    </font>
    <font>
      <sz val="20"/>
      <name val="Calibri"/>
      <family val="2"/>
    </font>
    <font>
      <b/>
      <sz val="26"/>
      <name val="Calibri"/>
      <family val="2"/>
      <scheme val="minor"/>
    </font>
    <font>
      <sz val="11"/>
      <color theme="1"/>
      <name val="Calibri"/>
      <family val="2"/>
      <scheme val="minor"/>
    </font>
    <font>
      <sz val="15"/>
      <color theme="1"/>
      <name val="Calibri"/>
      <family val="2"/>
      <scheme val="minor"/>
    </font>
    <font>
      <sz val="20"/>
      <color theme="1"/>
      <name val="Calibri"/>
      <family val="2"/>
      <scheme val="minor"/>
    </font>
    <font>
      <b/>
      <sz val="36"/>
      <name val="Calibri"/>
      <family val="2"/>
      <scheme val="minor"/>
    </font>
    <font>
      <b/>
      <sz val="24"/>
      <name val="Times New Roman"/>
      <family val="1"/>
    </font>
    <font>
      <b/>
      <sz val="34"/>
      <name val="Calibri"/>
      <family val="2"/>
      <scheme val="minor"/>
    </font>
    <font>
      <b/>
      <sz val="18"/>
      <color theme="1"/>
      <name val="Times New Roman"/>
      <family val="1"/>
    </font>
    <font>
      <sz val="18"/>
      <color theme="1"/>
      <name val="Times New Roman"/>
      <family val="1"/>
    </font>
    <font>
      <b/>
      <sz val="20"/>
      <color theme="1"/>
      <name val="Calibri"/>
      <family val="2"/>
      <scheme val="minor"/>
    </font>
    <font>
      <b/>
      <sz val="20"/>
      <color rgb="FFFF0000"/>
      <name val="Calibri"/>
      <family val="2"/>
    </font>
    <font>
      <b/>
      <sz val="75"/>
      <name val="Bodoni MT"/>
      <family val="1"/>
    </font>
    <font>
      <b/>
      <sz val="75"/>
      <color theme="1"/>
      <name val="Bodoni MT"/>
      <family val="1"/>
    </font>
    <font>
      <b/>
      <sz val="72"/>
      <name val="Bodoni MT"/>
      <family val="1"/>
    </font>
    <font>
      <sz val="35"/>
      <name val="Calibri"/>
      <family val="2"/>
    </font>
    <font>
      <b/>
      <sz val="35"/>
      <name val="Calibri"/>
      <family val="2"/>
    </font>
    <font>
      <b/>
      <sz val="35"/>
      <name val="Calibri"/>
      <family val="2"/>
      <scheme val="minor"/>
    </font>
    <font>
      <sz val="35"/>
      <name val="Calibri"/>
      <family val="2"/>
      <scheme val="minor"/>
    </font>
    <font>
      <b/>
      <sz val="14"/>
      <color theme="2"/>
      <name val="Calibri"/>
      <family val="2"/>
    </font>
    <font>
      <b/>
      <sz val="100"/>
      <color rgb="FFFF0000"/>
      <name val="Bodoni MT"/>
      <family val="1"/>
    </font>
    <font>
      <sz val="25"/>
      <name val="Calibri"/>
      <family val="2"/>
    </font>
    <font>
      <b/>
      <sz val="25"/>
      <name val="Calibri"/>
      <family val="2"/>
    </font>
    <font>
      <sz val="25"/>
      <name val="Calibri"/>
      <family val="2"/>
      <scheme val="minor"/>
    </font>
    <font>
      <b/>
      <sz val="28"/>
      <color rgb="FFFF0000"/>
      <name val="Calibri"/>
      <family val="2"/>
      <scheme val="minor"/>
    </font>
    <font>
      <b/>
      <sz val="20"/>
      <color rgb="FF0C343D"/>
      <name val="Calibri"/>
      <family val="2"/>
      <scheme val="minor"/>
    </font>
    <font>
      <b/>
      <sz val="28"/>
      <color theme="1"/>
      <name val="Calibri"/>
      <family val="2"/>
    </font>
    <font>
      <b/>
      <sz val="28"/>
      <name val="Calibri"/>
      <family val="2"/>
    </font>
    <font>
      <b/>
      <sz val="28"/>
      <color rgb="FFFF0000"/>
      <name val="Calibri"/>
      <family val="2"/>
    </font>
    <font>
      <sz val="28"/>
      <color theme="1"/>
      <name val="Calibri"/>
      <family val="2"/>
    </font>
    <font>
      <b/>
      <sz val="28"/>
      <color rgb="FF0000FF"/>
      <name val="Calibri"/>
      <family val="2"/>
    </font>
    <font>
      <b/>
      <sz val="28"/>
      <color rgb="FF0000FF"/>
      <name val="Calibri"/>
      <family val="2"/>
      <scheme val="minor"/>
    </font>
    <font>
      <b/>
      <sz val="40"/>
      <name val="Calibri"/>
      <family val="2"/>
      <scheme val="minor"/>
    </font>
    <font>
      <b/>
      <sz val="40"/>
      <color rgb="FFFF0000"/>
      <name val="Calibri"/>
      <family val="2"/>
      <scheme val="minor"/>
    </font>
    <font>
      <b/>
      <sz val="40"/>
      <color rgb="FFFF0000"/>
      <name val="Calibri"/>
      <family val="2"/>
    </font>
    <font>
      <b/>
      <sz val="85"/>
      <color rgb="FFFF0000"/>
      <name val="Bodoni MT"/>
      <family val="1"/>
    </font>
    <font>
      <sz val="35"/>
      <color theme="1"/>
      <name val="Calibri"/>
      <family val="2"/>
      <scheme val="minor"/>
    </font>
    <font>
      <b/>
      <sz val="20"/>
      <color theme="1"/>
      <name val="Times New Roman"/>
      <family val="1"/>
    </font>
    <font>
      <sz val="20"/>
      <color theme="1"/>
      <name val="Times New Roman"/>
      <family val="1"/>
    </font>
    <font>
      <b/>
      <sz val="25"/>
      <color rgb="FFFF0000"/>
      <name val="Calibri"/>
      <family val="2"/>
      <scheme val="minor"/>
    </font>
  </fonts>
  <fills count="70">
    <fill>
      <patternFill patternType="none"/>
    </fill>
    <fill>
      <patternFill patternType="gray125"/>
    </fill>
    <fill>
      <patternFill patternType="solid">
        <fgColor rgb="FFBDD6EE"/>
        <bgColor rgb="FFBDD6EE"/>
      </patternFill>
    </fill>
    <fill>
      <patternFill patternType="solid">
        <fgColor rgb="FFFFFF00"/>
        <bgColor rgb="FFFFFF00"/>
      </patternFill>
    </fill>
    <fill>
      <patternFill patternType="solid">
        <fgColor rgb="FF00B050"/>
        <bgColor rgb="FF00B050"/>
      </patternFill>
    </fill>
    <fill>
      <patternFill patternType="solid">
        <fgColor rgb="FFC55A11"/>
        <bgColor rgb="FFC55A11"/>
      </patternFill>
    </fill>
    <fill>
      <patternFill patternType="solid">
        <fgColor rgb="FFF4B083"/>
        <bgColor rgb="FFF4B083"/>
      </patternFill>
    </fill>
    <fill>
      <patternFill patternType="solid">
        <fgColor rgb="FF2E75B5"/>
        <bgColor rgb="FF2E75B5"/>
      </patternFill>
    </fill>
    <fill>
      <patternFill patternType="solid">
        <fgColor rgb="FF0070C0"/>
        <bgColor rgb="FF0070C0"/>
      </patternFill>
    </fill>
    <fill>
      <patternFill patternType="solid">
        <fgColor rgb="FFFFFFFF"/>
        <bgColor rgb="FFFFFFFF"/>
      </patternFill>
    </fill>
    <fill>
      <patternFill patternType="solid">
        <fgColor rgb="FFDADADA"/>
        <bgColor rgb="FFDADADA"/>
      </patternFill>
    </fill>
    <fill>
      <patternFill patternType="solid">
        <fgColor rgb="FFD0CECE"/>
        <bgColor rgb="FFD0CECE"/>
      </patternFill>
    </fill>
    <fill>
      <patternFill patternType="solid">
        <fgColor rgb="FFFFFF00"/>
        <bgColor indexed="64"/>
      </patternFill>
    </fill>
    <fill>
      <patternFill patternType="solid">
        <fgColor theme="0"/>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rgb="FFFF0000"/>
        <bgColor indexed="64"/>
      </patternFill>
    </fill>
    <fill>
      <patternFill patternType="solid">
        <fgColor rgb="FF00B050"/>
        <bgColor indexed="64"/>
      </patternFill>
    </fill>
    <fill>
      <patternFill patternType="solid">
        <fgColor rgb="FFA9D08E"/>
        <bgColor indexed="64"/>
      </patternFill>
    </fill>
    <fill>
      <patternFill patternType="solid">
        <fgColor rgb="FFF8CBAD"/>
        <bgColor indexed="64"/>
      </patternFill>
    </fill>
    <fill>
      <patternFill patternType="solid">
        <fgColor rgb="FF92D050"/>
        <bgColor indexed="64"/>
      </patternFill>
    </fill>
    <fill>
      <patternFill patternType="solid">
        <fgColor rgb="FFF6C5AC"/>
        <bgColor indexed="64"/>
      </patternFill>
    </fill>
    <fill>
      <patternFill patternType="solid">
        <fgColor rgb="FFFFFF00"/>
        <bgColor rgb="FFFFFFFF"/>
      </patternFill>
    </fill>
    <fill>
      <patternFill patternType="solid">
        <fgColor rgb="FF00B050"/>
        <bgColor rgb="FFF4B083"/>
      </patternFill>
    </fill>
    <fill>
      <patternFill patternType="solid">
        <fgColor rgb="FFFFFF00"/>
        <bgColor rgb="FFF4B083"/>
      </patternFill>
    </fill>
    <fill>
      <patternFill patternType="solid">
        <fgColor theme="0"/>
        <bgColor rgb="FFF4B083"/>
      </patternFill>
    </fill>
    <fill>
      <patternFill patternType="solid">
        <fgColor theme="5" tint="0.39997558519241921"/>
        <bgColor rgb="FF00B050"/>
      </patternFill>
    </fill>
    <fill>
      <patternFill patternType="solid">
        <fgColor theme="5" tint="0.39997558519241921"/>
        <bgColor rgb="FFF4B083"/>
      </patternFill>
    </fill>
    <fill>
      <patternFill patternType="solid">
        <fgColor theme="4" tint="-0.249977111117893"/>
        <bgColor rgb="FF00B050"/>
      </patternFill>
    </fill>
    <fill>
      <patternFill patternType="solid">
        <fgColor theme="4" tint="-0.249977111117893"/>
        <bgColor rgb="FFF4B083"/>
      </patternFill>
    </fill>
    <fill>
      <patternFill patternType="solid">
        <fgColor theme="4" tint="-0.249977111117893"/>
        <bgColor rgb="FF2E75B5"/>
      </patternFill>
    </fill>
    <fill>
      <patternFill patternType="solid">
        <fgColor theme="0"/>
        <bgColor rgb="FF00B050"/>
      </patternFill>
    </fill>
    <fill>
      <patternFill patternType="solid">
        <fgColor theme="0"/>
        <bgColor rgb="FF2E75B5"/>
      </patternFill>
    </fill>
    <fill>
      <patternFill patternType="solid">
        <fgColor theme="5" tint="0.39997558519241921"/>
        <bgColor rgb="FF2E75B5"/>
      </patternFill>
    </fill>
    <fill>
      <patternFill patternType="solid">
        <fgColor theme="4" tint="-0.249977111117893"/>
        <bgColor indexed="64"/>
      </patternFill>
    </fill>
    <fill>
      <patternFill patternType="solid">
        <fgColor theme="0"/>
        <bgColor rgb="FFFFFFFF"/>
      </patternFill>
    </fill>
    <fill>
      <patternFill patternType="solid">
        <fgColor theme="2" tint="-4.9989318521683403E-2"/>
        <bgColor indexed="64"/>
      </patternFill>
    </fill>
    <fill>
      <patternFill patternType="solid">
        <fgColor rgb="FF0070C0"/>
        <bgColor indexed="64"/>
      </patternFill>
    </fill>
    <fill>
      <patternFill patternType="solid">
        <fgColor theme="2" tint="-0.14999847407452621"/>
        <bgColor indexed="64"/>
      </patternFill>
    </fill>
    <fill>
      <patternFill patternType="solid">
        <fgColor rgb="FFCC0066"/>
        <bgColor indexed="64"/>
      </patternFill>
    </fill>
    <fill>
      <patternFill patternType="solid">
        <fgColor rgb="FFFFFF00"/>
        <bgColor rgb="FF2F5496"/>
      </patternFill>
    </fill>
    <fill>
      <patternFill patternType="solid">
        <fgColor theme="2"/>
        <bgColor rgb="FFFFFFFF"/>
      </patternFill>
    </fill>
    <fill>
      <patternFill patternType="solid">
        <fgColor theme="2"/>
        <bgColor indexed="64"/>
      </patternFill>
    </fill>
    <fill>
      <patternFill patternType="solid">
        <fgColor rgb="FFCC0066"/>
        <bgColor rgb="FFF4B083"/>
      </patternFill>
    </fill>
    <fill>
      <patternFill patternType="solid">
        <fgColor theme="0" tint="-0.14999847407452621"/>
        <bgColor indexed="64"/>
      </patternFill>
    </fill>
    <fill>
      <patternFill patternType="solid">
        <fgColor theme="2" tint="-0.34998626667073579"/>
        <bgColor indexed="64"/>
      </patternFill>
    </fill>
    <fill>
      <patternFill patternType="solid">
        <fgColor theme="2" tint="-0.249977111117893"/>
        <bgColor indexed="64"/>
      </patternFill>
    </fill>
    <fill>
      <patternFill patternType="solid">
        <fgColor rgb="FFCC0066"/>
        <bgColor rgb="FF00B050"/>
      </patternFill>
    </fill>
    <fill>
      <patternFill patternType="solid">
        <fgColor theme="5" tint="0.79998168889431442"/>
        <bgColor indexed="64"/>
      </patternFill>
    </fill>
    <fill>
      <patternFill patternType="solid">
        <fgColor theme="7" tint="-0.249977111117893"/>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5" tint="0.79998168889431442"/>
        <bgColor rgb="FFFFFF00"/>
      </patternFill>
    </fill>
    <fill>
      <patternFill patternType="solid">
        <fgColor rgb="FFFFFF00"/>
        <bgColor rgb="FF00B050"/>
      </patternFill>
    </fill>
    <fill>
      <patternFill patternType="solid">
        <fgColor theme="5" tint="0.79998168889431442"/>
        <bgColor rgb="FF2F5496"/>
      </patternFill>
    </fill>
    <fill>
      <patternFill patternType="solid">
        <fgColor rgb="FF00B0F0"/>
        <bgColor rgb="FF00B050"/>
      </patternFill>
    </fill>
    <fill>
      <patternFill patternType="solid">
        <fgColor theme="2" tint="-0.249977111117893"/>
        <bgColor rgb="FFF4B083"/>
      </patternFill>
    </fill>
    <fill>
      <patternFill patternType="solid">
        <fgColor theme="2" tint="-0.249977111117893"/>
        <bgColor rgb="FF00B050"/>
      </patternFill>
    </fill>
    <fill>
      <patternFill patternType="solid">
        <fgColor theme="0" tint="-0.249977111117893"/>
        <bgColor rgb="FF00B050"/>
      </patternFill>
    </fill>
    <fill>
      <patternFill patternType="solid">
        <fgColor rgb="FF0070C0"/>
        <bgColor rgb="FF2F5496"/>
      </patternFill>
    </fill>
    <fill>
      <patternFill patternType="solid">
        <fgColor theme="4" tint="0.59999389629810485"/>
        <bgColor indexed="64"/>
      </patternFill>
    </fill>
    <fill>
      <patternFill patternType="solid">
        <fgColor theme="2" tint="-0.14999847407452621"/>
        <bgColor rgb="FFD0CECE"/>
      </patternFill>
    </fill>
    <fill>
      <patternFill patternType="solid">
        <fgColor theme="9" tint="0.59999389629810485"/>
        <bgColor indexed="64"/>
      </patternFill>
    </fill>
    <fill>
      <patternFill patternType="solid">
        <fgColor theme="0"/>
        <bgColor rgb="FFEFEFEF"/>
      </patternFill>
    </fill>
    <fill>
      <patternFill patternType="solid">
        <fgColor theme="0"/>
        <bgColor rgb="FF9CC2E5"/>
      </patternFill>
    </fill>
    <fill>
      <patternFill patternType="solid">
        <fgColor theme="0"/>
        <bgColor rgb="FFCFE2F3"/>
      </patternFill>
    </fill>
    <fill>
      <patternFill patternType="solid">
        <fgColor theme="0"/>
        <bgColor rgb="FF6AA84F"/>
      </patternFill>
    </fill>
    <fill>
      <patternFill patternType="solid">
        <fgColor theme="0"/>
        <bgColor rgb="FFC9DAF8"/>
      </patternFill>
    </fill>
  </fills>
  <borders count="176">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000000"/>
      </bottom>
      <diagonal/>
    </border>
    <border>
      <left style="medium">
        <color rgb="FFCCCCCC"/>
      </left>
      <right style="medium">
        <color rgb="FFCCCCCC"/>
      </right>
      <top style="medium">
        <color rgb="FFCCCCCC"/>
      </top>
      <bottom/>
      <diagonal/>
    </border>
    <border>
      <left style="medium">
        <color rgb="FFCCCCCC"/>
      </left>
      <right style="medium">
        <color rgb="FF000000"/>
      </right>
      <top style="medium">
        <color rgb="FFCCCCCC"/>
      </top>
      <bottom style="medium">
        <color rgb="FFCCCCCC"/>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BF4F14"/>
      </right>
      <top style="medium">
        <color rgb="FFCCCCCC"/>
      </top>
      <bottom style="medium">
        <color rgb="FFCCCCCC"/>
      </bottom>
      <diagonal/>
    </border>
    <border>
      <left style="medium">
        <color rgb="FF000000"/>
      </left>
      <right style="medium">
        <color rgb="FF000000"/>
      </right>
      <top style="medium">
        <color rgb="FF000000"/>
      </top>
      <bottom/>
      <diagonal/>
    </border>
    <border>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medium">
        <color rgb="FFCCCCCC"/>
      </right>
      <top style="medium">
        <color rgb="FFCCCCCC"/>
      </top>
      <bottom style="medium">
        <color rgb="FFCCCCCC"/>
      </bottom>
      <diagonal/>
    </border>
    <border>
      <left style="medium">
        <color rgb="FFCCCCCC"/>
      </left>
      <right/>
      <top style="medium">
        <color rgb="FFCCCCCC"/>
      </top>
      <bottom style="medium">
        <color rgb="FF000000"/>
      </bottom>
      <diagonal/>
    </border>
    <border>
      <left style="medium">
        <color rgb="FFCCCCCC"/>
      </left>
      <right/>
      <top style="medium">
        <color rgb="FFCCCCCC"/>
      </top>
      <bottom/>
      <diagonal/>
    </border>
    <border>
      <left/>
      <right/>
      <top/>
      <bottom style="medium">
        <color rgb="FF000000"/>
      </bottom>
      <diagonal/>
    </border>
    <border>
      <left style="medium">
        <color rgb="FFCCCCCC"/>
      </left>
      <right/>
      <top/>
      <bottom style="medium">
        <color rgb="FF000000"/>
      </bottom>
      <diagonal/>
    </border>
    <border>
      <left style="medium">
        <color rgb="FFCCCCCC"/>
      </left>
      <right style="medium">
        <color rgb="FFCCCCCC"/>
      </right>
      <top/>
      <bottom style="medium">
        <color rgb="FFCCCCCC"/>
      </bottom>
      <diagonal/>
    </border>
    <border>
      <left/>
      <right style="medium">
        <color rgb="FF000000"/>
      </right>
      <top style="medium">
        <color rgb="FF000000"/>
      </top>
      <bottom/>
      <diagonal/>
    </border>
    <border>
      <left style="medium">
        <color rgb="FFCCCCCC"/>
      </left>
      <right/>
      <top style="medium">
        <color rgb="FFCCCCCC"/>
      </top>
      <bottom style="medium">
        <color rgb="FFCCCCCC"/>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rgb="FF000000"/>
      </right>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rgb="FF000000"/>
      </left>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rgb="FFCCCCCC"/>
      </right>
      <top style="medium">
        <color rgb="FFCCCCCC"/>
      </top>
      <bottom/>
      <diagonal/>
    </border>
    <border>
      <left/>
      <right/>
      <top style="medium">
        <color rgb="FF000000"/>
      </top>
      <bottom/>
      <diagonal/>
    </border>
    <border>
      <left style="thin">
        <color indexed="64"/>
      </left>
      <right style="thin">
        <color indexed="64"/>
      </right>
      <top/>
      <bottom style="thin">
        <color indexed="64"/>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CCCCCC"/>
      </left>
      <right style="medium">
        <color indexed="64"/>
      </right>
      <top style="medium">
        <color rgb="FFCCCCCC"/>
      </top>
      <bottom style="medium">
        <color rgb="FF000000"/>
      </bottom>
      <diagonal/>
    </border>
    <border>
      <left style="medium">
        <color indexed="64"/>
      </left>
      <right style="medium">
        <color rgb="FF000000"/>
      </right>
      <top style="medium">
        <color rgb="FFCCCCCC"/>
      </top>
      <bottom style="medium">
        <color rgb="FF000000"/>
      </bottom>
      <diagonal/>
    </border>
    <border>
      <left style="medium">
        <color rgb="FFCCCCCC"/>
      </left>
      <right style="medium">
        <color indexed="64"/>
      </right>
      <top style="medium">
        <color rgb="FFCCCCCC"/>
      </top>
      <bottom/>
      <diagonal/>
    </border>
    <border>
      <left style="thin">
        <color rgb="FF000000"/>
      </left>
      <right style="medium">
        <color indexed="64"/>
      </right>
      <top style="thin">
        <color rgb="FF000000"/>
      </top>
      <bottom style="thin">
        <color rgb="FF000000"/>
      </bottom>
      <diagonal/>
    </border>
    <border>
      <left style="medium">
        <color rgb="FFCCCCCC"/>
      </left>
      <right style="medium">
        <color indexed="64"/>
      </right>
      <top/>
      <bottom style="medium">
        <color rgb="FF000000"/>
      </bottom>
      <diagonal/>
    </border>
    <border>
      <left style="medium">
        <color indexed="64"/>
      </left>
      <right style="medium">
        <color rgb="FF000000"/>
      </right>
      <top style="medium">
        <color rgb="FFCCCCCC"/>
      </top>
      <bottom style="medium">
        <color indexed="64"/>
      </bottom>
      <diagonal/>
    </border>
    <border>
      <left style="medium">
        <color rgb="FFCCCCCC"/>
      </left>
      <right style="medium">
        <color rgb="FF000000"/>
      </right>
      <top style="medium">
        <color rgb="FFCCCCCC"/>
      </top>
      <bottom style="medium">
        <color indexed="64"/>
      </bottom>
      <diagonal/>
    </border>
    <border>
      <left style="medium">
        <color rgb="FFCCCCCC"/>
      </left>
      <right style="medium">
        <color indexed="64"/>
      </right>
      <top style="medium">
        <color rgb="FFCCCCCC"/>
      </top>
      <bottom style="medium">
        <color indexed="64"/>
      </bottom>
      <diagonal/>
    </border>
    <border>
      <left style="medium">
        <color indexed="64"/>
      </left>
      <right style="medium">
        <color rgb="FF000000"/>
      </right>
      <top style="medium">
        <color rgb="FFCCCCCC"/>
      </top>
      <bottom/>
      <diagonal/>
    </border>
    <border>
      <left style="medium">
        <color indexed="64"/>
      </left>
      <right/>
      <top style="medium">
        <color rgb="FF000000"/>
      </top>
      <bottom/>
      <diagonal/>
    </border>
    <border>
      <left style="thin">
        <color rgb="FF000000"/>
      </left>
      <right style="medium">
        <color indexed="64"/>
      </right>
      <top style="thin">
        <color rgb="FF000000"/>
      </top>
      <bottom/>
      <diagonal/>
    </border>
    <border>
      <left style="medium">
        <color indexed="64"/>
      </left>
      <right style="medium">
        <color rgb="FF000000"/>
      </right>
      <top/>
      <bottom/>
      <diagonal/>
    </border>
    <border>
      <left style="medium">
        <color rgb="FFCCCCCC"/>
      </left>
      <right/>
      <top/>
      <bottom/>
      <diagonal/>
    </border>
    <border>
      <left style="medium">
        <color indexed="64"/>
      </left>
      <right/>
      <top/>
      <bottom style="medium">
        <color rgb="FF000000"/>
      </bottom>
      <diagonal/>
    </border>
    <border>
      <left style="medium">
        <color indexed="64"/>
      </left>
      <right style="medium">
        <color rgb="FF000000"/>
      </right>
      <top style="medium">
        <color indexed="64"/>
      </top>
      <bottom style="medium">
        <color indexed="64"/>
      </bottom>
      <diagonal/>
    </border>
    <border>
      <left style="medium">
        <color rgb="FFCCCCCC"/>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style="medium">
        <color rgb="FFCCCCCC"/>
      </top>
      <bottom style="medium">
        <color rgb="FF000000"/>
      </bottom>
      <diagonal/>
    </border>
    <border>
      <left style="medium">
        <color indexed="64"/>
      </left>
      <right style="medium">
        <color indexed="64"/>
      </right>
      <top style="medium">
        <color rgb="FFCCCCCC"/>
      </top>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CCCCCC"/>
      </top>
      <bottom style="medium">
        <color indexed="64"/>
      </bottom>
      <diagonal/>
    </border>
    <border>
      <left style="thin">
        <color rgb="FF000000"/>
      </left>
      <right style="medium">
        <color indexed="64"/>
      </right>
      <top/>
      <bottom style="thin">
        <color rgb="FF000000"/>
      </bottom>
      <diagonal/>
    </border>
    <border>
      <left style="medium">
        <color indexed="64"/>
      </left>
      <right style="medium">
        <color rgb="FF000000"/>
      </right>
      <top/>
      <bottom style="medium">
        <color rgb="FF000000"/>
      </bottom>
      <diagonal/>
    </border>
    <border>
      <left style="medium">
        <color indexed="64"/>
      </left>
      <right style="medium">
        <color indexed="64"/>
      </right>
      <top/>
      <bottom style="thin">
        <color rgb="FF000000"/>
      </bottom>
      <diagonal/>
    </border>
    <border>
      <left style="medium">
        <color indexed="64"/>
      </left>
      <right style="medium">
        <color indexed="64"/>
      </right>
      <top style="thin">
        <color rgb="FF000000"/>
      </top>
      <bottom/>
      <diagonal/>
    </border>
    <border>
      <left style="medium">
        <color indexed="64"/>
      </left>
      <right style="medium">
        <color rgb="FF000000"/>
      </right>
      <top style="medium">
        <color indexed="64"/>
      </top>
      <bottom style="medium">
        <color rgb="FF000000"/>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right style="thin">
        <color rgb="FF000000"/>
      </right>
      <top style="thin">
        <color rgb="FF000000"/>
      </top>
      <bottom/>
      <diagonal/>
    </border>
    <border>
      <left/>
      <right style="medium">
        <color rgb="FF000000"/>
      </right>
      <top style="medium">
        <color indexed="64"/>
      </top>
      <bottom style="medium">
        <color rgb="FF000000"/>
      </bottom>
      <diagonal/>
    </border>
    <border>
      <left/>
      <right style="medium">
        <color indexed="64"/>
      </right>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rgb="FFFF0000"/>
      </left>
      <right style="thin">
        <color indexed="64"/>
      </right>
      <top style="thin">
        <color rgb="FFFF0000"/>
      </top>
      <bottom style="thin">
        <color indexed="64"/>
      </bottom>
      <diagonal/>
    </border>
    <border>
      <left style="thin">
        <color indexed="64"/>
      </left>
      <right style="thin">
        <color indexed="64"/>
      </right>
      <top style="thin">
        <color rgb="FFFF0000"/>
      </top>
      <bottom/>
      <diagonal/>
    </border>
    <border>
      <left style="thin">
        <color indexed="64"/>
      </left>
      <right style="thin">
        <color indexed="64"/>
      </right>
      <top style="thin">
        <color rgb="FFFF0000"/>
      </top>
      <bottom style="thin">
        <color indexed="64"/>
      </bottom>
      <diagonal/>
    </border>
    <border>
      <left style="thin">
        <color indexed="64"/>
      </left>
      <right style="thin">
        <color rgb="FFFF0000"/>
      </right>
      <top style="thin">
        <color rgb="FFFF0000"/>
      </top>
      <bottom style="thin">
        <color indexed="64"/>
      </bottom>
      <diagonal/>
    </border>
    <border>
      <left style="thin">
        <color rgb="FFFF0000"/>
      </left>
      <right style="thin">
        <color indexed="64"/>
      </right>
      <top style="thin">
        <color indexed="64"/>
      </top>
      <bottom style="thin">
        <color indexed="64"/>
      </bottom>
      <diagonal/>
    </border>
    <border>
      <left style="thin">
        <color indexed="64"/>
      </left>
      <right style="thin">
        <color rgb="FFFF0000"/>
      </right>
      <top style="thin">
        <color indexed="64"/>
      </top>
      <bottom style="thin">
        <color indexed="64"/>
      </bottom>
      <diagonal/>
    </border>
    <border>
      <left style="thin">
        <color rgb="FFFF0000"/>
      </left>
      <right style="thin">
        <color indexed="64"/>
      </right>
      <top style="thin">
        <color indexed="64"/>
      </top>
      <bottom style="thin">
        <color rgb="FFFF0000"/>
      </bottom>
      <diagonal/>
    </border>
    <border>
      <left style="thin">
        <color indexed="64"/>
      </left>
      <right style="thin">
        <color indexed="64"/>
      </right>
      <top/>
      <bottom style="thin">
        <color rgb="FFFF0000"/>
      </bottom>
      <diagonal/>
    </border>
    <border>
      <left style="thin">
        <color indexed="64"/>
      </left>
      <right style="thin">
        <color indexed="64"/>
      </right>
      <top style="thin">
        <color indexed="64"/>
      </top>
      <bottom style="thin">
        <color rgb="FFFF0000"/>
      </bottom>
      <diagonal/>
    </border>
    <border>
      <left style="thin">
        <color indexed="64"/>
      </left>
      <right style="thin">
        <color rgb="FFFF0000"/>
      </right>
      <top style="thin">
        <color indexed="64"/>
      </top>
      <bottom style="thin">
        <color rgb="FFFF0000"/>
      </bottom>
      <diagonal/>
    </border>
    <border>
      <left style="thin">
        <color indexed="64"/>
      </left>
      <right/>
      <top style="thin">
        <color rgb="FFFF0000"/>
      </top>
      <bottom/>
      <diagonal/>
    </border>
    <border>
      <left style="thin">
        <color indexed="64"/>
      </left>
      <right/>
      <top/>
      <bottom style="thin">
        <color rgb="FFFF0000"/>
      </bottom>
      <diagonal/>
    </border>
    <border>
      <left/>
      <right style="thin">
        <color indexed="64"/>
      </right>
      <top style="thin">
        <color indexed="64"/>
      </top>
      <bottom style="thin">
        <color rgb="FFFF0000"/>
      </bottom>
      <diagonal/>
    </border>
    <border>
      <left style="thin">
        <color rgb="FFFF0000"/>
      </left>
      <right style="thin">
        <color indexed="64"/>
      </right>
      <top/>
      <bottom style="thin">
        <color indexed="64"/>
      </bottom>
      <diagonal/>
    </border>
    <border>
      <left style="thin">
        <color indexed="64"/>
      </left>
      <right style="thin">
        <color rgb="FFFF0000"/>
      </right>
      <top/>
      <bottom style="thin">
        <color indexed="64"/>
      </bottom>
      <diagonal/>
    </border>
    <border>
      <left style="thick">
        <color rgb="FF7030A0"/>
      </left>
      <right style="thick">
        <color rgb="FF7030A0"/>
      </right>
      <top style="thick">
        <color rgb="FF7030A0"/>
      </top>
      <bottom style="thick">
        <color rgb="FF7030A0"/>
      </bottom>
      <diagonal/>
    </border>
    <border>
      <left style="thick">
        <color rgb="FF7030A0"/>
      </left>
      <right style="thin">
        <color indexed="64"/>
      </right>
      <top style="thick">
        <color rgb="FF7030A0"/>
      </top>
      <bottom style="thick">
        <color rgb="FF7030A0"/>
      </bottom>
      <diagonal/>
    </border>
    <border>
      <left style="thin">
        <color indexed="64"/>
      </left>
      <right/>
      <top style="thick">
        <color rgb="FF7030A0"/>
      </top>
      <bottom style="thick">
        <color rgb="FF7030A0"/>
      </bottom>
      <diagonal/>
    </border>
    <border>
      <left/>
      <right style="thin">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rgb="FF000000"/>
      </top>
      <bottom style="medium">
        <color rgb="FF000000"/>
      </bottom>
      <diagonal/>
    </border>
    <border>
      <left style="medium">
        <color indexed="64"/>
      </left>
      <right style="medium">
        <color indexed="64"/>
      </right>
      <top style="medium">
        <color rgb="FF000000"/>
      </top>
      <bottom style="medium">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rgb="FF000000"/>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CCCCCC"/>
      </left>
      <right style="medium">
        <color indexed="64"/>
      </right>
      <top style="medium">
        <color indexed="64"/>
      </top>
      <bottom style="medium">
        <color indexed="64"/>
      </bottom>
      <diagonal/>
    </border>
    <border>
      <left/>
      <right/>
      <top/>
      <bottom style="thin">
        <color indexed="64"/>
      </bottom>
      <diagonal/>
    </border>
    <border>
      <left style="medium">
        <color rgb="FFCCCCCC"/>
      </left>
      <right/>
      <top/>
      <bottom style="medium">
        <color rgb="FFCCCCCC"/>
      </bottom>
      <diagonal/>
    </border>
    <border>
      <left style="medium">
        <color indexed="64"/>
      </left>
      <right style="medium">
        <color rgb="FF000000"/>
      </right>
      <top style="medium">
        <color indexed="64"/>
      </top>
      <bottom/>
      <diagonal/>
    </border>
    <border>
      <left style="medium">
        <color rgb="FFCCCCCC"/>
      </left>
      <right/>
      <top style="medium">
        <color indexed="64"/>
      </top>
      <bottom/>
      <diagonal/>
    </border>
    <border>
      <left style="medium">
        <color indexed="64"/>
      </left>
      <right style="medium">
        <color rgb="FF000000"/>
      </right>
      <top style="medium">
        <color rgb="FF000000"/>
      </top>
      <bottom style="medium">
        <color rgb="FF000000"/>
      </bottom>
      <diagonal/>
    </border>
    <border>
      <left/>
      <right style="medium">
        <color rgb="FF000000"/>
      </right>
      <top style="medium">
        <color rgb="FF000000"/>
      </top>
      <bottom style="medium">
        <color indexed="64"/>
      </bottom>
      <diagonal/>
    </border>
    <border>
      <left style="medium">
        <color indexed="64"/>
      </left>
      <right/>
      <top style="thin">
        <color indexed="64"/>
      </top>
      <bottom/>
      <diagonal/>
    </border>
    <border>
      <left/>
      <right style="medium">
        <color rgb="FF000000"/>
      </right>
      <top style="medium">
        <color indexed="64"/>
      </top>
      <bottom/>
      <diagonal/>
    </border>
    <border>
      <left/>
      <right/>
      <top/>
      <bottom style="medium">
        <color indexed="64"/>
      </bottom>
      <diagonal/>
    </border>
    <border>
      <left style="medium">
        <color indexed="64"/>
      </left>
      <right style="medium">
        <color indexed="64"/>
      </right>
      <top style="medium">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rgb="FF000000"/>
      </top>
      <bottom/>
      <diagonal/>
    </border>
    <border>
      <left/>
      <right/>
      <top/>
      <bottom style="thin">
        <color rgb="FF000000"/>
      </bottom>
      <diagonal/>
    </border>
    <border>
      <left/>
      <right style="medium">
        <color rgb="FF000000"/>
      </right>
      <top/>
      <bottom/>
      <diagonal/>
    </border>
    <border>
      <left style="medium">
        <color rgb="FF663997"/>
      </left>
      <right style="thin">
        <color rgb="FF000000"/>
      </right>
      <top style="medium">
        <color rgb="FF663997"/>
      </top>
      <bottom style="thin">
        <color rgb="FF000000"/>
      </bottom>
      <diagonal/>
    </border>
    <border>
      <left style="thin">
        <color rgb="FF000000"/>
      </left>
      <right style="thin">
        <color rgb="FF000000"/>
      </right>
      <top style="medium">
        <color rgb="FF663997"/>
      </top>
      <bottom style="thin">
        <color rgb="FF000000"/>
      </bottom>
      <diagonal/>
    </border>
    <border>
      <left style="thin">
        <color rgb="FF000000"/>
      </left>
      <right/>
      <top style="medium">
        <color rgb="FF663997"/>
      </top>
      <bottom style="thin">
        <color rgb="FF000000"/>
      </bottom>
      <diagonal/>
    </border>
    <border>
      <left style="thin">
        <color indexed="64"/>
      </left>
      <right style="thin">
        <color indexed="64"/>
      </right>
      <top style="medium">
        <color rgb="FF663997"/>
      </top>
      <bottom style="thin">
        <color indexed="64"/>
      </bottom>
      <diagonal/>
    </border>
    <border>
      <left/>
      <right style="thin">
        <color rgb="FF000000"/>
      </right>
      <top style="medium">
        <color rgb="FF663997"/>
      </top>
      <bottom style="thin">
        <color rgb="FF000000"/>
      </bottom>
      <diagonal/>
    </border>
    <border>
      <left style="thin">
        <color rgb="FF000000"/>
      </left>
      <right style="medium">
        <color rgb="FF663997"/>
      </right>
      <top style="medium">
        <color rgb="FF663997"/>
      </top>
      <bottom style="thin">
        <color rgb="FF000000"/>
      </bottom>
      <diagonal/>
    </border>
    <border>
      <left style="medium">
        <color rgb="FF663997"/>
      </left>
      <right style="thin">
        <color rgb="FF000000"/>
      </right>
      <top style="thin">
        <color rgb="FF000000"/>
      </top>
      <bottom/>
      <diagonal/>
    </border>
    <border>
      <left style="thin">
        <color rgb="FF000000"/>
      </left>
      <right style="medium">
        <color rgb="FF663997"/>
      </right>
      <top style="thin">
        <color rgb="FF000000"/>
      </top>
      <bottom style="thin">
        <color rgb="FF000000"/>
      </bottom>
      <diagonal/>
    </border>
    <border>
      <left style="medium">
        <color rgb="FF663997"/>
      </left>
      <right style="thin">
        <color rgb="FF000000"/>
      </right>
      <top style="thin">
        <color rgb="FF000000"/>
      </top>
      <bottom style="thin">
        <color rgb="FF000000"/>
      </bottom>
      <diagonal/>
    </border>
    <border>
      <left style="medium">
        <color rgb="FF663997"/>
      </left>
      <right style="thin">
        <color rgb="FF000000"/>
      </right>
      <top style="thin">
        <color rgb="FF000000"/>
      </top>
      <bottom style="medium">
        <color rgb="FF663997"/>
      </bottom>
      <diagonal/>
    </border>
    <border>
      <left style="thin">
        <color rgb="FF000000"/>
      </left>
      <right style="thin">
        <color rgb="FF000000"/>
      </right>
      <top style="thin">
        <color rgb="FF000000"/>
      </top>
      <bottom style="medium">
        <color rgb="FF663997"/>
      </bottom>
      <diagonal/>
    </border>
    <border>
      <left style="thin">
        <color rgb="FF000000"/>
      </left>
      <right/>
      <top style="thin">
        <color rgb="FF000000"/>
      </top>
      <bottom style="medium">
        <color rgb="FF663997"/>
      </bottom>
      <diagonal/>
    </border>
    <border>
      <left style="thin">
        <color indexed="64"/>
      </left>
      <right style="thin">
        <color indexed="64"/>
      </right>
      <top style="thin">
        <color indexed="64"/>
      </top>
      <bottom style="medium">
        <color rgb="FF663997"/>
      </bottom>
      <diagonal/>
    </border>
    <border>
      <left/>
      <right style="thin">
        <color rgb="FF000000"/>
      </right>
      <top style="thin">
        <color rgb="FF000000"/>
      </top>
      <bottom style="medium">
        <color rgb="FF663997"/>
      </bottom>
      <diagonal/>
    </border>
    <border>
      <left style="thin">
        <color rgb="FF000000"/>
      </left>
      <right style="medium">
        <color rgb="FF663997"/>
      </right>
      <top style="thin">
        <color rgb="FF000000"/>
      </top>
      <bottom style="medium">
        <color rgb="FF663997"/>
      </bottom>
      <diagonal/>
    </border>
    <border>
      <left/>
      <right/>
      <top style="medium">
        <color indexed="64"/>
      </top>
      <bottom/>
      <diagonal/>
    </border>
    <border>
      <left/>
      <right/>
      <top style="medium">
        <color rgb="FFCCCCCC"/>
      </top>
      <bottom style="medium">
        <color rgb="FFCCCCCC"/>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medium">
        <color rgb="FF000000"/>
      </bottom>
      <diagonal/>
    </border>
    <border>
      <left/>
      <right/>
      <top style="medium">
        <color rgb="FF000000"/>
      </top>
      <bottom style="medium">
        <color indexed="64"/>
      </bottom>
      <diagonal/>
    </border>
    <border>
      <left/>
      <right style="medium">
        <color rgb="FFCCCCCC"/>
      </right>
      <top/>
      <bottom style="medium">
        <color rgb="FFCCCCCC"/>
      </bottom>
      <diagonal/>
    </border>
    <border>
      <left/>
      <right style="medium">
        <color indexed="64"/>
      </right>
      <top style="medium">
        <color rgb="FF000000"/>
      </top>
      <bottom style="medium">
        <color indexed="64"/>
      </bottom>
      <diagonal/>
    </border>
    <border>
      <left style="medium">
        <color indexed="64"/>
      </left>
      <right/>
      <top style="medium">
        <color rgb="FF000000"/>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rgb="FF000000"/>
      </left>
      <right style="medium">
        <color rgb="FF000000"/>
      </right>
      <top style="medium">
        <color indexed="64"/>
      </top>
      <bottom/>
      <diagonal/>
    </border>
    <border>
      <left style="thin">
        <color indexed="64"/>
      </left>
      <right/>
      <top style="medium">
        <color indexed="64"/>
      </top>
      <bottom/>
      <diagonal/>
    </border>
    <border>
      <left style="medium">
        <color rgb="FFCCCCCC"/>
      </left>
      <right/>
      <top/>
      <bottom style="medium">
        <color indexed="64"/>
      </bottom>
      <diagonal/>
    </border>
    <border>
      <left/>
      <right style="medium">
        <color rgb="FF000000"/>
      </right>
      <top style="medium">
        <color rgb="FFCCCCCC"/>
      </top>
      <bottom style="medium">
        <color rgb="FF000000"/>
      </bottom>
      <diagonal/>
    </border>
    <border>
      <left/>
      <right/>
      <top style="medium">
        <color rgb="FF663997"/>
      </top>
      <bottom/>
      <diagonal/>
    </border>
  </borders>
  <cellStyleXfs count="5">
    <xf numFmtId="0" fontId="0" fillId="0" borderId="0"/>
    <xf numFmtId="9" fontId="4" fillId="0" borderId="0" applyFont="0" applyFill="0" applyBorder="0" applyAlignment="0" applyProtection="0"/>
    <xf numFmtId="0" fontId="1" fillId="0" borderId="0"/>
    <xf numFmtId="43" fontId="4" fillId="0" borderId="0" applyFont="0" applyFill="0" applyBorder="0" applyAlignment="0" applyProtection="0"/>
    <xf numFmtId="44" fontId="73" fillId="0" borderId="0" applyFont="0" applyFill="0" applyBorder="0" applyAlignment="0" applyProtection="0"/>
  </cellStyleXfs>
  <cellXfs count="1429">
    <xf numFmtId="0" fontId="0" fillId="0" borderId="0" xfId="0" applyFont="1" applyAlignment="1"/>
    <xf numFmtId="0" fontId="5" fillId="12" borderId="24" xfId="0" applyFont="1" applyFill="1" applyBorder="1" applyAlignment="1">
      <alignment horizontal="center" vertical="center" wrapText="1"/>
    </xf>
    <xf numFmtId="0" fontId="0" fillId="0" borderId="24" xfId="0" applyFont="1" applyBorder="1" applyAlignment="1"/>
    <xf numFmtId="10" fontId="10" fillId="17" borderId="24" xfId="0" applyNumberFormat="1" applyFont="1" applyFill="1" applyBorder="1" applyAlignment="1">
      <alignment horizontal="center" vertical="center"/>
    </xf>
    <xf numFmtId="2" fontId="0" fillId="0" borderId="0" xfId="0" applyNumberFormat="1" applyFont="1" applyAlignment="1"/>
    <xf numFmtId="165" fontId="8" fillId="0" borderId="24" xfId="1" applyNumberFormat="1" applyFont="1" applyBorder="1" applyAlignment="1">
      <alignment horizontal="center" vertical="center"/>
    </xf>
    <xf numFmtId="10" fontId="0" fillId="0" borderId="0" xfId="0" applyNumberFormat="1" applyFont="1" applyAlignment="1"/>
    <xf numFmtId="0" fontId="0" fillId="13" borderId="0" xfId="0" applyFont="1" applyFill="1" applyAlignment="1"/>
    <xf numFmtId="0" fontId="9" fillId="0" borderId="0" xfId="0" applyFont="1" applyAlignment="1"/>
    <xf numFmtId="10" fontId="5" fillId="0" borderId="0" xfId="1" applyNumberFormat="1" applyFont="1" applyAlignment="1"/>
    <xf numFmtId="165" fontId="8" fillId="0" borderId="34" xfId="1" applyNumberFormat="1" applyFont="1" applyBorder="1" applyAlignment="1">
      <alignment horizontal="center" vertical="center"/>
    </xf>
    <xf numFmtId="0" fontId="12" fillId="0" borderId="26" xfId="0" applyFont="1" applyBorder="1" applyAlignment="1">
      <alignment horizontal="center" vertical="center" wrapText="1"/>
    </xf>
    <xf numFmtId="0" fontId="13" fillId="19" borderId="26" xfId="0" applyFont="1" applyFill="1" applyBorder="1" applyAlignment="1">
      <alignment horizontal="center" vertical="center" wrapText="1"/>
    </xf>
    <xf numFmtId="0" fontId="13" fillId="20" borderId="26" xfId="0" applyFont="1" applyFill="1" applyBorder="1" applyAlignment="1">
      <alignment horizontal="center" vertical="center" wrapText="1"/>
    </xf>
    <xf numFmtId="0" fontId="13" fillId="12" borderId="26" xfId="0" applyFont="1" applyFill="1" applyBorder="1" applyAlignment="1">
      <alignment horizontal="center" vertical="center" wrapText="1"/>
    </xf>
    <xf numFmtId="0" fontId="13" fillId="21" borderId="26" xfId="0" applyFont="1" applyFill="1" applyBorder="1" applyAlignment="1">
      <alignment horizontal="center" vertical="center" wrapText="1"/>
    </xf>
    <xf numFmtId="0" fontId="13" fillId="18" borderId="26" xfId="0" applyFont="1" applyFill="1" applyBorder="1" applyAlignment="1">
      <alignment horizontal="center" vertical="center" wrapText="1"/>
    </xf>
    <xf numFmtId="0" fontId="15" fillId="12" borderId="26" xfId="0" applyFont="1" applyFill="1" applyBorder="1" applyAlignment="1">
      <alignment horizontal="justify" vertical="center" wrapText="1"/>
    </xf>
    <xf numFmtId="0" fontId="15" fillId="0" borderId="26" xfId="0" applyFont="1" applyBorder="1" applyAlignment="1">
      <alignment horizontal="justify" vertical="center" wrapText="1"/>
    </xf>
    <xf numFmtId="0" fontId="15" fillId="23" borderId="26" xfId="0" applyFont="1" applyFill="1" applyBorder="1" applyAlignment="1">
      <alignment horizontal="justify" vertical="center" wrapText="1"/>
    </xf>
    <xf numFmtId="0" fontId="15" fillId="18" borderId="26" xfId="0" applyFont="1" applyFill="1" applyBorder="1" applyAlignment="1">
      <alignment horizontal="justify" vertical="center" wrapText="1"/>
    </xf>
    <xf numFmtId="0" fontId="15" fillId="0" borderId="18" xfId="0" applyFont="1" applyBorder="1" applyAlignment="1">
      <alignment horizontal="justify" vertical="center" wrapText="1"/>
    </xf>
    <xf numFmtId="0" fontId="16" fillId="0" borderId="0" xfId="0" applyFont="1" applyAlignment="1"/>
    <xf numFmtId="165" fontId="2" fillId="28" borderId="24" xfId="0" applyNumberFormat="1" applyFont="1" applyFill="1" applyBorder="1" applyAlignment="1">
      <alignment horizontal="center" vertical="center" wrapText="1"/>
    </xf>
    <xf numFmtId="165" fontId="18" fillId="7" borderId="24" xfId="0" applyNumberFormat="1" applyFont="1" applyFill="1" applyBorder="1" applyAlignment="1">
      <alignment horizontal="center" vertical="center" wrapText="1"/>
    </xf>
    <xf numFmtId="0" fontId="0" fillId="0" borderId="34" xfId="0" applyFont="1" applyBorder="1" applyAlignment="1"/>
    <xf numFmtId="10" fontId="20" fillId="13" borderId="51" xfId="0" applyNumberFormat="1" applyFont="1" applyFill="1" applyBorder="1" applyAlignment="1">
      <alignment horizontal="center" vertical="center"/>
    </xf>
    <xf numFmtId="0" fontId="11" fillId="14" borderId="91" xfId="0" applyFont="1" applyFill="1" applyBorder="1" applyAlignment="1">
      <alignment wrapText="1"/>
    </xf>
    <xf numFmtId="10" fontId="20" fillId="13" borderId="93" xfId="0" applyNumberFormat="1" applyFont="1" applyFill="1" applyBorder="1" applyAlignment="1">
      <alignment horizontal="center" vertical="center"/>
    </xf>
    <xf numFmtId="10" fontId="20" fillId="13" borderId="94" xfId="0" applyNumberFormat="1" applyFont="1" applyFill="1" applyBorder="1" applyAlignment="1">
      <alignment horizontal="center" vertical="center"/>
    </xf>
    <xf numFmtId="0" fontId="7" fillId="15" borderId="95" xfId="0" applyFont="1" applyFill="1" applyBorder="1" applyAlignment="1">
      <alignment wrapText="1"/>
    </xf>
    <xf numFmtId="165" fontId="18" fillId="7" borderId="96" xfId="0" applyNumberFormat="1" applyFont="1" applyFill="1" applyBorder="1" applyAlignment="1">
      <alignment horizontal="center" vertical="center" wrapText="1"/>
    </xf>
    <xf numFmtId="0" fontId="5" fillId="16" borderId="95" xfId="0" applyFont="1" applyFill="1" applyBorder="1" applyAlignment="1">
      <alignment wrapText="1"/>
    </xf>
    <xf numFmtId="165" fontId="8" fillId="0" borderId="96" xfId="1" applyNumberFormat="1" applyFont="1" applyBorder="1" applyAlignment="1">
      <alignment horizontal="center" vertical="center"/>
    </xf>
    <xf numFmtId="10" fontId="8" fillId="0" borderId="96" xfId="1" applyNumberFormat="1" applyFont="1" applyBorder="1" applyAlignment="1">
      <alignment horizontal="center" vertical="center"/>
    </xf>
    <xf numFmtId="0" fontId="5" fillId="16" borderId="97" xfId="0" applyFont="1" applyFill="1" applyBorder="1" applyAlignment="1">
      <alignment wrapText="1"/>
    </xf>
    <xf numFmtId="165" fontId="8" fillId="0" borderId="99" xfId="1" applyNumberFormat="1" applyFont="1" applyBorder="1" applyAlignment="1">
      <alignment horizontal="center" vertical="center"/>
    </xf>
    <xf numFmtId="165" fontId="8" fillId="0" borderId="100" xfId="1" applyNumberFormat="1" applyFont="1" applyBorder="1" applyAlignment="1">
      <alignment horizontal="center" vertical="center"/>
    </xf>
    <xf numFmtId="0" fontId="11" fillId="14" borderId="91" xfId="0" applyFont="1" applyFill="1" applyBorder="1" applyAlignment="1">
      <alignment vertical="center" wrapText="1"/>
    </xf>
    <xf numFmtId="165" fontId="8" fillId="0" borderId="103" xfId="1" applyNumberFormat="1" applyFont="1" applyBorder="1" applyAlignment="1">
      <alignment horizontal="center" vertical="center"/>
    </xf>
    <xf numFmtId="0" fontId="5" fillId="12" borderId="34" xfId="0" applyFont="1" applyFill="1" applyBorder="1" applyAlignment="1">
      <alignment horizontal="center" vertical="center" wrapText="1"/>
    </xf>
    <xf numFmtId="0" fontId="11" fillId="14" borderId="104" xfId="0" applyFont="1" applyFill="1" applyBorder="1" applyAlignment="1">
      <alignment wrapText="1"/>
    </xf>
    <xf numFmtId="10" fontId="20" fillId="13" borderId="105" xfId="0" applyNumberFormat="1" applyFont="1" applyFill="1" applyBorder="1" applyAlignment="1">
      <alignment horizontal="center" vertical="center"/>
    </xf>
    <xf numFmtId="0" fontId="6" fillId="13" borderId="108" xfId="0" applyFont="1" applyFill="1" applyBorder="1" applyAlignment="1">
      <alignment wrapText="1"/>
    </xf>
    <xf numFmtId="0" fontId="8" fillId="0" borderId="31" xfId="0" applyFont="1" applyBorder="1" applyAlignment="1"/>
    <xf numFmtId="0" fontId="17" fillId="3" borderId="12" xfId="0" applyFont="1" applyFill="1" applyBorder="1" applyAlignment="1">
      <alignment horizontal="center" vertical="center" wrapText="1"/>
    </xf>
    <xf numFmtId="0" fontId="23" fillId="3" borderId="12" xfId="0" applyFont="1" applyFill="1" applyBorder="1" applyAlignment="1">
      <alignment horizontal="center" vertical="center" wrapText="1"/>
    </xf>
    <xf numFmtId="0" fontId="21" fillId="12" borderId="24" xfId="0" applyFont="1" applyFill="1" applyBorder="1" applyAlignment="1">
      <alignment horizontal="center" vertical="center" wrapText="1"/>
    </xf>
    <xf numFmtId="0" fontId="8" fillId="0" borderId="0" xfId="0" applyFont="1" applyAlignment="1"/>
    <xf numFmtId="0" fontId="24" fillId="0" borderId="107" xfId="0" applyFont="1" applyBorder="1" applyAlignment="1">
      <alignment wrapText="1"/>
    </xf>
    <xf numFmtId="0" fontId="14" fillId="0" borderId="81" xfId="0" applyFont="1" applyBorder="1" applyAlignment="1">
      <alignment horizontal="center" vertical="center" wrapText="1"/>
    </xf>
    <xf numFmtId="0" fontId="14" fillId="0" borderId="86" xfId="0" applyFont="1" applyBorder="1" applyAlignment="1">
      <alignment horizontal="center" vertical="center" wrapText="1"/>
    </xf>
    <xf numFmtId="0" fontId="14" fillId="0" borderId="88" xfId="0" applyFont="1" applyBorder="1" applyAlignment="1">
      <alignment horizontal="center" vertical="center" wrapText="1"/>
    </xf>
    <xf numFmtId="0" fontId="15" fillId="0" borderId="78" xfId="0" applyFont="1" applyBorder="1" applyAlignment="1">
      <alignment horizontal="justify" vertical="center" wrapText="1"/>
    </xf>
    <xf numFmtId="0" fontId="15" fillId="0" borderId="87" xfId="0" applyFont="1" applyBorder="1" applyAlignment="1">
      <alignment horizontal="justify" vertical="center" wrapText="1"/>
    </xf>
    <xf numFmtId="0" fontId="15" fillId="0" borderId="121" xfId="0" applyFont="1" applyBorder="1" applyAlignment="1">
      <alignment horizontal="justify" vertical="center" wrapText="1"/>
    </xf>
    <xf numFmtId="0" fontId="15" fillId="18" borderId="122" xfId="0" applyFont="1" applyFill="1" applyBorder="1" applyAlignment="1">
      <alignment horizontal="justify" vertical="center" wrapText="1"/>
    </xf>
    <xf numFmtId="0" fontId="15" fillId="0" borderId="41" xfId="0" applyFont="1" applyBorder="1" applyAlignment="1">
      <alignment horizontal="justify" vertical="center" wrapText="1"/>
    </xf>
    <xf numFmtId="0" fontId="14" fillId="38" borderId="7" xfId="0" applyFont="1" applyFill="1" applyBorder="1" applyAlignment="1">
      <alignment horizontal="center" vertical="center" wrapText="1"/>
    </xf>
    <xf numFmtId="0" fontId="14" fillId="38" borderId="9" xfId="0" applyFont="1" applyFill="1" applyBorder="1" applyAlignment="1">
      <alignment horizontal="center" vertical="center" wrapText="1"/>
    </xf>
    <xf numFmtId="0" fontId="14" fillId="38" borderId="50" xfId="0" applyFont="1" applyFill="1" applyBorder="1" applyAlignment="1">
      <alignment horizontal="center" vertical="center" wrapText="1"/>
    </xf>
    <xf numFmtId="0" fontId="14" fillId="38" borderId="25" xfId="0" applyFont="1" applyFill="1" applyBorder="1" applyAlignment="1">
      <alignment horizontal="center" vertical="center" wrapText="1"/>
    </xf>
    <xf numFmtId="0" fontId="21" fillId="12" borderId="31" xfId="0" applyFont="1" applyFill="1" applyBorder="1" applyAlignment="1">
      <alignment horizontal="center" vertical="center" wrapText="1"/>
    </xf>
    <xf numFmtId="10" fontId="10" fillId="39" borderId="96" xfId="0" applyNumberFormat="1" applyFont="1" applyFill="1" applyBorder="1" applyAlignment="1">
      <alignment horizontal="center" vertical="center"/>
    </xf>
    <xf numFmtId="10" fontId="26" fillId="0" borderId="0" xfId="0" applyNumberFormat="1" applyFont="1" applyAlignment="1"/>
    <xf numFmtId="10" fontId="8" fillId="0" borderId="24" xfId="1" applyNumberFormat="1" applyFont="1" applyBorder="1" applyAlignment="1">
      <alignment horizontal="center" vertical="center"/>
    </xf>
    <xf numFmtId="0" fontId="5" fillId="0" borderId="0" xfId="0" applyFont="1" applyAlignment="1"/>
    <xf numFmtId="165" fontId="10" fillId="17" borderId="24" xfId="0" applyNumberFormat="1" applyFont="1" applyFill="1" applyBorder="1" applyAlignment="1">
      <alignment horizontal="center" vertical="center"/>
    </xf>
    <xf numFmtId="9" fontId="27" fillId="8" borderId="114" xfId="0" applyNumberFormat="1" applyFont="1" applyFill="1" applyBorder="1" applyAlignment="1">
      <alignment horizontal="center" vertical="center" wrapText="1"/>
    </xf>
    <xf numFmtId="9" fontId="27" fillId="0" borderId="112" xfId="0" applyNumberFormat="1" applyFont="1" applyBorder="1" applyAlignment="1">
      <alignment horizontal="center" vertical="center" wrapText="1"/>
    </xf>
    <xf numFmtId="0" fontId="28" fillId="0" borderId="0" xfId="0" applyFont="1" applyAlignment="1">
      <alignment wrapText="1"/>
    </xf>
    <xf numFmtId="0" fontId="14" fillId="0" borderId="0" xfId="0" applyFont="1" applyFill="1" applyBorder="1" applyAlignment="1">
      <alignment horizontal="center" vertical="center" wrapText="1"/>
    </xf>
    <xf numFmtId="10" fontId="2" fillId="28" borderId="24" xfId="0" applyNumberFormat="1" applyFont="1" applyFill="1" applyBorder="1" applyAlignment="1">
      <alignment horizontal="center" vertical="center" wrapText="1"/>
    </xf>
    <xf numFmtId="10" fontId="0" fillId="0" borderId="0" xfId="1" applyNumberFormat="1" applyFont="1" applyAlignment="1"/>
    <xf numFmtId="10" fontId="8" fillId="0" borderId="99" xfId="1" applyNumberFormat="1" applyFont="1" applyBorder="1" applyAlignment="1">
      <alignment horizontal="center" vertical="center"/>
    </xf>
    <xf numFmtId="165" fontId="22" fillId="36" borderId="106" xfId="1" applyNumberFormat="1" applyFont="1" applyFill="1" applyBorder="1" applyAlignment="1">
      <alignment horizontal="center" vertical="center" wrapText="1"/>
    </xf>
    <xf numFmtId="0" fontId="29" fillId="0" borderId="1" xfId="0" applyFont="1" applyBorder="1" applyAlignment="1">
      <alignment wrapText="1"/>
    </xf>
    <xf numFmtId="0" fontId="30" fillId="0" borderId="0" xfId="0" applyFont="1" applyAlignment="1"/>
    <xf numFmtId="0" fontId="29" fillId="0" borderId="4" xfId="0" applyFont="1" applyBorder="1" applyAlignment="1">
      <alignment wrapText="1"/>
    </xf>
    <xf numFmtId="0" fontId="29" fillId="0" borderId="24" xfId="0" applyFont="1" applyBorder="1" applyAlignment="1">
      <alignment wrapText="1"/>
    </xf>
    <xf numFmtId="9" fontId="27" fillId="5" borderId="114" xfId="0" applyNumberFormat="1" applyFont="1" applyFill="1" applyBorder="1" applyAlignment="1">
      <alignment horizontal="center" vertical="center" wrapText="1"/>
    </xf>
    <xf numFmtId="165" fontId="27" fillId="28" borderId="24" xfId="0" applyNumberFormat="1" applyFont="1" applyFill="1" applyBorder="1" applyAlignment="1">
      <alignment horizontal="center" vertical="center" wrapText="1"/>
    </xf>
    <xf numFmtId="165" fontId="27" fillId="7" borderId="24" xfId="0" applyNumberFormat="1" applyFont="1" applyFill="1" applyBorder="1" applyAlignment="1">
      <alignment horizontal="center" vertical="center" wrapText="1"/>
    </xf>
    <xf numFmtId="0" fontId="29" fillId="0" borderId="34" xfId="0" applyFont="1" applyBorder="1" applyAlignment="1">
      <alignment wrapText="1"/>
    </xf>
    <xf numFmtId="165" fontId="27" fillId="26" borderId="24" xfId="0" applyNumberFormat="1" applyFont="1" applyFill="1" applyBorder="1" applyAlignment="1">
      <alignment horizontal="center" vertical="center" wrapText="1"/>
    </xf>
    <xf numFmtId="0" fontId="29" fillId="0" borderId="24" xfId="0" applyFont="1" applyBorder="1" applyAlignment="1">
      <alignment vertical="center" wrapText="1"/>
    </xf>
    <xf numFmtId="0" fontId="27" fillId="0" borderId="34" xfId="0" applyFont="1" applyBorder="1" applyAlignment="1">
      <alignment horizontal="center" vertical="center" wrapText="1"/>
    </xf>
    <xf numFmtId="9" fontId="29" fillId="0" borderId="24" xfId="0" applyNumberFormat="1" applyFont="1" applyBorder="1" applyAlignment="1">
      <alignment horizontal="center" vertical="center" wrapText="1"/>
    </xf>
    <xf numFmtId="165" fontId="29" fillId="0" borderId="24" xfId="0" applyNumberFormat="1" applyFont="1" applyBorder="1" applyAlignment="1">
      <alignment horizontal="center" vertical="center" wrapText="1"/>
    </xf>
    <xf numFmtId="0" fontId="29" fillId="0" borderId="20" xfId="0" applyFont="1" applyBorder="1" applyAlignment="1">
      <alignment wrapText="1"/>
    </xf>
    <xf numFmtId="9" fontId="27" fillId="0" borderId="71" xfId="0" applyNumberFormat="1" applyFont="1" applyBorder="1" applyAlignment="1">
      <alignment horizontal="center" vertical="center" wrapText="1"/>
    </xf>
    <xf numFmtId="9" fontId="27" fillId="12" borderId="112" xfId="0" applyNumberFormat="1" applyFont="1" applyFill="1" applyBorder="1" applyAlignment="1">
      <alignment horizontal="center" vertical="center" wrapText="1"/>
    </xf>
    <xf numFmtId="0" fontId="29" fillId="13" borderId="1" xfId="0" applyFont="1" applyFill="1" applyBorder="1" applyAlignment="1">
      <alignment wrapText="1"/>
    </xf>
    <xf numFmtId="0" fontId="29" fillId="0" borderId="47" xfId="0" applyFont="1" applyBorder="1" applyAlignment="1">
      <alignment wrapText="1"/>
    </xf>
    <xf numFmtId="9" fontId="27" fillId="5" borderId="89" xfId="0" applyNumberFormat="1" applyFont="1" applyFill="1" applyBorder="1" applyAlignment="1">
      <alignment horizontal="center" vertical="center" wrapText="1"/>
    </xf>
    <xf numFmtId="9" fontId="27" fillId="5" borderId="34" xfId="0" applyNumberFormat="1" applyFont="1" applyFill="1" applyBorder="1" applyAlignment="1">
      <alignment horizontal="center" vertical="center" wrapText="1"/>
    </xf>
    <xf numFmtId="0" fontId="27" fillId="0" borderId="24" xfId="0" applyFont="1" applyBorder="1" applyAlignment="1">
      <alignment horizontal="center" vertical="center" wrapText="1"/>
    </xf>
    <xf numFmtId="0" fontId="29" fillId="0" borderId="48" xfId="0" applyFont="1" applyBorder="1" applyAlignment="1">
      <alignment wrapText="1"/>
    </xf>
    <xf numFmtId="0" fontId="29" fillId="0" borderId="25" xfId="0" applyFont="1" applyBorder="1" applyAlignment="1">
      <alignment wrapText="1"/>
    </xf>
    <xf numFmtId="0" fontId="29" fillId="0" borderId="116" xfId="0" applyFont="1" applyBorder="1" applyAlignment="1">
      <alignment wrapText="1"/>
    </xf>
    <xf numFmtId="0" fontId="29" fillId="9" borderId="47" xfId="0" applyFont="1" applyFill="1" applyBorder="1" applyAlignment="1">
      <alignment wrapText="1"/>
    </xf>
    <xf numFmtId="0" fontId="29" fillId="0" borderId="47" xfId="0" applyFont="1" applyBorder="1" applyAlignment="1">
      <alignment vertical="center"/>
    </xf>
    <xf numFmtId="0" fontId="29" fillId="13" borderId="20" xfId="0" applyFont="1" applyFill="1" applyBorder="1" applyAlignment="1">
      <alignment wrapText="1"/>
    </xf>
    <xf numFmtId="0" fontId="30" fillId="13" borderId="0" xfId="0" applyFont="1" applyFill="1" applyAlignment="1"/>
    <xf numFmtId="0" fontId="33" fillId="0" borderId="4" xfId="0" applyFont="1" applyBorder="1" applyAlignment="1">
      <alignment wrapText="1"/>
    </xf>
    <xf numFmtId="0" fontId="34" fillId="0" borderId="0" xfId="0" applyFont="1" applyAlignment="1"/>
    <xf numFmtId="0" fontId="35" fillId="0" borderId="35" xfId="0" applyFont="1" applyBorder="1" applyAlignment="1">
      <alignment vertical="center" wrapText="1"/>
    </xf>
    <xf numFmtId="0" fontId="35" fillId="19" borderId="35" xfId="0" applyFont="1" applyFill="1" applyBorder="1" applyAlignment="1">
      <alignment vertical="center" wrapText="1"/>
    </xf>
    <xf numFmtId="0" fontId="35" fillId="20" borderId="35" xfId="0" applyFont="1" applyFill="1" applyBorder="1" applyAlignment="1">
      <alignment vertical="center" wrapText="1"/>
    </xf>
    <xf numFmtId="0" fontId="35" fillId="12" borderId="35" xfId="0" applyFont="1" applyFill="1" applyBorder="1" applyAlignment="1">
      <alignment vertical="center" wrapText="1"/>
    </xf>
    <xf numFmtId="0" fontId="35" fillId="21" borderId="35" xfId="0" applyFont="1" applyFill="1" applyBorder="1" applyAlignment="1">
      <alignment vertical="center" wrapText="1"/>
    </xf>
    <xf numFmtId="0" fontId="35" fillId="18" borderId="35" xfId="0" applyFont="1" applyFill="1" applyBorder="1" applyAlignment="1">
      <alignment vertical="center" wrapText="1"/>
    </xf>
    <xf numFmtId="10" fontId="36" fillId="0" borderId="27" xfId="0" applyNumberFormat="1" applyFont="1" applyBorder="1" applyAlignment="1">
      <alignment horizontal="center" vertical="center" wrapText="1"/>
    </xf>
    <xf numFmtId="10" fontId="36" fillId="0" borderId="13" xfId="1" applyNumberFormat="1" applyFont="1" applyBorder="1" applyAlignment="1">
      <alignment horizontal="center" vertical="center" wrapText="1"/>
    </xf>
    <xf numFmtId="0" fontId="37" fillId="0" borderId="24" xfId="0" applyFont="1" applyBorder="1" applyAlignment="1">
      <alignment horizontal="center" vertical="center" wrapText="1"/>
    </xf>
    <xf numFmtId="0" fontId="38" fillId="0" borderId="1" xfId="0" applyFont="1" applyBorder="1" applyAlignment="1">
      <alignment wrapText="1"/>
    </xf>
    <xf numFmtId="0" fontId="38" fillId="0" borderId="3" xfId="0" applyFont="1" applyBorder="1" applyAlignment="1">
      <alignment wrapText="1"/>
    </xf>
    <xf numFmtId="0" fontId="39" fillId="0" borderId="3" xfId="0" applyFont="1" applyBorder="1" applyAlignment="1">
      <alignment wrapText="1"/>
    </xf>
    <xf numFmtId="0" fontId="40" fillId="0" borderId="0" xfId="0" applyFont="1" applyAlignment="1"/>
    <xf numFmtId="0" fontId="38" fillId="0" borderId="22" xfId="0" applyFont="1" applyBorder="1" applyAlignment="1">
      <alignment wrapText="1"/>
    </xf>
    <xf numFmtId="0" fontId="38" fillId="0" borderId="53" xfId="0" applyFont="1" applyBorder="1" applyAlignment="1">
      <alignment wrapText="1"/>
    </xf>
    <xf numFmtId="0" fontId="38" fillId="0" borderId="15" xfId="0" applyFont="1" applyBorder="1" applyAlignment="1">
      <alignment wrapText="1"/>
    </xf>
    <xf numFmtId="9" fontId="39" fillId="5" borderId="34" xfId="0" applyNumberFormat="1" applyFont="1" applyFill="1" applyBorder="1" applyAlignment="1">
      <alignment horizontal="center" vertical="center" wrapText="1"/>
    </xf>
    <xf numFmtId="9" fontId="39" fillId="5" borderId="24" xfId="0" applyNumberFormat="1" applyFont="1" applyFill="1" applyBorder="1" applyAlignment="1">
      <alignment horizontal="center" vertical="center" wrapText="1"/>
    </xf>
    <xf numFmtId="165" fontId="38" fillId="0" borderId="24" xfId="0" applyNumberFormat="1" applyFont="1" applyBorder="1" applyAlignment="1">
      <alignment vertical="center" wrapText="1"/>
    </xf>
    <xf numFmtId="165" fontId="39" fillId="28" borderId="24" xfId="0" applyNumberFormat="1" applyFont="1" applyFill="1" applyBorder="1" applyAlignment="1">
      <alignment horizontal="center" vertical="center" wrapText="1"/>
    </xf>
    <xf numFmtId="165" fontId="39" fillId="7" borderId="24" xfId="0" applyNumberFormat="1" applyFont="1" applyFill="1" applyBorder="1" applyAlignment="1">
      <alignment horizontal="center" vertical="center" wrapText="1"/>
    </xf>
    <xf numFmtId="0" fontId="38" fillId="0" borderId="24" xfId="0" applyFont="1" applyBorder="1" applyAlignment="1">
      <alignment wrapText="1"/>
    </xf>
    <xf numFmtId="165" fontId="39" fillId="34" borderId="34" xfId="0" applyNumberFormat="1" applyFont="1" applyFill="1" applyBorder="1" applyAlignment="1">
      <alignment horizontal="center" vertical="center" wrapText="1"/>
    </xf>
    <xf numFmtId="0" fontId="38" fillId="0" borderId="54" xfId="0" applyFont="1" applyBorder="1" applyAlignment="1">
      <alignment wrapText="1"/>
    </xf>
    <xf numFmtId="9" fontId="39" fillId="8" borderId="34" xfId="0" applyNumberFormat="1" applyFont="1" applyFill="1" applyBorder="1" applyAlignment="1">
      <alignment horizontal="center" vertical="center" wrapText="1"/>
    </xf>
    <xf numFmtId="0" fontId="39" fillId="0" borderId="24" xfId="0" applyFont="1" applyBorder="1" applyAlignment="1">
      <alignment vertical="center" wrapText="1"/>
    </xf>
    <xf numFmtId="0" fontId="38" fillId="0" borderId="24" xfId="0" applyFont="1" applyBorder="1" applyAlignment="1">
      <alignment vertical="center" wrapText="1"/>
    </xf>
    <xf numFmtId="165" fontId="39" fillId="26" borderId="24" xfId="0" applyNumberFormat="1" applyFont="1" applyFill="1" applyBorder="1" applyAlignment="1">
      <alignment horizontal="center" vertical="center" wrapText="1"/>
    </xf>
    <xf numFmtId="0" fontId="38" fillId="0" borderId="24" xfId="0" applyFont="1" applyBorder="1" applyAlignment="1">
      <alignment horizontal="center" vertical="center" wrapText="1"/>
    </xf>
    <xf numFmtId="165" fontId="38" fillId="3" borderId="24" xfId="0" applyNumberFormat="1" applyFont="1" applyFill="1" applyBorder="1" applyAlignment="1">
      <alignment horizontal="center" vertical="center" wrapText="1"/>
    </xf>
    <xf numFmtId="165" fontId="39" fillId="27" borderId="34" xfId="0" applyNumberFormat="1" applyFont="1" applyFill="1" applyBorder="1" applyAlignment="1">
      <alignment horizontal="center" vertical="center" wrapText="1"/>
    </xf>
    <xf numFmtId="9" fontId="39" fillId="0" borderId="6" xfId="0" applyNumberFormat="1" applyFont="1" applyBorder="1" applyAlignment="1">
      <alignment horizontal="center" vertical="center" wrapText="1"/>
    </xf>
    <xf numFmtId="0" fontId="39" fillId="0" borderId="24" xfId="0" applyFont="1" applyBorder="1" applyAlignment="1">
      <alignment horizontal="center" vertical="center" wrapText="1"/>
    </xf>
    <xf numFmtId="9" fontId="38" fillId="0" borderId="24" xfId="0" applyNumberFormat="1" applyFont="1" applyBorder="1" applyAlignment="1">
      <alignment horizontal="center" vertical="center" wrapText="1"/>
    </xf>
    <xf numFmtId="9" fontId="38" fillId="0" borderId="24" xfId="0" applyNumberFormat="1" applyFont="1" applyBorder="1" applyAlignment="1">
      <alignment horizontal="center" wrapText="1"/>
    </xf>
    <xf numFmtId="10" fontId="38" fillId="0" borderId="24" xfId="0" applyNumberFormat="1" applyFont="1" applyBorder="1" applyAlignment="1">
      <alignment horizontal="center" vertical="center" wrapText="1"/>
    </xf>
    <xf numFmtId="9" fontId="38" fillId="19" borderId="34" xfId="0" applyNumberFormat="1" applyFont="1" applyFill="1" applyBorder="1" applyAlignment="1">
      <alignment horizontal="center" vertical="center" wrapText="1"/>
    </xf>
    <xf numFmtId="9" fontId="38" fillId="19" borderId="24" xfId="0" applyNumberFormat="1" applyFont="1" applyFill="1" applyBorder="1" applyAlignment="1">
      <alignment horizontal="center" vertical="center" wrapText="1"/>
    </xf>
    <xf numFmtId="0" fontId="38" fillId="0" borderId="56" xfId="0" applyFont="1" applyBorder="1" applyAlignment="1">
      <alignment wrapText="1"/>
    </xf>
    <xf numFmtId="0" fontId="38" fillId="9" borderId="16" xfId="0" applyFont="1" applyFill="1" applyBorder="1" applyAlignment="1">
      <alignment vertical="center" wrapText="1"/>
    </xf>
    <xf numFmtId="0" fontId="38" fillId="0" borderId="71" xfId="0" applyFont="1" applyBorder="1" applyAlignment="1">
      <alignment wrapText="1"/>
    </xf>
    <xf numFmtId="0" fontId="38" fillId="0" borderId="72" xfId="0" applyFont="1" applyBorder="1" applyAlignment="1">
      <alignment wrapText="1"/>
    </xf>
    <xf numFmtId="165" fontId="39" fillId="33" borderId="34" xfId="0" applyNumberFormat="1" applyFont="1" applyFill="1" applyBorder="1" applyAlignment="1">
      <alignment horizontal="center" vertical="center" wrapText="1"/>
    </xf>
    <xf numFmtId="0" fontId="39" fillId="0" borderId="24" xfId="0" applyFont="1" applyBorder="1" applyAlignment="1">
      <alignment wrapText="1"/>
    </xf>
    <xf numFmtId="0" fontId="38" fillId="10" borderId="22" xfId="0" applyFont="1" applyFill="1" applyBorder="1" applyAlignment="1">
      <alignment wrapText="1"/>
    </xf>
    <xf numFmtId="0" fontId="38" fillId="13" borderId="72" xfId="0" applyFont="1" applyFill="1" applyBorder="1" applyAlignment="1">
      <alignment wrapText="1"/>
    </xf>
    <xf numFmtId="9" fontId="39" fillId="13" borderId="6" xfId="0" applyNumberFormat="1" applyFont="1" applyFill="1" applyBorder="1" applyAlignment="1">
      <alignment horizontal="center" vertical="center" wrapText="1"/>
    </xf>
    <xf numFmtId="9" fontId="38" fillId="13" borderId="34" xfId="0" applyNumberFormat="1" applyFont="1" applyFill="1" applyBorder="1" applyAlignment="1">
      <alignment horizontal="center" vertical="center" wrapText="1"/>
    </xf>
    <xf numFmtId="165" fontId="39" fillId="3" borderId="24" xfId="0" applyNumberFormat="1" applyFont="1" applyFill="1" applyBorder="1" applyAlignment="1">
      <alignment horizontal="center" vertical="center" wrapText="1"/>
    </xf>
    <xf numFmtId="0" fontId="38" fillId="0" borderId="72" xfId="0" applyFont="1" applyBorder="1" applyAlignment="1">
      <alignment horizontal="left" vertical="center" wrapText="1"/>
    </xf>
    <xf numFmtId="165" fontId="38" fillId="0" borderId="24" xfId="0" applyNumberFormat="1" applyFont="1" applyBorder="1" applyAlignment="1">
      <alignment horizontal="center" vertical="center" wrapText="1"/>
    </xf>
    <xf numFmtId="0" fontId="38" fillId="0" borderId="73" xfId="0" applyFont="1" applyBorder="1" applyAlignment="1">
      <alignment wrapText="1"/>
    </xf>
    <xf numFmtId="0" fontId="38" fillId="0" borderId="25" xfId="0" applyFont="1" applyBorder="1" applyAlignment="1">
      <alignment wrapText="1"/>
    </xf>
    <xf numFmtId="0" fontId="38" fillId="0" borderId="79" xfId="0" applyFont="1" applyBorder="1" applyAlignment="1">
      <alignment wrapText="1"/>
    </xf>
    <xf numFmtId="0" fontId="38" fillId="0" borderId="83" xfId="0" applyFont="1" applyBorder="1" applyAlignment="1">
      <alignment wrapText="1"/>
    </xf>
    <xf numFmtId="0" fontId="38" fillId="0" borderId="80" xfId="0" applyFont="1" applyBorder="1" applyAlignment="1">
      <alignment wrapText="1"/>
    </xf>
    <xf numFmtId="0" fontId="38" fillId="0" borderId="82" xfId="0" applyFont="1" applyBorder="1" applyAlignment="1">
      <alignment wrapText="1"/>
    </xf>
    <xf numFmtId="0" fontId="38" fillId="0" borderId="84" xfId="0" applyFont="1" applyBorder="1" applyAlignment="1">
      <alignment wrapText="1"/>
    </xf>
    <xf numFmtId="0" fontId="38" fillId="0" borderId="74" xfId="0" applyFont="1" applyBorder="1" applyAlignment="1">
      <alignment wrapText="1"/>
    </xf>
    <xf numFmtId="0" fontId="38" fillId="0" borderId="75" xfId="0" applyFont="1" applyBorder="1" applyAlignment="1">
      <alignment wrapText="1"/>
    </xf>
    <xf numFmtId="0" fontId="38" fillId="0" borderId="76" xfId="0" applyFont="1" applyBorder="1" applyAlignment="1">
      <alignment wrapText="1"/>
    </xf>
    <xf numFmtId="0" fontId="38" fillId="9" borderId="73" xfId="0" applyFont="1" applyFill="1" applyBorder="1" applyAlignment="1">
      <alignment vertical="center" wrapText="1"/>
    </xf>
    <xf numFmtId="2" fontId="38" fillId="0" borderId="24" xfId="0" applyNumberFormat="1" applyFont="1" applyBorder="1" applyAlignment="1">
      <alignment horizontal="center" vertical="center" wrapText="1"/>
    </xf>
    <xf numFmtId="0" fontId="38" fillId="9" borderId="25" xfId="0" applyFont="1" applyFill="1" applyBorder="1" applyAlignment="1">
      <alignment vertical="center" wrapText="1"/>
    </xf>
    <xf numFmtId="0" fontId="38" fillId="9" borderId="74" xfId="0" applyFont="1" applyFill="1" applyBorder="1" applyAlignment="1">
      <alignment vertical="center" wrapText="1"/>
    </xf>
    <xf numFmtId="0" fontId="38" fillId="0" borderId="20" xfId="0" applyFont="1" applyBorder="1" applyAlignment="1">
      <alignment wrapText="1"/>
    </xf>
    <xf numFmtId="0" fontId="39" fillId="0" borderId="20" xfId="0" applyFont="1" applyBorder="1" applyAlignment="1">
      <alignment wrapText="1"/>
    </xf>
    <xf numFmtId="0" fontId="39" fillId="0" borderId="1" xfId="0" applyFont="1" applyBorder="1" applyAlignment="1">
      <alignment wrapText="1"/>
    </xf>
    <xf numFmtId="0" fontId="41" fillId="0" borderId="0" xfId="0" applyFont="1" applyAlignment="1"/>
    <xf numFmtId="0" fontId="38" fillId="0" borderId="17" xfId="0" applyFont="1" applyBorder="1" applyAlignment="1">
      <alignment wrapText="1"/>
    </xf>
    <xf numFmtId="0" fontId="38" fillId="13" borderId="24" xfId="0" applyFont="1" applyFill="1" applyBorder="1" applyAlignment="1">
      <alignment wrapText="1"/>
    </xf>
    <xf numFmtId="0" fontId="38" fillId="0" borderId="34" xfId="0" applyFont="1" applyBorder="1" applyAlignment="1">
      <alignment wrapText="1"/>
    </xf>
    <xf numFmtId="9" fontId="38" fillId="0" borderId="24" xfId="0" applyNumberFormat="1" applyFont="1" applyBorder="1" applyAlignment="1">
      <alignment vertical="center" wrapText="1"/>
    </xf>
    <xf numFmtId="10" fontId="38" fillId="0" borderId="24" xfId="0" applyNumberFormat="1" applyFont="1" applyBorder="1" applyAlignment="1">
      <alignment vertical="center" wrapText="1"/>
    </xf>
    <xf numFmtId="10" fontId="39" fillId="28" borderId="24" xfId="0" applyNumberFormat="1" applyFont="1" applyFill="1" applyBorder="1" applyAlignment="1">
      <alignment horizontal="center" vertical="center" wrapText="1"/>
    </xf>
    <xf numFmtId="165" fontId="39" fillId="7" borderId="47" xfId="0" applyNumberFormat="1" applyFont="1" applyFill="1" applyBorder="1" applyAlignment="1">
      <alignment horizontal="center" vertical="center" wrapText="1"/>
    </xf>
    <xf numFmtId="9" fontId="39" fillId="8" borderId="31" xfId="0" applyNumberFormat="1" applyFont="1" applyFill="1" applyBorder="1" applyAlignment="1">
      <alignment horizontal="center" vertical="center" wrapText="1"/>
    </xf>
    <xf numFmtId="165" fontId="39" fillId="26" borderId="47" xfId="0" applyNumberFormat="1" applyFont="1" applyFill="1" applyBorder="1" applyAlignment="1">
      <alignment horizontal="center" vertical="center" wrapText="1"/>
    </xf>
    <xf numFmtId="0" fontId="38" fillId="9" borderId="113" xfId="0" applyFont="1" applyFill="1" applyBorder="1" applyAlignment="1">
      <alignment vertical="center" wrapText="1"/>
    </xf>
    <xf numFmtId="9" fontId="39" fillId="0" borderId="71" xfId="0" applyNumberFormat="1" applyFont="1" applyBorder="1" applyAlignment="1">
      <alignment horizontal="center" vertical="center" wrapText="1"/>
    </xf>
    <xf numFmtId="0" fontId="39" fillId="0" borderId="34" xfId="0" applyFont="1" applyBorder="1" applyAlignment="1">
      <alignment horizontal="center" vertical="center" wrapText="1"/>
    </xf>
    <xf numFmtId="9" fontId="38" fillId="0" borderId="47" xfId="0" applyNumberFormat="1" applyFont="1" applyBorder="1" applyAlignment="1">
      <alignment horizontal="center" vertical="center" wrapText="1"/>
    </xf>
    <xf numFmtId="9" fontId="39" fillId="0" borderId="111" xfId="0" applyNumberFormat="1" applyFont="1" applyBorder="1" applyAlignment="1">
      <alignment horizontal="center" vertical="center" wrapText="1"/>
    </xf>
    <xf numFmtId="165" fontId="39" fillId="0" borderId="111" xfId="0" applyNumberFormat="1" applyFont="1" applyBorder="1" applyAlignment="1">
      <alignment horizontal="center" vertical="center" wrapText="1"/>
    </xf>
    <xf numFmtId="165" fontId="38" fillId="0" borderId="47" xfId="0" applyNumberFormat="1" applyFont="1" applyBorder="1" applyAlignment="1">
      <alignment horizontal="center" vertical="center" wrapText="1"/>
    </xf>
    <xf numFmtId="0" fontId="38" fillId="0" borderId="113" xfId="0" applyFont="1" applyBorder="1" applyAlignment="1">
      <alignment wrapText="1"/>
    </xf>
    <xf numFmtId="9" fontId="39" fillId="8" borderId="114" xfId="0" applyNumberFormat="1" applyFont="1" applyFill="1" applyBorder="1" applyAlignment="1">
      <alignment horizontal="center" vertical="center" wrapText="1"/>
    </xf>
    <xf numFmtId="0" fontId="38" fillId="0" borderId="34" xfId="0" applyFont="1" applyBorder="1" applyAlignment="1">
      <alignment horizontal="center" vertical="center" wrapText="1"/>
    </xf>
    <xf numFmtId="9" fontId="39" fillId="5" borderId="114" xfId="0" applyNumberFormat="1" applyFont="1" applyFill="1" applyBorder="1" applyAlignment="1">
      <alignment horizontal="center" vertical="center" wrapText="1"/>
    </xf>
    <xf numFmtId="0" fontId="38" fillId="13" borderId="24" xfId="0" applyFont="1" applyFill="1" applyBorder="1" applyAlignment="1">
      <alignment horizontal="center" vertical="center" wrapText="1"/>
    </xf>
    <xf numFmtId="0" fontId="38" fillId="37" borderId="113" xfId="0" applyFont="1" applyFill="1" applyBorder="1" applyAlignment="1">
      <alignment vertical="center" wrapText="1"/>
    </xf>
    <xf numFmtId="9" fontId="39" fillId="13" borderId="111" xfId="0" applyNumberFormat="1" applyFont="1" applyFill="1" applyBorder="1" applyAlignment="1">
      <alignment horizontal="center" vertical="center" wrapText="1"/>
    </xf>
    <xf numFmtId="9" fontId="39" fillId="12" borderId="111" xfId="0" applyNumberFormat="1" applyFont="1" applyFill="1" applyBorder="1" applyAlignment="1">
      <alignment horizontal="center" vertical="center" wrapText="1"/>
    </xf>
    <xf numFmtId="0" fontId="38" fillId="13" borderId="113" xfId="0" applyFont="1" applyFill="1" applyBorder="1" applyAlignment="1">
      <alignment wrapText="1"/>
    </xf>
    <xf numFmtId="2" fontId="38" fillId="13" borderId="24" xfId="0" applyNumberFormat="1" applyFont="1" applyFill="1" applyBorder="1" applyAlignment="1">
      <alignment horizontal="center" vertical="center" wrapText="1"/>
    </xf>
    <xf numFmtId="9" fontId="38" fillId="13" borderId="24" xfId="0" applyNumberFormat="1" applyFont="1" applyFill="1" applyBorder="1" applyAlignment="1">
      <alignment horizontal="center" vertical="center" wrapText="1"/>
    </xf>
    <xf numFmtId="167" fontId="38" fillId="0" borderId="24" xfId="0" applyNumberFormat="1" applyFont="1" applyBorder="1" applyAlignment="1">
      <alignment horizontal="center" vertical="center" wrapText="1"/>
    </xf>
    <xf numFmtId="0" fontId="37" fillId="0" borderId="24" xfId="0" applyFont="1" applyBorder="1" applyAlignment="1">
      <alignment horizontal="center" vertical="center"/>
    </xf>
    <xf numFmtId="10" fontId="39" fillId="7" borderId="47" xfId="0" applyNumberFormat="1" applyFont="1" applyFill="1" applyBorder="1" applyAlignment="1">
      <alignment horizontal="center" vertical="center" wrapText="1"/>
    </xf>
    <xf numFmtId="0" fontId="38" fillId="0" borderId="113" xfId="0" applyFont="1" applyBorder="1" applyAlignment="1">
      <alignment vertical="center" wrapText="1"/>
    </xf>
    <xf numFmtId="9" fontId="38" fillId="19" borderId="24" xfId="0" applyNumberFormat="1" applyFont="1" applyFill="1" applyBorder="1" applyAlignment="1">
      <alignment horizontal="left" vertical="center" wrapText="1"/>
    </xf>
    <xf numFmtId="0" fontId="38" fillId="12" borderId="113" xfId="0" applyFont="1" applyFill="1" applyBorder="1" applyAlignment="1">
      <alignment wrapText="1"/>
    </xf>
    <xf numFmtId="43" fontId="38" fillId="0" borderId="24" xfId="3" applyFont="1" applyBorder="1" applyAlignment="1">
      <alignment horizontal="center" vertical="center" wrapText="1"/>
    </xf>
    <xf numFmtId="0" fontId="38" fillId="13" borderId="113" xfId="0" applyFont="1" applyFill="1" applyBorder="1" applyAlignment="1">
      <alignment vertical="center" wrapText="1"/>
    </xf>
    <xf numFmtId="0" fontId="40" fillId="0" borderId="24" xfId="0" applyFont="1" applyBorder="1" applyAlignment="1">
      <alignment horizontal="center" vertical="center"/>
    </xf>
    <xf numFmtId="10" fontId="38" fillId="0" borderId="47" xfId="0" applyNumberFormat="1" applyFont="1" applyBorder="1" applyAlignment="1">
      <alignment horizontal="center" vertical="center" wrapText="1"/>
    </xf>
    <xf numFmtId="167" fontId="40" fillId="0" borderId="24" xfId="0" applyNumberFormat="1" applyFont="1" applyBorder="1" applyAlignment="1">
      <alignment horizontal="center" vertical="center"/>
    </xf>
    <xf numFmtId="0" fontId="38" fillId="43" borderId="113" xfId="0" applyFont="1" applyFill="1" applyBorder="1" applyAlignment="1">
      <alignment vertical="center" wrapText="1"/>
    </xf>
    <xf numFmtId="9" fontId="39" fillId="44" borderId="111" xfId="0" applyNumberFormat="1" applyFont="1" applyFill="1" applyBorder="1" applyAlignment="1">
      <alignment horizontal="center" vertical="center" wrapText="1"/>
    </xf>
    <xf numFmtId="0" fontId="38" fillId="0" borderId="125" xfId="0" applyFont="1" applyBorder="1" applyAlignment="1">
      <alignment wrapText="1"/>
    </xf>
    <xf numFmtId="0" fontId="40" fillId="13" borderId="24" xfId="0" applyFont="1" applyFill="1" applyBorder="1" applyAlignment="1"/>
    <xf numFmtId="0" fontId="43" fillId="0" borderId="22" xfId="0" applyFont="1" applyBorder="1" applyAlignment="1">
      <alignment wrapText="1"/>
    </xf>
    <xf numFmtId="0" fontId="43" fillId="0" borderId="34" xfId="0" applyFont="1" applyBorder="1" applyAlignment="1">
      <alignment wrapText="1"/>
    </xf>
    <xf numFmtId="9" fontId="45" fillId="0" borderId="24" xfId="0" applyNumberFormat="1" applyFont="1" applyBorder="1" applyAlignment="1">
      <alignment horizontal="center" vertical="center"/>
    </xf>
    <xf numFmtId="0" fontId="46" fillId="0" borderId="24" xfId="0" applyFont="1" applyBorder="1" applyAlignment="1"/>
    <xf numFmtId="165" fontId="43" fillId="0" borderId="24" xfId="0" applyNumberFormat="1" applyFont="1" applyBorder="1" applyAlignment="1">
      <alignment wrapText="1"/>
    </xf>
    <xf numFmtId="0" fontId="46" fillId="0" borderId="0" xfId="0" applyFont="1" applyAlignment="1"/>
    <xf numFmtId="0" fontId="38" fillId="0" borderId="4" xfId="0" applyFont="1" applyBorder="1" applyAlignment="1">
      <alignment wrapText="1"/>
    </xf>
    <xf numFmtId="0" fontId="38" fillId="0" borderId="19" xfId="0" applyFont="1" applyBorder="1" applyAlignment="1">
      <alignment wrapText="1"/>
    </xf>
    <xf numFmtId="0" fontId="38" fillId="0" borderId="16" xfId="0" applyFont="1" applyBorder="1" applyAlignment="1">
      <alignment wrapText="1"/>
    </xf>
    <xf numFmtId="165" fontId="39" fillId="5" borderId="34" xfId="0" applyNumberFormat="1" applyFont="1" applyFill="1" applyBorder="1" applyAlignment="1">
      <alignment horizontal="center" vertical="center" wrapText="1"/>
    </xf>
    <xf numFmtId="165" fontId="39" fillId="30" borderId="24" xfId="0" applyNumberFormat="1" applyFont="1" applyFill="1" applyBorder="1" applyAlignment="1">
      <alignment horizontal="center" vertical="center" wrapText="1"/>
    </xf>
    <xf numFmtId="9" fontId="39" fillId="8" borderId="110" xfId="0" applyNumberFormat="1" applyFont="1" applyFill="1" applyBorder="1" applyAlignment="1">
      <alignment horizontal="center" vertical="center" wrapText="1"/>
    </xf>
    <xf numFmtId="9" fontId="39" fillId="0" borderId="112" xfId="0" applyNumberFormat="1" applyFont="1" applyBorder="1" applyAlignment="1">
      <alignment horizontal="center" vertical="center" wrapText="1"/>
    </xf>
    <xf numFmtId="9" fontId="39" fillId="8" borderId="43" xfId="0" applyNumberFormat="1" applyFont="1" applyFill="1" applyBorder="1" applyAlignment="1">
      <alignment horizontal="center" vertical="center" wrapText="1"/>
    </xf>
    <xf numFmtId="9" fontId="39" fillId="8" borderId="115" xfId="0" applyNumberFormat="1" applyFont="1" applyFill="1" applyBorder="1" applyAlignment="1">
      <alignment horizontal="center" vertical="center" wrapText="1"/>
    </xf>
    <xf numFmtId="0" fontId="38" fillId="0" borderId="27" xfId="0" applyFont="1" applyBorder="1" applyAlignment="1">
      <alignment wrapText="1"/>
    </xf>
    <xf numFmtId="0" fontId="38" fillId="41" borderId="24" xfId="0" applyFont="1" applyFill="1" applyBorder="1" applyAlignment="1">
      <alignment wrapText="1"/>
    </xf>
    <xf numFmtId="43" fontId="39" fillId="0" borderId="34" xfId="3" applyFont="1" applyBorder="1" applyAlignment="1">
      <alignment horizontal="center" vertical="center" wrapText="1"/>
    </xf>
    <xf numFmtId="0" fontId="38" fillId="13" borderId="16" xfId="0" applyFont="1" applyFill="1" applyBorder="1" applyAlignment="1">
      <alignment wrapText="1"/>
    </xf>
    <xf numFmtId="0" fontId="38" fillId="19" borderId="24" xfId="0" applyFont="1" applyFill="1" applyBorder="1" applyAlignment="1">
      <alignment wrapText="1"/>
    </xf>
    <xf numFmtId="10" fontId="39" fillId="26" borderId="24" xfId="0" applyNumberFormat="1" applyFont="1" applyFill="1" applyBorder="1" applyAlignment="1">
      <alignment horizontal="center" vertical="center" wrapText="1"/>
    </xf>
    <xf numFmtId="3" fontId="37" fillId="13" borderId="24" xfId="0" applyNumberFormat="1" applyFont="1" applyFill="1" applyBorder="1" applyAlignment="1">
      <alignment horizontal="center" vertical="center" wrapText="1"/>
    </xf>
    <xf numFmtId="4" fontId="37" fillId="13" borderId="24" xfId="0" applyNumberFormat="1" applyFont="1" applyFill="1" applyBorder="1" applyAlignment="1">
      <alignment horizontal="center" vertical="center" wrapText="1"/>
    </xf>
    <xf numFmtId="9" fontId="39" fillId="0" borderId="43" xfId="0" applyNumberFormat="1" applyFont="1" applyBorder="1" applyAlignment="1">
      <alignment horizontal="center" vertical="center" wrapText="1"/>
    </xf>
    <xf numFmtId="3" fontId="37" fillId="13" borderId="31" xfId="0" applyNumberFormat="1" applyFont="1" applyFill="1" applyBorder="1" applyAlignment="1">
      <alignment horizontal="center" vertical="center" wrapText="1"/>
    </xf>
    <xf numFmtId="9" fontId="38" fillId="19" borderId="31" xfId="0" applyNumberFormat="1" applyFont="1" applyFill="1" applyBorder="1" applyAlignment="1">
      <alignment horizontal="center" vertical="center" wrapText="1"/>
    </xf>
    <xf numFmtId="9" fontId="38" fillId="19" borderId="51" xfId="0" applyNumberFormat="1" applyFont="1" applyFill="1" applyBorder="1" applyAlignment="1">
      <alignment horizontal="center" vertical="center" wrapText="1"/>
    </xf>
    <xf numFmtId="0" fontId="33" fillId="0" borderId="19" xfId="0" applyFont="1" applyBorder="1" applyAlignment="1">
      <alignment wrapText="1"/>
    </xf>
    <xf numFmtId="9" fontId="19" fillId="0" borderId="115" xfId="0" applyNumberFormat="1" applyFont="1" applyBorder="1" applyAlignment="1">
      <alignment horizontal="center" vertical="center" wrapText="1"/>
    </xf>
    <xf numFmtId="0" fontId="34" fillId="0" borderId="109" xfId="0" applyFont="1" applyBorder="1" applyAlignment="1"/>
    <xf numFmtId="0" fontId="34" fillId="0" borderId="51" xfId="0" applyFont="1" applyBorder="1" applyAlignment="1"/>
    <xf numFmtId="10" fontId="19" fillId="6" borderId="51" xfId="0" applyNumberFormat="1" applyFont="1" applyFill="1" applyBorder="1" applyAlignment="1">
      <alignment vertical="center" wrapText="1"/>
    </xf>
    <xf numFmtId="0" fontId="33" fillId="0" borderId="51" xfId="0" applyFont="1" applyBorder="1" applyAlignment="1">
      <alignment wrapText="1"/>
    </xf>
    <xf numFmtId="0" fontId="49" fillId="0" borderId="3" xfId="0" applyFont="1" applyBorder="1" applyAlignment="1">
      <alignment wrapText="1"/>
    </xf>
    <xf numFmtId="0" fontId="50" fillId="0" borderId="3" xfId="0" applyFont="1" applyBorder="1" applyAlignment="1">
      <alignment wrapText="1"/>
    </xf>
    <xf numFmtId="0" fontId="51" fillId="0" borderId="0" xfId="0" applyFont="1" applyAlignment="1"/>
    <xf numFmtId="0" fontId="49" fillId="0" borderId="27" xfId="0" applyFont="1" applyBorder="1" applyAlignment="1">
      <alignment wrapText="1"/>
    </xf>
    <xf numFmtId="0" fontId="50" fillId="2" borderId="123" xfId="0" applyFont="1" applyFill="1" applyBorder="1" applyAlignment="1">
      <alignment horizontal="center" vertical="center" wrapText="1"/>
    </xf>
    <xf numFmtId="0" fontId="50" fillId="3" borderId="137" xfId="0" applyFont="1" applyFill="1" applyBorder="1" applyAlignment="1">
      <alignment horizontal="center" vertical="center" wrapText="1"/>
    </xf>
    <xf numFmtId="0" fontId="50" fillId="3" borderId="138" xfId="0" applyFont="1" applyFill="1" applyBorder="1" applyAlignment="1">
      <alignment horizontal="center" vertical="center" wrapText="1"/>
    </xf>
    <xf numFmtId="0" fontId="50" fillId="42" borderId="140" xfId="0" applyFont="1" applyFill="1" applyBorder="1" applyAlignment="1">
      <alignment horizontal="center" vertical="center" wrapText="1"/>
    </xf>
    <xf numFmtId="0" fontId="49" fillId="0" borderId="1" xfId="0" applyFont="1" applyBorder="1" applyAlignment="1">
      <alignment wrapText="1"/>
    </xf>
    <xf numFmtId="0" fontId="51" fillId="0" borderId="70" xfId="0" applyFont="1" applyBorder="1" applyAlignment="1"/>
    <xf numFmtId="0" fontId="49" fillId="0" borderId="20" xfId="0" applyFont="1" applyBorder="1" applyAlignment="1">
      <alignment wrapText="1"/>
    </xf>
    <xf numFmtId="0" fontId="49" fillId="0" borderId="22" xfId="0" applyFont="1" applyBorder="1" applyAlignment="1">
      <alignment wrapText="1"/>
    </xf>
    <xf numFmtId="0" fontId="49" fillId="0" borderId="53" xfId="0" applyFont="1" applyBorder="1" applyAlignment="1">
      <alignment vertical="center" wrapText="1"/>
    </xf>
    <xf numFmtId="9" fontId="50" fillId="5" borderId="24" xfId="0" applyNumberFormat="1" applyFont="1" applyFill="1" applyBorder="1" applyAlignment="1">
      <alignment horizontal="center" vertical="center" wrapText="1"/>
    </xf>
    <xf numFmtId="165" fontId="50" fillId="7" borderId="24" xfId="0" applyNumberFormat="1" applyFont="1" applyFill="1" applyBorder="1" applyAlignment="1">
      <alignment horizontal="center" vertical="center" wrapText="1"/>
    </xf>
    <xf numFmtId="165" fontId="50" fillId="28" borderId="24" xfId="0" applyNumberFormat="1" applyFont="1" applyFill="1" applyBorder="1" applyAlignment="1">
      <alignment horizontal="center" vertical="center" wrapText="1"/>
    </xf>
    <xf numFmtId="9" fontId="50" fillId="8" borderId="29" xfId="0" applyNumberFormat="1" applyFont="1" applyFill="1" applyBorder="1" applyAlignment="1">
      <alignment horizontal="center" vertical="center" wrapText="1"/>
    </xf>
    <xf numFmtId="0" fontId="49" fillId="0" borderId="24" xfId="0" applyFont="1" applyBorder="1" applyAlignment="1">
      <alignment wrapText="1"/>
    </xf>
    <xf numFmtId="165" fontId="50" fillId="26" borderId="24" xfId="0" applyNumberFormat="1" applyFont="1" applyFill="1" applyBorder="1" applyAlignment="1">
      <alignment horizontal="center" vertical="center" wrapText="1"/>
    </xf>
    <xf numFmtId="9" fontId="50" fillId="0" borderId="6" xfId="0" applyNumberFormat="1" applyFont="1" applyBorder="1" applyAlignment="1">
      <alignment horizontal="center" vertical="center" wrapText="1"/>
    </xf>
    <xf numFmtId="0" fontId="50" fillId="0" borderId="14" xfId="0" applyFont="1" applyBorder="1" applyAlignment="1">
      <alignment horizontal="center" vertical="center" wrapText="1"/>
    </xf>
    <xf numFmtId="0" fontId="51" fillId="13" borderId="47" xfId="0" applyFont="1" applyFill="1" applyBorder="1" applyAlignment="1">
      <alignment horizontal="center" vertical="center"/>
    </xf>
    <xf numFmtId="0" fontId="51" fillId="13" borderId="24" xfId="0" applyFont="1" applyFill="1" applyBorder="1" applyAlignment="1">
      <alignment horizontal="center" vertical="center"/>
    </xf>
    <xf numFmtId="167" fontId="49" fillId="0" borderId="29" xfId="0" applyNumberFormat="1" applyFont="1" applyBorder="1" applyAlignment="1">
      <alignment horizontal="center" vertical="center" wrapText="1"/>
    </xf>
    <xf numFmtId="167" fontId="49" fillId="0" borderId="14" xfId="0" applyNumberFormat="1" applyFont="1" applyBorder="1" applyAlignment="1">
      <alignment horizontal="center" vertical="center" wrapText="1"/>
    </xf>
    <xf numFmtId="0" fontId="49" fillId="0" borderId="14" xfId="0" applyFont="1" applyBorder="1" applyAlignment="1">
      <alignment horizontal="center" vertical="center" wrapText="1"/>
    </xf>
    <xf numFmtId="0" fontId="49" fillId="15" borderId="14" xfId="0" applyFont="1" applyFill="1" applyBorder="1" applyAlignment="1">
      <alignment horizontal="center" vertical="center" wrapText="1"/>
    </xf>
    <xf numFmtId="165" fontId="49" fillId="0" borderId="45" xfId="0" applyNumberFormat="1" applyFont="1" applyBorder="1" applyAlignment="1">
      <alignment horizontal="center" vertical="center" wrapText="1"/>
    </xf>
    <xf numFmtId="165" fontId="49" fillId="0" borderId="24" xfId="0" applyNumberFormat="1" applyFont="1" applyBorder="1" applyAlignment="1">
      <alignment horizontal="center" vertical="center" wrapText="1"/>
    </xf>
    <xf numFmtId="9" fontId="49" fillId="0" borderId="29" xfId="0" applyNumberFormat="1" applyFont="1" applyBorder="1" applyAlignment="1">
      <alignment horizontal="center" vertical="center" wrapText="1"/>
    </xf>
    <xf numFmtId="9" fontId="49" fillId="0" borderId="14" xfId="0" applyNumberFormat="1" applyFont="1" applyBorder="1" applyAlignment="1">
      <alignment horizontal="center" vertical="center" wrapText="1"/>
    </xf>
    <xf numFmtId="2" fontId="49" fillId="0" borderId="14" xfId="0" applyNumberFormat="1" applyFont="1" applyBorder="1" applyAlignment="1">
      <alignment horizontal="center" vertical="center" wrapText="1"/>
    </xf>
    <xf numFmtId="2" fontId="49" fillId="15" borderId="14" xfId="0" applyNumberFormat="1" applyFont="1" applyFill="1" applyBorder="1" applyAlignment="1">
      <alignment horizontal="center" vertical="center" wrapText="1"/>
    </xf>
    <xf numFmtId="10" fontId="49" fillId="0" borderId="24" xfId="0" applyNumberFormat="1" applyFont="1" applyBorder="1" applyAlignment="1">
      <alignment horizontal="center" vertical="center" wrapText="1"/>
    </xf>
    <xf numFmtId="0" fontId="50" fillId="0" borderId="14" xfId="0" applyFont="1" applyBorder="1" applyAlignment="1">
      <alignment wrapText="1"/>
    </xf>
    <xf numFmtId="0" fontId="49" fillId="0" borderId="45" xfId="0" applyFont="1" applyBorder="1" applyAlignment="1">
      <alignment wrapText="1"/>
    </xf>
    <xf numFmtId="165" fontId="50" fillId="26" borderId="29" xfId="0" applyNumberFormat="1" applyFont="1" applyFill="1" applyBorder="1" applyAlignment="1">
      <alignment horizontal="center" vertical="center" wrapText="1"/>
    </xf>
    <xf numFmtId="165" fontId="50" fillId="26" borderId="14" xfId="0" applyNumberFormat="1" applyFont="1" applyFill="1" applyBorder="1" applyAlignment="1">
      <alignment horizontal="center" vertical="center" wrapText="1"/>
    </xf>
    <xf numFmtId="0" fontId="49" fillId="0" borderId="14" xfId="0" applyFont="1" applyBorder="1" applyAlignment="1">
      <alignment vertical="center" wrapText="1"/>
    </xf>
    <xf numFmtId="0" fontId="49" fillId="0" borderId="45" xfId="0" applyFont="1" applyBorder="1" applyAlignment="1">
      <alignment horizontal="center" vertical="center" wrapText="1"/>
    </xf>
    <xf numFmtId="0" fontId="49" fillId="0" borderId="24" xfId="0" applyFont="1" applyBorder="1" applyAlignment="1">
      <alignment horizontal="center" vertical="center" wrapText="1"/>
    </xf>
    <xf numFmtId="165" fontId="49" fillId="0" borderId="45" xfId="0" applyNumberFormat="1" applyFont="1" applyBorder="1" applyAlignment="1">
      <alignment horizontal="center" wrapText="1"/>
    </xf>
    <xf numFmtId="169" fontId="49" fillId="0" borderId="45" xfId="3" applyNumberFormat="1" applyFont="1" applyBorder="1" applyAlignment="1">
      <alignment horizontal="center" vertical="center" wrapText="1"/>
    </xf>
    <xf numFmtId="169" fontId="49" fillId="0" borderId="14" xfId="3" applyNumberFormat="1" applyFont="1" applyBorder="1" applyAlignment="1">
      <alignment horizontal="center" vertical="center" wrapText="1"/>
    </xf>
    <xf numFmtId="0" fontId="49" fillId="13" borderId="14" xfId="0" applyFont="1" applyFill="1" applyBorder="1" applyAlignment="1">
      <alignment horizontal="center" vertical="center" wrapText="1"/>
    </xf>
    <xf numFmtId="9" fontId="50" fillId="13" borderId="6" xfId="0" applyNumberFormat="1" applyFont="1" applyFill="1" applyBorder="1" applyAlignment="1">
      <alignment horizontal="center" vertical="center" wrapText="1"/>
    </xf>
    <xf numFmtId="164" fontId="49" fillId="0" borderId="24" xfId="0" applyNumberFormat="1" applyFont="1" applyBorder="1" applyAlignment="1">
      <alignment horizontal="center" vertical="center" wrapText="1"/>
    </xf>
    <xf numFmtId="165" fontId="50" fillId="8" borderId="29" xfId="0" applyNumberFormat="1" applyFont="1" applyFill="1" applyBorder="1" applyAlignment="1">
      <alignment horizontal="center" vertical="center" wrapText="1"/>
    </xf>
    <xf numFmtId="9" fontId="50" fillId="0" borderId="21" xfId="0" applyNumberFormat="1" applyFont="1" applyBorder="1" applyAlignment="1">
      <alignment horizontal="center" vertical="center" wrapText="1"/>
    </xf>
    <xf numFmtId="0" fontId="50" fillId="0" borderId="29" xfId="0" applyFont="1" applyBorder="1" applyAlignment="1">
      <alignment horizontal="center" vertical="center" wrapText="1"/>
    </xf>
    <xf numFmtId="0" fontId="49" fillId="0" borderId="84" xfId="0" applyFont="1" applyBorder="1" applyAlignment="1">
      <alignment vertical="center" wrapText="1"/>
    </xf>
    <xf numFmtId="9" fontId="50" fillId="5" borderId="29" xfId="0" applyNumberFormat="1" applyFont="1" applyFill="1" applyBorder="1" applyAlignment="1">
      <alignment horizontal="center" vertical="center" wrapText="1"/>
    </xf>
    <xf numFmtId="9" fontId="50" fillId="5" borderId="14" xfId="0" applyNumberFormat="1" applyFont="1" applyFill="1" applyBorder="1" applyAlignment="1">
      <alignment horizontal="center" vertical="center" wrapText="1"/>
    </xf>
    <xf numFmtId="165" fontId="50" fillId="35" borderId="29" xfId="0" applyNumberFormat="1" applyFont="1" applyFill="1" applyBorder="1" applyAlignment="1">
      <alignment horizontal="center" vertical="center" wrapText="1"/>
    </xf>
    <xf numFmtId="165" fontId="50" fillId="7" borderId="14" xfId="0" applyNumberFormat="1" applyFont="1" applyFill="1" applyBorder="1" applyAlignment="1">
      <alignment horizontal="center" vertical="center" wrapText="1"/>
    </xf>
    <xf numFmtId="0" fontId="49" fillId="0" borderId="14" xfId="0" applyFont="1" applyBorder="1" applyAlignment="1">
      <alignment wrapText="1"/>
    </xf>
    <xf numFmtId="165" fontId="50" fillId="28" borderId="45" xfId="0" applyNumberFormat="1" applyFont="1" applyFill="1" applyBorder="1" applyAlignment="1">
      <alignment horizontal="center" vertical="center" wrapText="1"/>
    </xf>
    <xf numFmtId="165" fontId="50" fillId="3" borderId="24" xfId="0" applyNumberFormat="1" applyFont="1" applyFill="1" applyBorder="1" applyAlignment="1">
      <alignment horizontal="center" vertical="center" wrapText="1"/>
    </xf>
    <xf numFmtId="0" fontId="49" fillId="13" borderId="58" xfId="0" applyFont="1" applyFill="1" applyBorder="1" applyAlignment="1">
      <alignment vertical="center" wrapText="1"/>
    </xf>
    <xf numFmtId="0" fontId="49" fillId="0" borderId="54" xfId="0" applyFont="1" applyBorder="1" applyAlignment="1">
      <alignment vertical="center" wrapText="1"/>
    </xf>
    <xf numFmtId="43" fontId="50" fillId="0" borderId="14" xfId="3" applyFont="1" applyBorder="1" applyAlignment="1">
      <alignment horizontal="center" vertical="center" wrapText="1"/>
    </xf>
    <xf numFmtId="165" fontId="49" fillId="0" borderId="14" xfId="1" applyNumberFormat="1" applyFont="1" applyBorder="1" applyAlignment="1">
      <alignment horizontal="center" vertical="center" wrapText="1"/>
    </xf>
    <xf numFmtId="165" fontId="50" fillId="28" borderId="29" xfId="0" applyNumberFormat="1" applyFont="1" applyFill="1" applyBorder="1" applyAlignment="1">
      <alignment horizontal="center" vertical="center" wrapText="1"/>
    </xf>
    <xf numFmtId="165" fontId="50" fillId="30" borderId="14" xfId="0" applyNumberFormat="1" applyFont="1" applyFill="1" applyBorder="1" applyAlignment="1">
      <alignment horizontal="center" vertical="center" wrapText="1"/>
    </xf>
    <xf numFmtId="165" fontId="50" fillId="32" borderId="24" xfId="0" applyNumberFormat="1" applyFont="1" applyFill="1" applyBorder="1" applyAlignment="1">
      <alignment horizontal="center" vertical="center" wrapText="1"/>
    </xf>
    <xf numFmtId="9" fontId="49" fillId="13" borderId="29" xfId="0" applyNumberFormat="1" applyFont="1" applyFill="1" applyBorder="1" applyAlignment="1">
      <alignment horizontal="center" vertical="center" wrapText="1"/>
    </xf>
    <xf numFmtId="9" fontId="49" fillId="13" borderId="14" xfId="0" applyNumberFormat="1" applyFont="1" applyFill="1" applyBorder="1" applyAlignment="1">
      <alignment horizontal="center" vertical="center" wrapText="1"/>
    </xf>
    <xf numFmtId="0" fontId="49" fillId="0" borderId="23" xfId="0" applyFont="1" applyBorder="1" applyAlignment="1">
      <alignment horizontal="center" vertical="center" wrapText="1"/>
    </xf>
    <xf numFmtId="0" fontId="49" fillId="0" borderId="57" xfId="0" applyFont="1" applyBorder="1" applyAlignment="1">
      <alignment vertical="center" wrapText="1"/>
    </xf>
    <xf numFmtId="165" fontId="50" fillId="28" borderId="136" xfId="0" applyNumberFormat="1" applyFont="1" applyFill="1" applyBorder="1" applyAlignment="1">
      <alignment horizontal="center" vertical="center" wrapText="1"/>
    </xf>
    <xf numFmtId="165" fontId="50" fillId="30" borderId="24" xfId="0" applyNumberFormat="1" applyFont="1" applyFill="1" applyBorder="1" applyAlignment="1">
      <alignment horizontal="center" vertical="center" wrapText="1"/>
    </xf>
    <xf numFmtId="0" fontId="49" fillId="0" borderId="24" xfId="0" applyFont="1" applyBorder="1" applyAlignment="1">
      <alignment vertical="center" wrapText="1"/>
    </xf>
    <xf numFmtId="3" fontId="51" fillId="0" borderId="24" xfId="0" applyNumberFormat="1" applyFont="1" applyBorder="1" applyAlignment="1">
      <alignment horizontal="center" vertical="center" wrapText="1"/>
    </xf>
    <xf numFmtId="165" fontId="49" fillId="0" borderId="136" xfId="0" applyNumberFormat="1" applyFont="1" applyBorder="1" applyAlignment="1">
      <alignment horizontal="center" vertical="center" wrapText="1"/>
    </xf>
    <xf numFmtId="0" fontId="51" fillId="0" borderId="47" xfId="0" applyFont="1" applyFill="1" applyBorder="1" applyAlignment="1">
      <alignment horizontal="center" vertical="center" wrapText="1"/>
    </xf>
    <xf numFmtId="0" fontId="49" fillId="13" borderId="24" xfId="0" applyFont="1" applyFill="1" applyBorder="1" applyAlignment="1">
      <alignment horizontal="center" vertical="center" wrapText="1"/>
    </xf>
    <xf numFmtId="9" fontId="50" fillId="17" borderId="29" xfId="1" applyFont="1" applyFill="1" applyBorder="1" applyAlignment="1">
      <alignment horizontal="center" vertical="center" wrapText="1"/>
    </xf>
    <xf numFmtId="0" fontId="54" fillId="0" borderId="47" xfId="0" applyFont="1" applyBorder="1" applyAlignment="1">
      <alignment horizontal="center" vertical="center" wrapText="1"/>
    </xf>
    <xf numFmtId="0" fontId="54" fillId="0" borderId="24" xfId="0" applyFont="1" applyBorder="1" applyAlignment="1">
      <alignment horizontal="center" vertical="center" wrapText="1"/>
    </xf>
    <xf numFmtId="0" fontId="51" fillId="0" borderId="24" xfId="0" applyFont="1" applyBorder="1" applyAlignment="1">
      <alignment horizontal="center" vertical="center"/>
    </xf>
    <xf numFmtId="9" fontId="49" fillId="0" borderId="85" xfId="0" applyNumberFormat="1" applyFont="1" applyBorder="1" applyAlignment="1">
      <alignment horizontal="center" vertical="center" wrapText="1"/>
    </xf>
    <xf numFmtId="9" fontId="49" fillId="0" borderId="23" xfId="0" applyNumberFormat="1" applyFont="1" applyBorder="1" applyAlignment="1">
      <alignment horizontal="center" vertical="center" wrapText="1"/>
    </xf>
    <xf numFmtId="9" fontId="49" fillId="0" borderId="136" xfId="0" applyNumberFormat="1" applyFont="1" applyBorder="1" applyAlignment="1">
      <alignment horizontal="center" vertical="center" wrapText="1"/>
    </xf>
    <xf numFmtId="9" fontId="49" fillId="0" borderId="24" xfId="0" applyNumberFormat="1" applyFont="1" applyBorder="1" applyAlignment="1">
      <alignment horizontal="center" vertical="center" wrapText="1"/>
    </xf>
    <xf numFmtId="165" fontId="50" fillId="35" borderId="136" xfId="0" applyNumberFormat="1" applyFont="1" applyFill="1" applyBorder="1" applyAlignment="1">
      <alignment horizontal="center" vertical="center" wrapText="1"/>
    </xf>
    <xf numFmtId="165" fontId="50" fillId="35" borderId="24" xfId="0" applyNumberFormat="1" applyFont="1" applyFill="1" applyBorder="1" applyAlignment="1">
      <alignment horizontal="center" vertical="center" wrapText="1"/>
    </xf>
    <xf numFmtId="0" fontId="49" fillId="13" borderId="24" xfId="0" applyFont="1" applyFill="1" applyBorder="1" applyAlignment="1">
      <alignment wrapText="1"/>
    </xf>
    <xf numFmtId="165" fontId="50" fillId="26" borderId="136" xfId="0" applyNumberFormat="1" applyFont="1" applyFill="1" applyBorder="1" applyAlignment="1">
      <alignment horizontal="center" vertical="center" wrapText="1"/>
    </xf>
    <xf numFmtId="0" fontId="49" fillId="13" borderId="24" xfId="0" applyFont="1" applyFill="1" applyBorder="1" applyAlignment="1">
      <alignment vertical="center" wrapText="1"/>
    </xf>
    <xf numFmtId="0" fontId="55" fillId="13" borderId="24" xfId="0" applyFont="1" applyFill="1" applyBorder="1" applyAlignment="1">
      <alignment horizontal="center" vertical="center" wrapText="1"/>
    </xf>
    <xf numFmtId="0" fontId="49" fillId="13" borderId="47" xfId="0" applyFont="1" applyFill="1" applyBorder="1" applyAlignment="1">
      <alignment horizontal="center" vertical="center" wrapText="1"/>
    </xf>
    <xf numFmtId="9" fontId="49" fillId="0" borderId="135" xfId="0" applyNumberFormat="1" applyFont="1" applyBorder="1" applyAlignment="1">
      <alignment horizontal="center" vertical="center" wrapText="1"/>
    </xf>
    <xf numFmtId="0" fontId="50" fillId="0" borderId="23" xfId="0" applyFont="1" applyBorder="1" applyAlignment="1">
      <alignment horizontal="center" vertical="center" wrapText="1"/>
    </xf>
    <xf numFmtId="165" fontId="49" fillId="0" borderId="141" xfId="0" applyNumberFormat="1" applyFont="1" applyBorder="1" applyAlignment="1">
      <alignment horizontal="center" vertical="center" wrapText="1"/>
    </xf>
    <xf numFmtId="9" fontId="50" fillId="8" borderId="34" xfId="0" applyNumberFormat="1" applyFont="1" applyFill="1" applyBorder="1" applyAlignment="1">
      <alignment horizontal="center" vertical="center" wrapText="1"/>
    </xf>
    <xf numFmtId="0" fontId="50" fillId="0" borderId="24" xfId="0" applyFont="1" applyBorder="1" applyAlignment="1">
      <alignment horizontal="center" vertical="center" wrapText="1"/>
    </xf>
    <xf numFmtId="165" fontId="50" fillId="26" borderId="34" xfId="0" applyNumberFormat="1" applyFont="1" applyFill="1" applyBorder="1" applyAlignment="1">
      <alignment horizontal="center" vertical="center" wrapText="1"/>
    </xf>
    <xf numFmtId="165" fontId="50" fillId="26" borderId="47" xfId="0" applyNumberFormat="1" applyFont="1" applyFill="1" applyBorder="1" applyAlignment="1">
      <alignment horizontal="center" vertical="center" wrapText="1"/>
    </xf>
    <xf numFmtId="9" fontId="49" fillId="0" borderId="34" xfId="0" applyNumberFormat="1" applyFont="1" applyBorder="1" applyAlignment="1">
      <alignment horizontal="center" vertical="center" wrapText="1"/>
    </xf>
    <xf numFmtId="165" fontId="49" fillId="0" borderId="113" xfId="0" applyNumberFormat="1" applyFont="1" applyBorder="1" applyAlignment="1">
      <alignment horizontal="center" vertical="center" wrapText="1"/>
    </xf>
    <xf numFmtId="0" fontId="50" fillId="0" borderId="20" xfId="0" applyFont="1" applyBorder="1" applyAlignment="1">
      <alignment wrapText="1"/>
    </xf>
    <xf numFmtId="0" fontId="50" fillId="0" borderId="1" xfId="0" applyFont="1" applyBorder="1" applyAlignment="1">
      <alignment wrapText="1"/>
    </xf>
    <xf numFmtId="0" fontId="52" fillId="0" borderId="0" xfId="0" applyFont="1" applyAlignment="1"/>
    <xf numFmtId="164" fontId="38" fillId="0" borderId="1" xfId="0" applyNumberFormat="1" applyFont="1" applyBorder="1" applyAlignment="1">
      <alignment wrapText="1"/>
    </xf>
    <xf numFmtId="0" fontId="38" fillId="0" borderId="2" xfId="0" applyFont="1" applyBorder="1" applyAlignment="1">
      <alignment wrapText="1"/>
    </xf>
    <xf numFmtId="0" fontId="38" fillId="13" borderId="31" xfId="0" applyFont="1" applyFill="1" applyBorder="1" applyAlignment="1">
      <alignment wrapText="1"/>
    </xf>
    <xf numFmtId="0" fontId="38" fillId="0" borderId="49" xfId="0" applyFont="1" applyBorder="1" applyAlignment="1">
      <alignment wrapText="1"/>
    </xf>
    <xf numFmtId="0" fontId="38" fillId="0" borderId="26" xfId="0" applyFont="1" applyBorder="1" applyAlignment="1">
      <alignment vertical="center" wrapText="1"/>
    </xf>
    <xf numFmtId="0" fontId="38" fillId="0" borderId="6" xfId="0" applyFont="1" applyBorder="1" applyAlignment="1">
      <alignment vertical="center" wrapText="1"/>
    </xf>
    <xf numFmtId="0" fontId="38" fillId="0" borderId="9" xfId="0" applyFont="1" applyBorder="1" applyAlignment="1">
      <alignment vertical="center" wrapText="1"/>
    </xf>
    <xf numFmtId="0" fontId="38" fillId="0" borderId="6" xfId="0" applyFont="1" applyBorder="1" applyAlignment="1">
      <alignment wrapText="1"/>
    </xf>
    <xf numFmtId="0" fontId="38" fillId="0" borderId="10" xfId="0" applyFont="1" applyBorder="1" applyAlignment="1">
      <alignment wrapText="1"/>
    </xf>
    <xf numFmtId="0" fontId="38" fillId="0" borderId="11" xfId="0" applyFont="1" applyBorder="1" applyAlignment="1">
      <alignment wrapText="1"/>
    </xf>
    <xf numFmtId="0" fontId="38" fillId="12" borderId="10" xfId="0" applyFont="1" applyFill="1" applyBorder="1" applyAlignment="1">
      <alignment wrapText="1"/>
    </xf>
    <xf numFmtId="0" fontId="38" fillId="0" borderId="10" xfId="0" applyFont="1" applyBorder="1" applyAlignment="1">
      <alignment vertical="center" wrapText="1"/>
    </xf>
    <xf numFmtId="0" fontId="38" fillId="13" borderId="10" xfId="0" applyFont="1" applyFill="1" applyBorder="1" applyAlignment="1">
      <alignment wrapText="1"/>
    </xf>
    <xf numFmtId="0" fontId="50" fillId="0" borderId="3" xfId="0" applyFont="1" applyBorder="1" applyAlignment="1">
      <alignment horizontal="center" wrapText="1"/>
    </xf>
    <xf numFmtId="10" fontId="49" fillId="0" borderId="3" xfId="1" applyNumberFormat="1" applyFont="1" applyBorder="1" applyAlignment="1">
      <alignment wrapText="1"/>
    </xf>
    <xf numFmtId="0" fontId="50" fillId="3" borderId="25" xfId="0" applyFont="1" applyFill="1" applyBorder="1" applyAlignment="1">
      <alignment horizontal="center" vertical="center" wrapText="1"/>
    </xf>
    <xf numFmtId="9" fontId="50" fillId="0" borderId="116" xfId="0" applyNumberFormat="1" applyFont="1" applyBorder="1" applyAlignment="1">
      <alignment horizontal="center" vertical="center" wrapText="1"/>
    </xf>
    <xf numFmtId="0" fontId="51" fillId="0" borderId="38" xfId="0" applyFont="1" applyBorder="1" applyAlignment="1"/>
    <xf numFmtId="0" fontId="51" fillId="0" borderId="44" xfId="0" applyFont="1" applyBorder="1" applyAlignment="1"/>
    <xf numFmtId="165" fontId="50" fillId="6" borderId="26" xfId="0" applyNumberFormat="1" applyFont="1" applyFill="1" applyBorder="1" applyAlignment="1">
      <alignment horizontal="center" vertical="center" wrapText="1"/>
    </xf>
    <xf numFmtId="0" fontId="49" fillId="0" borderId="41" xfId="0" applyFont="1" applyBorder="1" applyAlignment="1">
      <alignment vertical="center" wrapText="1"/>
    </xf>
    <xf numFmtId="10" fontId="50" fillId="5" borderId="13" xfId="0" applyNumberFormat="1" applyFont="1" applyFill="1" applyBorder="1" applyAlignment="1">
      <alignment horizontal="center" vertical="center" wrapText="1"/>
    </xf>
    <xf numFmtId="10" fontId="50" fillId="5" borderId="25" xfId="0" applyNumberFormat="1" applyFont="1" applyFill="1" applyBorder="1" applyAlignment="1">
      <alignment horizontal="center" vertical="center" wrapText="1"/>
    </xf>
    <xf numFmtId="165" fontId="50" fillId="28" borderId="9" xfId="0" applyNumberFormat="1" applyFont="1" applyFill="1" applyBorder="1" applyAlignment="1">
      <alignment horizontal="center" vertical="center" wrapText="1"/>
    </xf>
    <xf numFmtId="165" fontId="50" fillId="7" borderId="9" xfId="0" applyNumberFormat="1" applyFont="1" applyFill="1" applyBorder="1" applyAlignment="1">
      <alignment horizontal="center" vertical="center" wrapText="1"/>
    </xf>
    <xf numFmtId="10" fontId="49" fillId="0" borderId="26" xfId="0" applyNumberFormat="1" applyFont="1" applyBorder="1" applyAlignment="1">
      <alignment vertical="center" wrapText="1"/>
    </xf>
    <xf numFmtId="9" fontId="50" fillId="8" borderId="9" xfId="0" applyNumberFormat="1" applyFont="1" applyFill="1" applyBorder="1" applyAlignment="1">
      <alignment horizontal="center" vertical="center" wrapText="1"/>
    </xf>
    <xf numFmtId="0" fontId="49" fillId="0" borderId="26" xfId="0" applyFont="1" applyBorder="1" applyAlignment="1">
      <alignment vertical="center" wrapText="1"/>
    </xf>
    <xf numFmtId="165" fontId="50" fillId="26" borderId="9" xfId="0" applyNumberFormat="1" applyFont="1" applyFill="1" applyBorder="1" applyAlignment="1">
      <alignment horizontal="center" vertical="center" wrapText="1"/>
    </xf>
    <xf numFmtId="0" fontId="49" fillId="0" borderId="6" xfId="0" applyFont="1" applyBorder="1" applyAlignment="1">
      <alignment vertical="center" wrapText="1"/>
    </xf>
    <xf numFmtId="0" fontId="50" fillId="0" borderId="6" xfId="0" applyFont="1" applyBorder="1" applyAlignment="1">
      <alignment horizontal="center" vertical="center" wrapText="1"/>
    </xf>
    <xf numFmtId="0" fontId="49" fillId="0" borderId="6" xfId="0" applyFont="1" applyBorder="1" applyAlignment="1">
      <alignment horizontal="center" vertical="center" wrapText="1"/>
    </xf>
    <xf numFmtId="0" fontId="49" fillId="0" borderId="9" xfId="0" applyFont="1" applyBorder="1" applyAlignment="1">
      <alignment horizontal="center" vertical="center" wrapText="1"/>
    </xf>
    <xf numFmtId="9" fontId="49" fillId="0" borderId="6" xfId="0" applyNumberFormat="1" applyFont="1" applyBorder="1" applyAlignment="1">
      <alignment horizontal="center" vertical="center" wrapText="1"/>
    </xf>
    <xf numFmtId="9" fontId="50" fillId="7" borderId="9" xfId="0" applyNumberFormat="1" applyFont="1" applyFill="1" applyBorder="1" applyAlignment="1">
      <alignment horizontal="center" vertical="center" wrapText="1"/>
    </xf>
    <xf numFmtId="0" fontId="49" fillId="0" borderId="9" xfId="0" applyFont="1" applyBorder="1" applyAlignment="1">
      <alignment vertical="center" wrapText="1"/>
    </xf>
    <xf numFmtId="9" fontId="49" fillId="0" borderId="9" xfId="0" applyNumberFormat="1" applyFont="1" applyBorder="1" applyAlignment="1">
      <alignment horizontal="center" vertical="center" wrapText="1"/>
    </xf>
    <xf numFmtId="3" fontId="50" fillId="0" borderId="6" xfId="0" applyNumberFormat="1" applyFont="1" applyBorder="1" applyAlignment="1">
      <alignment horizontal="center" vertical="center" wrapText="1"/>
    </xf>
    <xf numFmtId="10" fontId="50" fillId="5" borderId="9" xfId="0" applyNumberFormat="1" applyFont="1" applyFill="1" applyBorder="1" applyAlignment="1">
      <alignment horizontal="center" vertical="center" wrapText="1"/>
    </xf>
    <xf numFmtId="9" fontId="49" fillId="0" borderId="6" xfId="1" applyFont="1" applyBorder="1" applyAlignment="1">
      <alignment horizontal="center" vertical="center" wrapText="1"/>
    </xf>
    <xf numFmtId="9" fontId="49" fillId="0" borderId="21" xfId="0" applyNumberFormat="1" applyFont="1" applyBorder="1" applyAlignment="1">
      <alignment horizontal="center" vertical="center" wrapText="1"/>
    </xf>
    <xf numFmtId="0" fontId="49" fillId="0" borderId="21" xfId="0" applyFont="1" applyBorder="1" applyAlignment="1">
      <alignment horizontal="center" vertical="center" wrapText="1"/>
    </xf>
    <xf numFmtId="0" fontId="49" fillId="0" borderId="13" xfId="0" applyFont="1" applyBorder="1" applyAlignment="1">
      <alignment horizontal="center" vertical="center" wrapText="1"/>
    </xf>
    <xf numFmtId="9" fontId="49" fillId="0" borderId="86" xfId="0" applyNumberFormat="1" applyFont="1" applyBorder="1" applyAlignment="1">
      <alignment horizontal="center" vertical="center" wrapText="1"/>
    </xf>
    <xf numFmtId="0" fontId="49" fillId="0" borderId="86" xfId="0" applyFont="1" applyBorder="1" applyAlignment="1">
      <alignment horizontal="center" vertical="center" wrapText="1"/>
    </xf>
    <xf numFmtId="9" fontId="49" fillId="0" borderId="128" xfId="0" applyNumberFormat="1" applyFont="1" applyBorder="1" applyAlignment="1">
      <alignment horizontal="center" vertical="center" wrapText="1"/>
    </xf>
    <xf numFmtId="0" fontId="49" fillId="0" borderId="50" xfId="0" applyFont="1" applyBorder="1" applyAlignment="1">
      <alignment horizontal="center" vertical="center" wrapText="1"/>
    </xf>
    <xf numFmtId="165" fontId="50" fillId="26" borderId="128" xfId="0" applyNumberFormat="1" applyFont="1" applyFill="1" applyBorder="1" applyAlignment="1">
      <alignment horizontal="center" vertical="center" wrapText="1"/>
    </xf>
    <xf numFmtId="165" fontId="50" fillId="26" borderId="13" xfId="0" applyNumberFormat="1" applyFont="1" applyFill="1" applyBorder="1" applyAlignment="1">
      <alignment horizontal="center" vertical="center" wrapText="1"/>
    </xf>
    <xf numFmtId="9" fontId="49" fillId="0" borderId="13" xfId="0" applyNumberFormat="1" applyFont="1" applyBorder="1" applyAlignment="1">
      <alignment horizontal="center" vertical="center" wrapText="1"/>
    </xf>
    <xf numFmtId="9" fontId="49" fillId="0" borderId="111" xfId="0" applyNumberFormat="1" applyFont="1" applyBorder="1" applyAlignment="1">
      <alignment horizontal="center" vertical="center" wrapText="1"/>
    </xf>
    <xf numFmtId="9" fontId="49" fillId="0" borderId="25" xfId="0" applyNumberFormat="1" applyFont="1" applyBorder="1" applyAlignment="1">
      <alignment horizontal="center" vertical="center" wrapText="1"/>
    </xf>
    <xf numFmtId="0" fontId="51" fillId="0" borderId="130" xfId="0" applyFont="1" applyBorder="1" applyAlignment="1">
      <alignment horizontal="center" vertical="center" wrapText="1"/>
    </xf>
    <xf numFmtId="0" fontId="51" fillId="0" borderId="25" xfId="0" applyFont="1" applyBorder="1" applyAlignment="1">
      <alignment horizontal="center" vertical="center" wrapText="1"/>
    </xf>
    <xf numFmtId="0" fontId="51" fillId="0" borderId="40" xfId="0" applyFont="1" applyBorder="1" applyAlignment="1">
      <alignment horizontal="center" vertical="center" wrapText="1"/>
    </xf>
    <xf numFmtId="9" fontId="49" fillId="0" borderId="112" xfId="0" applyNumberFormat="1" applyFont="1" applyBorder="1" applyAlignment="1">
      <alignment horizontal="center" vertical="center" wrapText="1"/>
    </xf>
    <xf numFmtId="0" fontId="49" fillId="0" borderId="13" xfId="0" applyFont="1" applyBorder="1" applyAlignment="1">
      <alignment vertical="center" wrapText="1"/>
    </xf>
    <xf numFmtId="165" fontId="50" fillId="26" borderId="26" xfId="0" applyNumberFormat="1" applyFont="1" applyFill="1" applyBorder="1" applyAlignment="1">
      <alignment horizontal="center" vertical="center" wrapText="1"/>
    </xf>
    <xf numFmtId="165" fontId="49" fillId="0" borderId="6" xfId="1" applyNumberFormat="1" applyFont="1" applyBorder="1" applyAlignment="1">
      <alignment vertical="center" wrapText="1"/>
    </xf>
    <xf numFmtId="165" fontId="49" fillId="0" borderId="13" xfId="1" applyNumberFormat="1" applyFont="1" applyBorder="1" applyAlignment="1">
      <alignment vertical="center" wrapText="1"/>
    </xf>
    <xf numFmtId="10" fontId="50" fillId="26" borderId="9" xfId="0" applyNumberFormat="1" applyFont="1" applyFill="1" applyBorder="1" applyAlignment="1">
      <alignment horizontal="center" vertical="center" wrapText="1"/>
    </xf>
    <xf numFmtId="165" fontId="50" fillId="0" borderId="6" xfId="0" applyNumberFormat="1" applyFont="1" applyBorder="1" applyAlignment="1">
      <alignment horizontal="center" vertical="center" wrapText="1"/>
    </xf>
    <xf numFmtId="0" fontId="50" fillId="13" borderId="6" xfId="0" applyFont="1" applyFill="1" applyBorder="1" applyAlignment="1">
      <alignment horizontal="center" vertical="center" wrapText="1"/>
    </xf>
    <xf numFmtId="168" fontId="49" fillId="0" borderId="6" xfId="0" applyNumberFormat="1" applyFont="1" applyBorder="1" applyAlignment="1">
      <alignment horizontal="center" vertical="center" wrapText="1"/>
    </xf>
    <xf numFmtId="168" fontId="49" fillId="0" borderId="13" xfId="0" applyNumberFormat="1" applyFont="1" applyBorder="1" applyAlignment="1">
      <alignment horizontal="center" vertical="center" wrapText="1"/>
    </xf>
    <xf numFmtId="167" fontId="49" fillId="0" borderId="9" xfId="0" applyNumberFormat="1" applyFont="1" applyBorder="1" applyAlignment="1">
      <alignment horizontal="center" vertical="center" wrapText="1"/>
    </xf>
    <xf numFmtId="165" fontId="49" fillId="0" borderId="9" xfId="0" applyNumberFormat="1" applyFont="1" applyBorder="1" applyAlignment="1">
      <alignment horizontal="center" vertical="center" wrapText="1"/>
    </xf>
    <xf numFmtId="9" fontId="49" fillId="0" borderId="129" xfId="0" applyNumberFormat="1" applyFont="1" applyBorder="1" applyAlignment="1">
      <alignment horizontal="center" vertical="center" wrapText="1"/>
    </xf>
    <xf numFmtId="0" fontId="49" fillId="0" borderId="129" xfId="0" applyFont="1" applyBorder="1" applyAlignment="1">
      <alignment horizontal="center" vertical="center" wrapText="1"/>
    </xf>
    <xf numFmtId="9" fontId="49" fillId="0" borderId="26" xfId="0" applyNumberFormat="1" applyFont="1" applyBorder="1" applyAlignment="1">
      <alignment horizontal="center" vertical="center" wrapText="1"/>
    </xf>
    <xf numFmtId="0" fontId="49" fillId="0" borderId="26" xfId="0" applyFont="1" applyBorder="1" applyAlignment="1">
      <alignment horizontal="center" vertical="center" wrapText="1"/>
    </xf>
    <xf numFmtId="167" fontId="49" fillId="0" borderId="6" xfId="0" applyNumberFormat="1" applyFont="1" applyBorder="1" applyAlignment="1">
      <alignment horizontal="center" vertical="center" wrapText="1"/>
    </xf>
    <xf numFmtId="0" fontId="49" fillId="0" borderId="21" xfId="0" applyFont="1" applyBorder="1" applyAlignment="1">
      <alignment vertical="center" wrapText="1"/>
    </xf>
    <xf numFmtId="0" fontId="51" fillId="13" borderId="25" xfId="2" applyFont="1" applyFill="1" applyBorder="1" applyAlignment="1">
      <alignment horizontal="center" vertical="center"/>
    </xf>
    <xf numFmtId="10" fontId="49" fillId="0" borderId="6" xfId="0" applyNumberFormat="1" applyFont="1" applyBorder="1" applyAlignment="1">
      <alignment horizontal="center" vertical="center" wrapText="1"/>
    </xf>
    <xf numFmtId="10" fontId="49" fillId="0" borderId="9" xfId="0" applyNumberFormat="1" applyFont="1" applyBorder="1" applyAlignment="1">
      <alignment horizontal="center" vertical="center" wrapText="1"/>
    </xf>
    <xf numFmtId="10" fontId="50" fillId="0" borderId="6" xfId="0" applyNumberFormat="1" applyFont="1" applyBorder="1" applyAlignment="1">
      <alignment horizontal="center" vertical="center" wrapText="1"/>
    </xf>
    <xf numFmtId="170" fontId="49" fillId="0" borderId="6" xfId="0" applyNumberFormat="1" applyFont="1" applyBorder="1" applyAlignment="1">
      <alignment horizontal="center" vertical="center" wrapText="1"/>
    </xf>
    <xf numFmtId="165" fontId="50" fillId="32" borderId="9" xfId="0" applyNumberFormat="1" applyFont="1" applyFill="1" applyBorder="1" applyAlignment="1">
      <alignment horizontal="center" vertical="center" wrapText="1"/>
    </xf>
    <xf numFmtId="0" fontId="50" fillId="0" borderId="9" xfId="0" applyFont="1" applyBorder="1" applyAlignment="1">
      <alignment horizontal="center" vertical="center" wrapText="1"/>
    </xf>
    <xf numFmtId="165" fontId="49" fillId="0" borderId="6" xfId="0" applyNumberFormat="1" applyFont="1" applyBorder="1" applyAlignment="1">
      <alignment horizontal="center" vertical="center" wrapText="1"/>
    </xf>
    <xf numFmtId="0" fontId="50" fillId="0" borderId="1" xfId="0" applyFont="1" applyBorder="1" applyAlignment="1">
      <alignment horizontal="center" wrapText="1"/>
    </xf>
    <xf numFmtId="0" fontId="50" fillId="0" borderId="0" xfId="0" applyFont="1" applyAlignment="1">
      <alignment horizontal="center"/>
    </xf>
    <xf numFmtId="10" fontId="49" fillId="0" borderId="3" xfId="0" applyNumberFormat="1" applyFont="1" applyBorder="1" applyAlignment="1">
      <alignment wrapText="1"/>
    </xf>
    <xf numFmtId="0" fontId="50" fillId="3" borderId="9" xfId="0" applyFont="1" applyFill="1" applyBorder="1" applyAlignment="1">
      <alignment horizontal="center" vertical="center" wrapText="1"/>
    </xf>
    <xf numFmtId="0" fontId="49" fillId="0" borderId="28" xfId="0" applyFont="1" applyBorder="1" applyAlignment="1">
      <alignment vertical="center" wrapText="1"/>
    </xf>
    <xf numFmtId="0" fontId="49" fillId="15" borderId="9" xfId="0" applyFont="1" applyFill="1" applyBorder="1" applyAlignment="1">
      <alignment horizontal="center" vertical="center" wrapText="1"/>
    </xf>
    <xf numFmtId="0" fontId="49" fillId="13" borderId="9" xfId="0" applyFont="1" applyFill="1" applyBorder="1" applyAlignment="1">
      <alignment horizontal="center" vertical="center" wrapText="1"/>
    </xf>
    <xf numFmtId="165" fontId="50" fillId="3" borderId="9" xfId="0" applyNumberFormat="1" applyFont="1" applyFill="1" applyBorder="1" applyAlignment="1">
      <alignment horizontal="center" vertical="center" wrapText="1"/>
    </xf>
    <xf numFmtId="0" fontId="49" fillId="15" borderId="21" xfId="0" applyFont="1" applyFill="1" applyBorder="1" applyAlignment="1">
      <alignment horizontal="center" vertical="center" wrapText="1"/>
    </xf>
    <xf numFmtId="0" fontId="49" fillId="15" borderId="25" xfId="0" applyFont="1" applyFill="1" applyBorder="1" applyAlignment="1">
      <alignment horizontal="center" vertical="center" wrapText="1"/>
    </xf>
    <xf numFmtId="0" fontId="49" fillId="0" borderId="25" xfId="0" applyFont="1" applyBorder="1" applyAlignment="1">
      <alignment horizontal="center" vertical="center" wrapText="1"/>
    </xf>
    <xf numFmtId="0" fontId="49" fillId="0" borderId="25" xfId="0" applyFont="1" applyBorder="1" applyAlignment="1">
      <alignment vertical="center" wrapText="1"/>
    </xf>
    <xf numFmtId="0" fontId="49" fillId="0" borderId="0" xfId="0" applyFont="1" applyBorder="1" applyAlignment="1">
      <alignment vertical="center" wrapText="1"/>
    </xf>
    <xf numFmtId="0" fontId="51" fillId="0" borderId="41" xfId="0" applyFont="1" applyBorder="1" applyAlignment="1">
      <alignment horizontal="center" vertical="center" wrapText="1"/>
    </xf>
    <xf numFmtId="0" fontId="49" fillId="0" borderId="53" xfId="0" applyFont="1" applyBorder="1" applyAlignment="1">
      <alignment horizontal="center" vertical="center" wrapText="1"/>
    </xf>
    <xf numFmtId="170" fontId="49" fillId="0" borderId="9" xfId="0" applyNumberFormat="1" applyFont="1" applyBorder="1" applyAlignment="1">
      <alignment horizontal="center" vertical="center" wrapText="1"/>
    </xf>
    <xf numFmtId="0" fontId="49" fillId="0" borderId="17" xfId="0" applyFont="1" applyBorder="1" applyAlignment="1">
      <alignment wrapText="1"/>
    </xf>
    <xf numFmtId="165" fontId="50" fillId="7" borderId="13" xfId="0" applyNumberFormat="1" applyFont="1" applyFill="1" applyBorder="1" applyAlignment="1">
      <alignment horizontal="center" vertical="center" wrapText="1"/>
    </xf>
    <xf numFmtId="165" fontId="50" fillId="28" borderId="111" xfId="0" applyNumberFormat="1" applyFont="1" applyFill="1" applyBorder="1" applyAlignment="1">
      <alignment horizontal="center" vertical="center" wrapText="1"/>
    </xf>
    <xf numFmtId="165" fontId="50" fillId="26" borderId="111" xfId="0" applyNumberFormat="1" applyFont="1" applyFill="1" applyBorder="1" applyAlignment="1">
      <alignment horizontal="center" vertical="center" wrapText="1"/>
    </xf>
    <xf numFmtId="165" fontId="50" fillId="26" borderId="18" xfId="0" applyNumberFormat="1" applyFont="1" applyFill="1" applyBorder="1" applyAlignment="1">
      <alignment horizontal="center" vertical="center" wrapText="1"/>
    </xf>
    <xf numFmtId="165" fontId="50" fillId="26" borderId="75" xfId="0" applyNumberFormat="1" applyFont="1" applyFill="1" applyBorder="1" applyAlignment="1">
      <alignment horizontal="center" vertical="center" wrapText="1"/>
    </xf>
    <xf numFmtId="165" fontId="50" fillId="28" borderId="13" xfId="0" applyNumberFormat="1" applyFont="1" applyFill="1" applyBorder="1" applyAlignment="1">
      <alignment horizontal="center" vertical="center" wrapText="1"/>
    </xf>
    <xf numFmtId="165" fontId="49" fillId="0" borderId="13" xfId="0" applyNumberFormat="1" applyFont="1" applyBorder="1" applyAlignment="1">
      <alignment horizontal="center" vertical="center" wrapText="1"/>
    </xf>
    <xf numFmtId="165" fontId="49" fillId="0" borderId="111" xfId="0" applyNumberFormat="1" applyFont="1" applyBorder="1" applyAlignment="1">
      <alignment horizontal="center" vertical="center" wrapText="1"/>
    </xf>
    <xf numFmtId="165" fontId="49" fillId="0" borderId="133" xfId="0" applyNumberFormat="1" applyFont="1" applyBorder="1" applyAlignment="1">
      <alignment horizontal="center" vertical="center" wrapText="1"/>
    </xf>
    <xf numFmtId="165" fontId="50" fillId="3" borderId="13" xfId="0" applyNumberFormat="1" applyFont="1" applyFill="1" applyBorder="1" applyAlignment="1">
      <alignment horizontal="center" vertical="center" wrapText="1"/>
    </xf>
    <xf numFmtId="165" fontId="50" fillId="26" borderId="25" xfId="0" applyNumberFormat="1" applyFont="1" applyFill="1" applyBorder="1" applyAlignment="1">
      <alignment horizontal="center" vertical="center" wrapText="1"/>
    </xf>
    <xf numFmtId="9" fontId="49" fillId="0" borderId="75" xfId="0" applyNumberFormat="1" applyFont="1" applyBorder="1" applyAlignment="1">
      <alignment horizontal="center" vertical="center" wrapText="1"/>
    </xf>
    <xf numFmtId="9" fontId="49" fillId="0" borderId="133" xfId="0" applyNumberFormat="1" applyFont="1" applyBorder="1" applyAlignment="1">
      <alignment horizontal="center" vertical="center" wrapText="1"/>
    </xf>
    <xf numFmtId="165" fontId="49" fillId="0" borderId="75" xfId="0" applyNumberFormat="1" applyFont="1" applyBorder="1" applyAlignment="1">
      <alignment horizontal="center" vertical="center" wrapText="1"/>
    </xf>
    <xf numFmtId="10" fontId="49" fillId="0" borderId="13" xfId="0" applyNumberFormat="1" applyFont="1" applyBorder="1" applyAlignment="1">
      <alignment horizontal="center" vertical="center" wrapText="1"/>
    </xf>
    <xf numFmtId="165" fontId="50" fillId="30" borderId="13" xfId="0" applyNumberFormat="1" applyFont="1" applyFill="1" applyBorder="1" applyAlignment="1">
      <alignment horizontal="center" vertical="center" wrapText="1"/>
    </xf>
    <xf numFmtId="165" fontId="50" fillId="28" borderId="25" xfId="0" applyNumberFormat="1" applyFont="1" applyFill="1" applyBorder="1" applyAlignment="1">
      <alignment horizontal="center" vertical="center" wrapText="1"/>
    </xf>
    <xf numFmtId="9" fontId="49" fillId="0" borderId="74" xfId="0" applyNumberFormat="1" applyFont="1" applyBorder="1" applyAlignment="1">
      <alignment horizontal="center" vertical="center" wrapText="1"/>
    </xf>
    <xf numFmtId="0" fontId="49" fillId="0" borderId="3" xfId="0" applyFont="1" applyBorder="1" applyAlignment="1">
      <alignment horizontal="center" wrapText="1"/>
    </xf>
    <xf numFmtId="0" fontId="49" fillId="0" borderId="14" xfId="0" applyFont="1" applyBorder="1" applyAlignment="1">
      <alignment horizontal="center" wrapText="1"/>
    </xf>
    <xf numFmtId="0" fontId="49" fillId="0" borderId="24" xfId="0" applyFont="1" applyBorder="1" applyAlignment="1">
      <alignment horizontal="center" wrapText="1"/>
    </xf>
    <xf numFmtId="0" fontId="49" fillId="13" borderId="24" xfId="0" applyFont="1" applyFill="1" applyBorder="1" applyAlignment="1">
      <alignment horizontal="center" wrapText="1"/>
    </xf>
    <xf numFmtId="0" fontId="49" fillId="0" borderId="20" xfId="0" applyFont="1" applyBorder="1" applyAlignment="1">
      <alignment horizontal="center" wrapText="1"/>
    </xf>
    <xf numFmtId="0" fontId="49" fillId="0" borderId="1" xfId="0" applyFont="1" applyBorder="1" applyAlignment="1">
      <alignment horizontal="center" wrapText="1"/>
    </xf>
    <xf numFmtId="0" fontId="51" fillId="0" borderId="0" xfId="0" applyFont="1" applyAlignment="1">
      <alignment horizontal="center"/>
    </xf>
    <xf numFmtId="165" fontId="50" fillId="3" borderId="45" xfId="0" applyNumberFormat="1" applyFont="1" applyFill="1" applyBorder="1" applyAlignment="1">
      <alignment horizontal="center" vertical="center" wrapText="1"/>
    </xf>
    <xf numFmtId="0" fontId="49" fillId="15" borderId="23" xfId="0" applyFont="1" applyFill="1" applyBorder="1" applyAlignment="1">
      <alignment horizontal="center" vertical="center" wrapText="1"/>
    </xf>
    <xf numFmtId="165" fontId="49" fillId="13" borderId="24" xfId="0" applyNumberFormat="1" applyFont="1" applyFill="1" applyBorder="1" applyAlignment="1">
      <alignment horizontal="center" vertical="center" wrapText="1"/>
    </xf>
    <xf numFmtId="165" fontId="50" fillId="3" borderId="136" xfId="0" applyNumberFormat="1" applyFont="1" applyFill="1" applyBorder="1" applyAlignment="1">
      <alignment horizontal="center" vertical="center" wrapText="1"/>
    </xf>
    <xf numFmtId="165" fontId="49" fillId="0" borderId="142" xfId="0" applyNumberFormat="1" applyFont="1" applyBorder="1" applyAlignment="1">
      <alignment horizontal="center" vertical="center" wrapText="1"/>
    </xf>
    <xf numFmtId="165" fontId="50" fillId="3" borderId="113" xfId="0" applyNumberFormat="1" applyFont="1" applyFill="1" applyBorder="1" applyAlignment="1">
      <alignment horizontal="center" vertical="center" wrapText="1"/>
    </xf>
    <xf numFmtId="0" fontId="49" fillId="15" borderId="24" xfId="0" applyFont="1" applyFill="1" applyBorder="1" applyAlignment="1">
      <alignment horizontal="center" vertical="center" wrapText="1"/>
    </xf>
    <xf numFmtId="0" fontId="51" fillId="15" borderId="24" xfId="0" applyFont="1" applyFill="1" applyBorder="1" applyAlignment="1">
      <alignment horizontal="center" vertical="center"/>
    </xf>
    <xf numFmtId="0" fontId="54" fillId="15" borderId="24" xfId="0" applyFont="1" applyFill="1" applyBorder="1" applyAlignment="1">
      <alignment horizontal="center" vertical="center" wrapText="1"/>
    </xf>
    <xf numFmtId="0" fontId="55" fillId="15" borderId="24" xfId="0" applyFont="1" applyFill="1" applyBorder="1" applyAlignment="1">
      <alignment horizontal="center" vertical="center" wrapText="1"/>
    </xf>
    <xf numFmtId="0" fontId="37" fillId="9" borderId="0" xfId="0" applyFont="1" applyFill="1" applyBorder="1" applyAlignment="1">
      <alignment horizontal="center" vertical="center"/>
    </xf>
    <xf numFmtId="165" fontId="39" fillId="28" borderId="47" xfId="0" applyNumberFormat="1" applyFont="1" applyFill="1" applyBorder="1" applyAlignment="1">
      <alignment horizontal="center" vertical="center" wrapText="1"/>
    </xf>
    <xf numFmtId="0" fontId="50" fillId="42" borderId="36" xfId="0" applyFont="1" applyFill="1" applyBorder="1" applyAlignment="1">
      <alignment horizontal="center" vertical="center" wrapText="1"/>
    </xf>
    <xf numFmtId="0" fontId="50" fillId="42" borderId="43" xfId="0" applyFont="1" applyFill="1" applyBorder="1" applyAlignment="1">
      <alignment horizontal="center" vertical="center" wrapText="1"/>
    </xf>
    <xf numFmtId="0" fontId="40" fillId="0" borderId="24" xfId="0" applyFont="1" applyBorder="1" applyAlignment="1"/>
    <xf numFmtId="165" fontId="44" fillId="6" borderId="24" xfId="0" applyNumberFormat="1" applyFont="1" applyFill="1" applyBorder="1" applyAlignment="1">
      <alignment horizontal="center" vertical="center" wrapText="1"/>
    </xf>
    <xf numFmtId="165" fontId="44" fillId="4" borderId="24" xfId="0" applyNumberFormat="1" applyFont="1" applyFill="1" applyBorder="1" applyAlignment="1">
      <alignment horizontal="center" vertical="center" wrapText="1"/>
    </xf>
    <xf numFmtId="10" fontId="44" fillId="6" borderId="24" xfId="0" applyNumberFormat="1" applyFont="1" applyFill="1" applyBorder="1" applyAlignment="1">
      <alignment horizontal="center" vertical="center" wrapText="1"/>
    </xf>
    <xf numFmtId="10" fontId="44" fillId="4" borderId="47" xfId="0" applyNumberFormat="1" applyFont="1" applyFill="1" applyBorder="1" applyAlignment="1">
      <alignment horizontal="center" vertical="center" wrapText="1"/>
    </xf>
    <xf numFmtId="0" fontId="41" fillId="12" borderId="24" xfId="0" applyFont="1" applyFill="1" applyBorder="1" applyAlignment="1">
      <alignment vertical="center" wrapText="1"/>
    </xf>
    <xf numFmtId="0" fontId="38" fillId="15" borderId="24" xfId="0" applyFont="1" applyFill="1" applyBorder="1" applyAlignment="1">
      <alignment horizontal="center" vertical="center" wrapText="1"/>
    </xf>
    <xf numFmtId="2" fontId="38" fillId="15" borderId="24" xfId="0" applyNumberFormat="1" applyFont="1" applyFill="1" applyBorder="1" applyAlignment="1">
      <alignment horizontal="center" vertical="center" wrapText="1"/>
    </xf>
    <xf numFmtId="0" fontId="37" fillId="15" borderId="24" xfId="0" applyFont="1" applyFill="1" applyBorder="1" applyAlignment="1">
      <alignment horizontal="center" vertical="center" wrapText="1"/>
    </xf>
    <xf numFmtId="43" fontId="38" fillId="15" borderId="24" xfId="3" applyFont="1" applyFill="1" applyBorder="1" applyAlignment="1">
      <alignment horizontal="center" vertical="center" wrapText="1"/>
    </xf>
    <xf numFmtId="0" fontId="40" fillId="15" borderId="24" xfId="0" applyFont="1" applyFill="1" applyBorder="1" applyAlignment="1">
      <alignment horizontal="center" vertical="center"/>
    </xf>
    <xf numFmtId="167" fontId="40" fillId="15" borderId="24" xfId="0" applyNumberFormat="1" applyFont="1" applyFill="1" applyBorder="1" applyAlignment="1">
      <alignment horizontal="center" vertical="center"/>
    </xf>
    <xf numFmtId="9" fontId="38" fillId="15" borderId="24" xfId="0" applyNumberFormat="1" applyFont="1" applyFill="1" applyBorder="1" applyAlignment="1">
      <alignment horizontal="center" vertical="center" wrapText="1"/>
    </xf>
    <xf numFmtId="166" fontId="38" fillId="0" borderId="24" xfId="0" applyNumberFormat="1" applyFont="1" applyBorder="1" applyAlignment="1">
      <alignment wrapText="1"/>
    </xf>
    <xf numFmtId="10" fontId="19" fillId="6" borderId="51" xfId="0" applyNumberFormat="1" applyFont="1" applyFill="1" applyBorder="1" applyAlignment="1">
      <alignment horizontal="center" vertical="center" wrapText="1"/>
    </xf>
    <xf numFmtId="10" fontId="19" fillId="4" borderId="51" xfId="0" applyNumberFormat="1" applyFont="1" applyFill="1" applyBorder="1" applyAlignment="1">
      <alignment horizontal="center" vertical="center" wrapText="1"/>
    </xf>
    <xf numFmtId="0" fontId="39" fillId="12" borderId="24" xfId="0" applyFont="1" applyFill="1" applyBorder="1" applyAlignment="1">
      <alignment wrapText="1"/>
    </xf>
    <xf numFmtId="0" fontId="29" fillId="0" borderId="3" xfId="0" applyFont="1" applyBorder="1" applyAlignment="1">
      <alignment wrapText="1"/>
    </xf>
    <xf numFmtId="0" fontId="29" fillId="13" borderId="3" xfId="0" applyFont="1" applyFill="1" applyBorder="1" applyAlignment="1">
      <alignment wrapText="1"/>
    </xf>
    <xf numFmtId="0" fontId="29" fillId="0" borderId="51" xfId="0" applyFont="1" applyBorder="1" applyAlignment="1">
      <alignment wrapText="1"/>
    </xf>
    <xf numFmtId="9" fontId="32" fillId="0" borderId="32" xfId="0" applyNumberFormat="1" applyFont="1" applyBorder="1" applyAlignment="1">
      <alignment horizontal="center" vertical="center"/>
    </xf>
    <xf numFmtId="0" fontId="30" fillId="0" borderId="51" xfId="0" applyFont="1" applyBorder="1" applyAlignment="1"/>
    <xf numFmtId="0" fontId="33" fillId="0" borderId="51" xfId="0" applyFont="1" applyBorder="1" applyAlignment="1">
      <alignment horizontal="center" wrapText="1"/>
    </xf>
    <xf numFmtId="0" fontId="29" fillId="0" borderId="24" xfId="0" applyFont="1" applyBorder="1" applyAlignment="1">
      <alignment horizontal="center" vertical="center" wrapText="1"/>
    </xf>
    <xf numFmtId="165" fontId="27" fillId="3" borderId="24" xfId="0" applyNumberFormat="1" applyFont="1" applyFill="1" applyBorder="1" applyAlignment="1">
      <alignment horizontal="center" vertical="center" wrapText="1"/>
    </xf>
    <xf numFmtId="3" fontId="37" fillId="15" borderId="24" xfId="0" applyNumberFormat="1" applyFont="1" applyFill="1" applyBorder="1" applyAlignment="1">
      <alignment horizontal="center" vertical="center" wrapText="1"/>
    </xf>
    <xf numFmtId="4" fontId="37" fillId="15" borderId="24" xfId="0" applyNumberFormat="1" applyFont="1" applyFill="1" applyBorder="1" applyAlignment="1">
      <alignment horizontal="center" vertical="center" wrapText="1"/>
    </xf>
    <xf numFmtId="0" fontId="49" fillId="15" borderId="6" xfId="0" applyFont="1" applyFill="1" applyBorder="1" applyAlignment="1">
      <alignment horizontal="center" vertical="center" wrapText="1"/>
    </xf>
    <xf numFmtId="0" fontId="50" fillId="0" borderId="13" xfId="0" applyFont="1" applyBorder="1" applyAlignment="1">
      <alignment horizontal="center" vertical="center" wrapText="1"/>
    </xf>
    <xf numFmtId="0" fontId="51" fillId="13" borderId="116" xfId="2" applyFont="1" applyFill="1" applyBorder="1" applyAlignment="1">
      <alignment horizontal="center" vertical="center"/>
    </xf>
    <xf numFmtId="0" fontId="49" fillId="0" borderId="71" xfId="0" applyFont="1" applyBorder="1" applyAlignment="1">
      <alignment horizontal="center" vertical="center" wrapText="1"/>
    </xf>
    <xf numFmtId="9" fontId="38" fillId="19" borderId="47" xfId="0" applyNumberFormat="1" applyFont="1" applyFill="1" applyBorder="1" applyAlignment="1">
      <alignment horizontal="center" vertical="center" wrapText="1"/>
    </xf>
    <xf numFmtId="0" fontId="41" fillId="19" borderId="24" xfId="0" applyFont="1" applyFill="1" applyBorder="1" applyAlignment="1">
      <alignment vertical="center"/>
    </xf>
    <xf numFmtId="0" fontId="41" fillId="12" borderId="24" xfId="0" applyFont="1" applyFill="1" applyBorder="1" applyAlignment="1">
      <alignment vertical="center"/>
    </xf>
    <xf numFmtId="0" fontId="40" fillId="12" borderId="24" xfId="0" applyFont="1" applyFill="1" applyBorder="1" applyAlignment="1">
      <alignment horizontal="left" vertical="center" wrapText="1"/>
    </xf>
    <xf numFmtId="0" fontId="41" fillId="19" borderId="24" xfId="0" applyFont="1" applyFill="1" applyBorder="1" applyAlignment="1">
      <alignment horizontal="center" vertical="center"/>
    </xf>
    <xf numFmtId="9" fontId="39" fillId="19" borderId="24" xfId="0" applyNumberFormat="1" applyFont="1" applyFill="1" applyBorder="1" applyAlignment="1">
      <alignment horizontal="left" vertical="center" wrapText="1"/>
    </xf>
    <xf numFmtId="9" fontId="39" fillId="19" borderId="24" xfId="0" applyNumberFormat="1" applyFont="1" applyFill="1" applyBorder="1" applyAlignment="1">
      <alignment horizontal="center" vertical="center" wrapText="1"/>
    </xf>
    <xf numFmtId="0" fontId="41" fillId="12" borderId="24" xfId="0" applyFont="1" applyFill="1" applyBorder="1" applyAlignment="1">
      <alignment horizontal="left" vertical="center" wrapText="1"/>
    </xf>
    <xf numFmtId="0" fontId="50" fillId="19" borderId="24" xfId="0" applyFont="1" applyFill="1" applyBorder="1" applyAlignment="1">
      <alignment vertical="center" wrapText="1"/>
    </xf>
    <xf numFmtId="167" fontId="38" fillId="15" borderId="24" xfId="0" applyNumberFormat="1" applyFont="1" applyFill="1" applyBorder="1" applyAlignment="1">
      <alignment horizontal="center" vertical="center" wrapText="1"/>
    </xf>
    <xf numFmtId="170" fontId="49" fillId="15" borderId="14" xfId="0" applyNumberFormat="1" applyFont="1" applyFill="1" applyBorder="1" applyAlignment="1">
      <alignment horizontal="center" vertical="center" wrapText="1"/>
    </xf>
    <xf numFmtId="9" fontId="49" fillId="19" borderId="47" xfId="0" applyNumberFormat="1" applyFont="1" applyFill="1" applyBorder="1" applyAlignment="1">
      <alignment horizontal="center" vertical="center" wrapText="1"/>
    </xf>
    <xf numFmtId="0" fontId="50" fillId="12" borderId="24" xfId="0" applyFont="1" applyFill="1" applyBorder="1" applyAlignment="1">
      <alignment vertical="center" wrapText="1"/>
    </xf>
    <xf numFmtId="9" fontId="50" fillId="19" borderId="24" xfId="0" applyNumberFormat="1" applyFont="1" applyFill="1" applyBorder="1" applyAlignment="1">
      <alignment horizontal="center" vertical="center" wrapText="1"/>
    </xf>
    <xf numFmtId="1" fontId="49" fillId="15" borderId="14" xfId="0" applyNumberFormat="1" applyFont="1" applyFill="1" applyBorder="1" applyAlignment="1">
      <alignment horizontal="center" vertical="center" wrapText="1"/>
    </xf>
    <xf numFmtId="1" fontId="49" fillId="0" borderId="14" xfId="0" applyNumberFormat="1" applyFont="1" applyBorder="1" applyAlignment="1">
      <alignment vertical="center" wrapText="1"/>
    </xf>
    <xf numFmtId="10" fontId="50" fillId="26" borderId="24" xfId="0" applyNumberFormat="1" applyFont="1" applyFill="1" applyBorder="1" applyAlignment="1">
      <alignment horizontal="center" vertical="center" wrapText="1"/>
    </xf>
    <xf numFmtId="0" fontId="39" fillId="12" borderId="9" xfId="0" applyFont="1" applyFill="1" applyBorder="1" applyAlignment="1">
      <alignment vertical="center" wrapText="1"/>
    </xf>
    <xf numFmtId="0" fontId="39" fillId="41" borderId="9" xfId="0" applyFont="1" applyFill="1" applyBorder="1" applyAlignment="1">
      <alignment vertical="center" wrapText="1"/>
    </xf>
    <xf numFmtId="9" fontId="39" fillId="19" borderId="25" xfId="0" applyNumberFormat="1" applyFont="1" applyFill="1" applyBorder="1" applyAlignment="1">
      <alignment horizontal="center" vertical="center" wrapText="1"/>
    </xf>
    <xf numFmtId="9" fontId="29" fillId="19" borderId="116" xfId="0" applyNumberFormat="1" applyFont="1" applyFill="1" applyBorder="1" applyAlignment="1">
      <alignment horizontal="center" vertical="center" wrapText="1"/>
    </xf>
    <xf numFmtId="9" fontId="49" fillId="0" borderId="9" xfId="0" applyNumberFormat="1" applyFont="1" applyBorder="1" applyAlignment="1">
      <alignment vertical="center" wrapText="1"/>
    </xf>
    <xf numFmtId="0" fontId="39" fillId="12" borderId="25" xfId="0" applyFont="1" applyFill="1" applyBorder="1" applyAlignment="1">
      <alignment vertical="center" wrapText="1"/>
    </xf>
    <xf numFmtId="0" fontId="39" fillId="19" borderId="25" xfId="0" applyFont="1" applyFill="1" applyBorder="1" applyAlignment="1">
      <alignment vertical="center" wrapText="1"/>
    </xf>
    <xf numFmtId="9" fontId="38" fillId="13" borderId="113" xfId="0" applyNumberFormat="1" applyFont="1" applyFill="1" applyBorder="1" applyAlignment="1">
      <alignment horizontal="center" vertical="center" wrapText="1"/>
    </xf>
    <xf numFmtId="0" fontId="39" fillId="12" borderId="25" xfId="0" applyFont="1" applyFill="1" applyBorder="1" applyAlignment="1">
      <alignment wrapText="1"/>
    </xf>
    <xf numFmtId="9" fontId="29" fillId="13" borderId="47" xfId="0" applyNumberFormat="1" applyFont="1" applyFill="1" applyBorder="1" applyAlignment="1">
      <alignment horizontal="center" vertical="center" wrapText="1"/>
    </xf>
    <xf numFmtId="0" fontId="49" fillId="0" borderId="0" xfId="0" applyFont="1" applyBorder="1" applyAlignment="1">
      <alignment wrapText="1"/>
    </xf>
    <xf numFmtId="10" fontId="39" fillId="27" borderId="109" xfId="0" applyNumberFormat="1" applyFont="1" applyFill="1" applyBorder="1" applyAlignment="1">
      <alignment vertical="center" wrapText="1"/>
    </xf>
    <xf numFmtId="0" fontId="40" fillId="13" borderId="34" xfId="0" applyFont="1" applyFill="1" applyBorder="1" applyAlignment="1"/>
    <xf numFmtId="165" fontId="39" fillId="27" borderId="117" xfId="0" applyNumberFormat="1" applyFont="1" applyFill="1" applyBorder="1" applyAlignment="1">
      <alignment horizontal="center" vertical="center" wrapText="1"/>
    </xf>
    <xf numFmtId="9" fontId="38" fillId="19" borderId="28" xfId="0" applyNumberFormat="1" applyFont="1" applyFill="1" applyBorder="1" applyAlignment="1">
      <alignment horizontal="center" vertical="center" wrapText="1"/>
    </xf>
    <xf numFmtId="9" fontId="38" fillId="19" borderId="113" xfId="0" applyNumberFormat="1" applyFont="1" applyFill="1" applyBorder="1" applyAlignment="1">
      <alignment horizontal="center" vertical="center" wrapText="1"/>
    </xf>
    <xf numFmtId="9" fontId="38" fillId="41" borderId="34" xfId="0" applyNumberFormat="1" applyFont="1" applyFill="1" applyBorder="1" applyAlignment="1">
      <alignment horizontal="left" vertical="center" wrapText="1"/>
    </xf>
    <xf numFmtId="165" fontId="50" fillId="7" borderId="111" xfId="0" applyNumberFormat="1" applyFont="1" applyFill="1" applyBorder="1" applyAlignment="1">
      <alignment horizontal="center" vertical="center" wrapText="1"/>
    </xf>
    <xf numFmtId="165" fontId="50" fillId="30" borderId="111" xfId="0" applyNumberFormat="1" applyFont="1" applyFill="1" applyBorder="1" applyAlignment="1">
      <alignment horizontal="center" vertical="center" wrapText="1"/>
    </xf>
    <xf numFmtId="9" fontId="39" fillId="12" borderId="25" xfId="0" applyNumberFormat="1" applyFont="1" applyFill="1" applyBorder="1" applyAlignment="1">
      <alignment horizontal="left" vertical="center" wrapText="1"/>
    </xf>
    <xf numFmtId="9" fontId="50" fillId="19" borderId="24" xfId="0" applyNumberFormat="1" applyFont="1" applyFill="1" applyBorder="1" applyAlignment="1">
      <alignment horizontal="left" vertical="center" wrapText="1"/>
    </xf>
    <xf numFmtId="9" fontId="38" fillId="41" borderId="113" xfId="0" applyNumberFormat="1" applyFont="1" applyFill="1" applyBorder="1" applyAlignment="1">
      <alignment horizontal="center" vertical="center" wrapText="1"/>
    </xf>
    <xf numFmtId="165" fontId="39" fillId="27" borderId="113" xfId="0" applyNumberFormat="1" applyFont="1" applyFill="1" applyBorder="1" applyAlignment="1">
      <alignment horizontal="center" vertical="center" wrapText="1"/>
    </xf>
    <xf numFmtId="0" fontId="38" fillId="0" borderId="0" xfId="0" applyFont="1" applyBorder="1" applyAlignment="1">
      <alignment wrapText="1"/>
    </xf>
    <xf numFmtId="0" fontId="37" fillId="9" borderId="45" xfId="0" applyFont="1" applyFill="1" applyBorder="1" applyAlignment="1">
      <alignment horizontal="center" vertical="center"/>
    </xf>
    <xf numFmtId="0" fontId="37" fillId="9" borderId="24" xfId="0" applyFont="1" applyFill="1" applyBorder="1" applyAlignment="1">
      <alignment horizontal="center" vertical="center"/>
    </xf>
    <xf numFmtId="0" fontId="38" fillId="0" borderId="47" xfId="0" applyFont="1" applyBorder="1" applyAlignment="1">
      <alignment wrapText="1"/>
    </xf>
    <xf numFmtId="0" fontId="38" fillId="0" borderId="51" xfId="0" applyFont="1" applyBorder="1" applyAlignment="1">
      <alignment wrapText="1"/>
    </xf>
    <xf numFmtId="0" fontId="49" fillId="0" borderId="3" xfId="0" applyFont="1" applyBorder="1" applyAlignment="1">
      <alignment vertical="center" wrapText="1"/>
    </xf>
    <xf numFmtId="0" fontId="49" fillId="0" borderId="87" xfId="0" applyFont="1" applyBorder="1" applyAlignment="1">
      <alignment vertical="center" wrapText="1"/>
    </xf>
    <xf numFmtId="0" fontId="49" fillId="0" borderId="56" xfId="0" applyFont="1" applyBorder="1" applyAlignment="1">
      <alignment vertical="center" wrapText="1"/>
    </xf>
    <xf numFmtId="0" fontId="49" fillId="0" borderId="43" xfId="0" applyFont="1" applyBorder="1" applyAlignment="1">
      <alignment vertical="center" wrapText="1"/>
    </xf>
    <xf numFmtId="0" fontId="49" fillId="0" borderId="83" xfId="0" applyFont="1" applyBorder="1" applyAlignment="1">
      <alignment vertical="center" wrapText="1"/>
    </xf>
    <xf numFmtId="0" fontId="49" fillId="0" borderId="80" xfId="0" applyFont="1" applyBorder="1" applyAlignment="1">
      <alignment vertical="center" wrapText="1"/>
    </xf>
    <xf numFmtId="0" fontId="49" fillId="0" borderId="74" xfId="0" applyFont="1" applyBorder="1" applyAlignment="1">
      <alignment vertical="center" wrapText="1"/>
    </xf>
    <xf numFmtId="0" fontId="49" fillId="13" borderId="25" xfId="0" applyFont="1" applyFill="1" applyBorder="1" applyAlignment="1">
      <alignment vertical="center" wrapText="1"/>
    </xf>
    <xf numFmtId="0" fontId="49" fillId="0" borderId="58" xfId="0" applyFont="1" applyBorder="1" applyAlignment="1">
      <alignment vertical="center" wrapText="1"/>
    </xf>
    <xf numFmtId="0" fontId="49" fillId="0" borderId="64" xfId="0" applyFont="1" applyBorder="1" applyAlignment="1">
      <alignment vertical="center" wrapText="1"/>
    </xf>
    <xf numFmtId="0" fontId="49" fillId="0" borderId="75" xfId="0" applyFont="1" applyBorder="1" applyAlignment="1">
      <alignment vertical="center" wrapText="1"/>
    </xf>
    <xf numFmtId="0" fontId="49" fillId="0" borderId="72" xfId="0" applyFont="1" applyBorder="1" applyAlignment="1">
      <alignment vertical="center" wrapText="1"/>
    </xf>
    <xf numFmtId="0" fontId="49" fillId="0" borderId="73" xfId="0" applyFont="1" applyBorder="1" applyAlignment="1">
      <alignment vertical="center" wrapText="1"/>
    </xf>
    <xf numFmtId="0" fontId="49" fillId="0" borderId="79" xfId="0" applyFont="1" applyBorder="1" applyAlignment="1">
      <alignment vertical="center" wrapText="1"/>
    </xf>
    <xf numFmtId="0" fontId="49" fillId="0" borderId="77" xfId="0" applyFont="1" applyBorder="1" applyAlignment="1">
      <alignment vertical="center" wrapText="1"/>
    </xf>
    <xf numFmtId="0" fontId="49" fillId="13" borderId="54" xfId="0" applyFont="1" applyFill="1" applyBorder="1" applyAlignment="1">
      <alignment vertical="center" wrapText="1"/>
    </xf>
    <xf numFmtId="0" fontId="49" fillId="0" borderId="75" xfId="0" applyFont="1" applyBorder="1" applyAlignment="1">
      <alignment horizontal="center" vertical="center" wrapText="1"/>
    </xf>
    <xf numFmtId="0" fontId="49" fillId="0" borderId="72" xfId="0" applyFont="1" applyBorder="1" applyAlignment="1">
      <alignment horizontal="center" vertical="center" wrapText="1"/>
    </xf>
    <xf numFmtId="0" fontId="49" fillId="0" borderId="76" xfId="0" applyFont="1" applyBorder="1" applyAlignment="1">
      <alignment horizontal="center" vertical="center" wrapText="1"/>
    </xf>
    <xf numFmtId="0" fontId="49" fillId="0" borderId="54" xfId="0" applyFont="1" applyBorder="1" applyAlignment="1">
      <alignment horizontal="center" vertical="center" wrapText="1"/>
    </xf>
    <xf numFmtId="0" fontId="49" fillId="13" borderId="54" xfId="0" applyFont="1" applyFill="1" applyBorder="1" applyAlignment="1">
      <alignment horizontal="center" vertical="center" wrapText="1"/>
    </xf>
    <xf numFmtId="0" fontId="49" fillId="0" borderId="56" xfId="0" applyFont="1" applyBorder="1" applyAlignment="1">
      <alignment horizontal="center" vertical="center" wrapText="1"/>
    </xf>
    <xf numFmtId="0" fontId="49" fillId="0" borderId="74" xfId="0" applyFont="1" applyBorder="1" applyAlignment="1">
      <alignment horizontal="center" vertical="center" wrapText="1"/>
    </xf>
    <xf numFmtId="0" fontId="49" fillId="0" borderId="73" xfId="0" applyFont="1" applyBorder="1" applyAlignment="1">
      <alignment horizontal="center" vertical="center" wrapText="1"/>
    </xf>
    <xf numFmtId="0" fontId="49" fillId="0" borderId="79" xfId="0" applyFont="1" applyBorder="1" applyAlignment="1">
      <alignment horizontal="center" vertical="center" wrapText="1"/>
    </xf>
    <xf numFmtId="0" fontId="49" fillId="0" borderId="76" xfId="0" applyFont="1" applyBorder="1" applyAlignment="1">
      <alignment vertical="center" wrapText="1"/>
    </xf>
    <xf numFmtId="0" fontId="49" fillId="0" borderId="61" xfId="0" applyFont="1" applyBorder="1" applyAlignment="1">
      <alignment vertical="center" wrapText="1"/>
    </xf>
    <xf numFmtId="0" fontId="49" fillId="0" borderId="20" xfId="0" applyFont="1" applyBorder="1" applyAlignment="1">
      <alignment vertical="center" wrapText="1"/>
    </xf>
    <xf numFmtId="0" fontId="49" fillId="0" borderId="1" xfId="0" applyFont="1" applyBorder="1" applyAlignment="1">
      <alignment vertical="center" wrapText="1"/>
    </xf>
    <xf numFmtId="0" fontId="51" fillId="0" borderId="0" xfId="0" applyFont="1" applyAlignment="1">
      <alignment vertical="center"/>
    </xf>
    <xf numFmtId="165" fontId="49" fillId="0" borderId="9" xfId="1" applyNumberFormat="1" applyFont="1" applyBorder="1" applyAlignment="1">
      <alignment horizontal="center" vertical="center" wrapText="1"/>
    </xf>
    <xf numFmtId="9" fontId="39" fillId="19" borderId="34" xfId="0" applyNumberFormat="1" applyFont="1" applyFill="1" applyBorder="1" applyAlignment="1">
      <alignment horizontal="center" vertical="center" wrapText="1"/>
    </xf>
    <xf numFmtId="9" fontId="39" fillId="12" borderId="34" xfId="0" applyNumberFormat="1" applyFont="1" applyFill="1" applyBorder="1" applyAlignment="1">
      <alignment horizontal="left" vertical="center" wrapText="1"/>
    </xf>
    <xf numFmtId="0" fontId="39" fillId="12" borderId="24" xfId="0" applyFont="1" applyFill="1" applyBorder="1" applyAlignment="1">
      <alignment vertical="center" wrapText="1"/>
    </xf>
    <xf numFmtId="0" fontId="38" fillId="13" borderId="27" xfId="0" applyFont="1" applyFill="1" applyBorder="1" applyAlignment="1">
      <alignment wrapText="1"/>
    </xf>
    <xf numFmtId="1" fontId="49" fillId="0" borderId="14" xfId="0" applyNumberFormat="1" applyFont="1" applyBorder="1" applyAlignment="1">
      <alignment horizontal="center" vertical="center" wrapText="1"/>
    </xf>
    <xf numFmtId="170" fontId="38" fillId="0" borderId="24" xfId="0" applyNumberFormat="1" applyFont="1" applyBorder="1" applyAlignment="1">
      <alignment horizontal="center" vertical="center" wrapText="1"/>
    </xf>
    <xf numFmtId="9" fontId="38" fillId="19" borderId="47" xfId="0" applyNumberFormat="1" applyFont="1" applyFill="1" applyBorder="1" applyAlignment="1">
      <alignment horizontal="left" vertical="center" wrapText="1"/>
    </xf>
    <xf numFmtId="0" fontId="39" fillId="12" borderId="31" xfId="0" applyFont="1" applyFill="1" applyBorder="1" applyAlignment="1">
      <alignment horizontal="left" vertical="center" wrapText="1"/>
    </xf>
    <xf numFmtId="0" fontId="39" fillId="12" borderId="51" xfId="0" applyFont="1" applyFill="1" applyBorder="1" applyAlignment="1">
      <alignment wrapText="1"/>
    </xf>
    <xf numFmtId="9" fontId="8" fillId="0" borderId="24" xfId="1" applyNumberFormat="1" applyFont="1" applyBorder="1" applyAlignment="1">
      <alignment horizontal="center" vertical="center"/>
    </xf>
    <xf numFmtId="0" fontId="60" fillId="0" borderId="0" xfId="0" applyFont="1" applyAlignment="1"/>
    <xf numFmtId="0" fontId="57" fillId="0" borderId="22" xfId="0" applyFont="1" applyBorder="1" applyAlignment="1">
      <alignment wrapText="1"/>
    </xf>
    <xf numFmtId="0" fontId="57" fillId="0" borderId="53" xfId="0" applyFont="1" applyBorder="1" applyAlignment="1">
      <alignment vertical="center" wrapText="1"/>
    </xf>
    <xf numFmtId="165" fontId="58" fillId="29" borderId="34" xfId="0" applyNumberFormat="1" applyFont="1" applyFill="1" applyBorder="1" applyAlignment="1">
      <alignment horizontal="center" vertical="center" wrapText="1"/>
    </xf>
    <xf numFmtId="165" fontId="58" fillId="31" borderId="24" xfId="0" applyNumberFormat="1" applyFont="1" applyFill="1" applyBorder="1" applyAlignment="1">
      <alignment horizontal="center" vertical="center" wrapText="1"/>
    </xf>
    <xf numFmtId="0" fontId="57" fillId="0" borderId="51" xfId="0" applyFont="1" applyBorder="1" applyAlignment="1">
      <alignment horizontal="center" wrapText="1"/>
    </xf>
    <xf numFmtId="0" fontId="57" fillId="0" borderId="51" xfId="0" applyFont="1" applyBorder="1" applyAlignment="1">
      <alignment wrapText="1"/>
    </xf>
    <xf numFmtId="165" fontId="58" fillId="28" borderId="116" xfId="0" applyNumberFormat="1" applyFont="1" applyFill="1" applyBorder="1" applyAlignment="1">
      <alignment horizontal="center" vertical="center" wrapText="1"/>
    </xf>
    <xf numFmtId="165" fontId="58" fillId="7" borderId="24" xfId="0" applyNumberFormat="1" applyFont="1" applyFill="1" applyBorder="1" applyAlignment="1">
      <alignment horizontal="center" vertical="center" wrapText="1"/>
    </xf>
    <xf numFmtId="165" fontId="58" fillId="28" borderId="24" xfId="0" applyNumberFormat="1" applyFont="1" applyFill="1" applyBorder="1" applyAlignment="1">
      <alignment horizontal="center" vertical="center" wrapText="1"/>
    </xf>
    <xf numFmtId="9" fontId="58" fillId="8" borderId="29" xfId="0" applyNumberFormat="1" applyFont="1" applyFill="1" applyBorder="1" applyAlignment="1">
      <alignment horizontal="center" vertical="center" wrapText="1"/>
    </xf>
    <xf numFmtId="0" fontId="58" fillId="0" borderId="30" xfId="0" applyFont="1" applyBorder="1" applyAlignment="1">
      <alignment wrapText="1"/>
    </xf>
    <xf numFmtId="0" fontId="57" fillId="0" borderId="134" xfId="0" applyFont="1" applyBorder="1" applyAlignment="1">
      <alignment wrapText="1"/>
    </xf>
    <xf numFmtId="0" fontId="57" fillId="0" borderId="24" xfId="0" applyFont="1" applyBorder="1" applyAlignment="1">
      <alignment wrapText="1"/>
    </xf>
    <xf numFmtId="165" fontId="58" fillId="26" borderId="135" xfId="0" applyNumberFormat="1" applyFont="1" applyFill="1" applyBorder="1" applyAlignment="1">
      <alignment horizontal="center" vertical="center" wrapText="1"/>
    </xf>
    <xf numFmtId="165" fontId="58" fillId="26" borderId="30" xfId="0" applyNumberFormat="1" applyFont="1" applyFill="1" applyBorder="1" applyAlignment="1">
      <alignment horizontal="center" vertical="center" wrapText="1"/>
    </xf>
    <xf numFmtId="0" fontId="57" fillId="0" borderId="30" xfId="0" applyFont="1" applyBorder="1" applyAlignment="1">
      <alignment horizontal="center" vertical="center" wrapText="1"/>
    </xf>
    <xf numFmtId="0" fontId="57" fillId="0" borderId="30" xfId="0" applyFont="1" applyBorder="1" applyAlignment="1">
      <alignment vertical="center" wrapText="1"/>
    </xf>
    <xf numFmtId="165" fontId="58" fillId="3" borderId="134" xfId="0" applyNumberFormat="1" applyFont="1" applyFill="1" applyBorder="1" applyAlignment="1">
      <alignment horizontal="center" vertical="center" wrapText="1"/>
    </xf>
    <xf numFmtId="165" fontId="58" fillId="3" borderId="24" xfId="0" applyNumberFormat="1" applyFont="1" applyFill="1" applyBorder="1" applyAlignment="1">
      <alignment horizontal="center" vertical="center" wrapText="1"/>
    </xf>
    <xf numFmtId="165" fontId="58" fillId="26" borderId="24" xfId="0" applyNumberFormat="1" applyFont="1" applyFill="1" applyBorder="1" applyAlignment="1">
      <alignment horizontal="center" vertical="center" wrapText="1"/>
    </xf>
    <xf numFmtId="9" fontId="39" fillId="12" borderId="24" xfId="0" applyNumberFormat="1" applyFont="1" applyFill="1" applyBorder="1" applyAlignment="1">
      <alignment horizontal="left" vertical="center" wrapText="1"/>
    </xf>
    <xf numFmtId="0" fontId="38" fillId="12" borderId="21" xfId="0" applyFont="1" applyFill="1" applyBorder="1" applyAlignment="1">
      <alignment vertical="center" wrapText="1"/>
    </xf>
    <xf numFmtId="0" fontId="39" fillId="41" borderId="143" xfId="0" applyFont="1" applyFill="1" applyBorder="1" applyAlignment="1">
      <alignment vertical="center" wrapText="1"/>
    </xf>
    <xf numFmtId="9" fontId="39" fillId="19" borderId="31" xfId="0" applyNumberFormat="1" applyFont="1" applyFill="1" applyBorder="1" applyAlignment="1">
      <alignment horizontal="left" vertical="center" wrapText="1"/>
    </xf>
    <xf numFmtId="9" fontId="39" fillId="19" borderId="51" xfId="0" applyNumberFormat="1" applyFont="1" applyFill="1" applyBorder="1" applyAlignment="1">
      <alignment horizontal="left" vertical="center" wrapText="1"/>
    </xf>
    <xf numFmtId="0" fontId="38" fillId="0" borderId="143" xfId="0" applyFont="1" applyBorder="1" applyAlignment="1">
      <alignment vertical="center" wrapText="1"/>
    </xf>
    <xf numFmtId="9" fontId="39" fillId="19" borderId="25" xfId="0" applyNumberFormat="1" applyFont="1" applyFill="1" applyBorder="1" applyAlignment="1">
      <alignment horizontal="left" vertical="center" wrapText="1"/>
    </xf>
    <xf numFmtId="0" fontId="39" fillId="41" borderId="25" xfId="0" applyFont="1" applyFill="1" applyBorder="1" applyAlignment="1">
      <alignment vertical="center" wrapText="1"/>
    </xf>
    <xf numFmtId="0" fontId="39" fillId="0" borderId="9" xfId="0" applyFont="1" applyBorder="1" applyAlignment="1">
      <alignment horizontal="left" vertical="center" wrapText="1"/>
    </xf>
    <xf numFmtId="9" fontId="39" fillId="19" borderId="34" xfId="0" applyNumberFormat="1" applyFont="1" applyFill="1" applyBorder="1" applyAlignment="1">
      <alignment horizontal="left" vertical="center" wrapText="1"/>
    </xf>
    <xf numFmtId="165" fontId="50" fillId="45" borderId="24" xfId="0" applyNumberFormat="1" applyFont="1" applyFill="1" applyBorder="1" applyAlignment="1">
      <alignment horizontal="center" vertical="center" wrapText="1"/>
    </xf>
    <xf numFmtId="165" fontId="50" fillId="27" borderId="47" xfId="0" applyNumberFormat="1" applyFont="1" applyFill="1" applyBorder="1" applyAlignment="1">
      <alignment horizontal="center" vertical="center" wrapText="1"/>
    </xf>
    <xf numFmtId="0" fontId="41" fillId="19" borderId="24" xfId="0" applyFont="1" applyFill="1" applyBorder="1" applyAlignment="1">
      <alignment horizontal="left" vertical="center" wrapText="1"/>
    </xf>
    <xf numFmtId="0" fontId="41" fillId="19" borderId="24" xfId="0" applyFont="1" applyFill="1" applyBorder="1" applyAlignment="1">
      <alignment vertical="center" wrapText="1"/>
    </xf>
    <xf numFmtId="10" fontId="14" fillId="38" borderId="21" xfId="0" applyNumberFormat="1" applyFont="1" applyFill="1" applyBorder="1" applyAlignment="1">
      <alignment horizontal="center" vertical="center" wrapText="1"/>
    </xf>
    <xf numFmtId="165" fontId="18" fillId="35" borderId="24" xfId="0" applyNumberFormat="1" applyFont="1" applyFill="1" applyBorder="1" applyAlignment="1">
      <alignment horizontal="center" vertical="center" wrapText="1"/>
    </xf>
    <xf numFmtId="165" fontId="50" fillId="45" borderId="111" xfId="0" applyNumberFormat="1" applyFont="1" applyFill="1" applyBorder="1" applyAlignment="1">
      <alignment horizontal="left" vertical="center" wrapText="1"/>
    </xf>
    <xf numFmtId="165" fontId="20" fillId="13" borderId="93" xfId="0" applyNumberFormat="1" applyFont="1" applyFill="1" applyBorder="1" applyAlignment="1">
      <alignment horizontal="center" vertical="center"/>
    </xf>
    <xf numFmtId="165" fontId="20" fillId="13" borderId="94" xfId="0" applyNumberFormat="1" applyFont="1" applyFill="1" applyBorder="1" applyAlignment="1">
      <alignment horizontal="center" vertical="center"/>
    </xf>
    <xf numFmtId="10" fontId="64" fillId="6" borderId="51" xfId="0" applyNumberFormat="1" applyFont="1" applyFill="1" applyBorder="1" applyAlignment="1">
      <alignment horizontal="center" vertical="center" wrapText="1"/>
    </xf>
    <xf numFmtId="10" fontId="64" fillId="4" borderId="51" xfId="0" applyNumberFormat="1" applyFont="1" applyFill="1" applyBorder="1" applyAlignment="1">
      <alignment horizontal="center" vertical="center" wrapText="1"/>
    </xf>
    <xf numFmtId="0" fontId="0" fillId="0" borderId="36" xfId="0" applyFont="1" applyBorder="1" applyAlignment="1"/>
    <xf numFmtId="0" fontId="5" fillId="46" borderId="25" xfId="0" applyFont="1" applyFill="1" applyBorder="1" applyAlignment="1">
      <alignment horizontal="center" vertical="center" wrapText="1"/>
    </xf>
    <xf numFmtId="165" fontId="0" fillId="0" borderId="0" xfId="0" applyNumberFormat="1" applyFont="1" applyAlignment="1"/>
    <xf numFmtId="165" fontId="65" fillId="12" borderId="106" xfId="1" applyNumberFormat="1" applyFont="1" applyFill="1" applyBorder="1" applyAlignment="1">
      <alignment horizontal="center" vertical="center" wrapText="1"/>
    </xf>
    <xf numFmtId="9" fontId="50" fillId="5" borderId="25" xfId="1" applyFont="1" applyFill="1" applyBorder="1" applyAlignment="1">
      <alignment horizontal="center" vertical="center" wrapText="1"/>
    </xf>
    <xf numFmtId="168" fontId="0" fillId="0" borderId="0" xfId="0" applyNumberFormat="1" applyFont="1" applyAlignment="1"/>
    <xf numFmtId="165" fontId="56" fillId="6" borderId="9" xfId="0" applyNumberFormat="1" applyFont="1" applyFill="1" applyBorder="1" applyAlignment="1">
      <alignment horizontal="center" vertical="center" wrapText="1"/>
    </xf>
    <xf numFmtId="165" fontId="56" fillId="4" borderId="26" xfId="0" applyNumberFormat="1" applyFont="1" applyFill="1" applyBorder="1" applyAlignment="1">
      <alignment horizontal="center" vertical="center" wrapText="1"/>
    </xf>
    <xf numFmtId="165" fontId="56" fillId="4" borderId="18" xfId="0" applyNumberFormat="1" applyFont="1" applyFill="1" applyBorder="1" applyAlignment="1">
      <alignment horizontal="center" vertical="center" wrapText="1"/>
    </xf>
    <xf numFmtId="165" fontId="56" fillId="25" borderId="18" xfId="0" applyNumberFormat="1" applyFont="1" applyFill="1" applyBorder="1" applyAlignment="1">
      <alignment horizontal="center" vertical="center" wrapText="1"/>
    </xf>
    <xf numFmtId="10" fontId="50" fillId="3" borderId="45" xfId="0" applyNumberFormat="1" applyFont="1" applyFill="1" applyBorder="1" applyAlignment="1">
      <alignment horizontal="center" vertical="center" wrapText="1"/>
    </xf>
    <xf numFmtId="43" fontId="49" fillId="0" borderId="45" xfId="3" applyFont="1" applyBorder="1" applyAlignment="1">
      <alignment horizontal="center" vertical="center" wrapText="1"/>
    </xf>
    <xf numFmtId="10" fontId="56" fillId="25" borderId="71" xfId="0" applyNumberFormat="1" applyFont="1" applyFill="1" applyBorder="1" applyAlignment="1">
      <alignment horizontal="center" vertical="center" wrapText="1"/>
    </xf>
    <xf numFmtId="165" fontId="39" fillId="45" borderId="24" xfId="0" applyNumberFormat="1" applyFont="1" applyFill="1" applyBorder="1" applyAlignment="1">
      <alignment horizontal="center" vertical="center" wrapText="1"/>
    </xf>
    <xf numFmtId="164" fontId="59" fillId="0" borderId="24" xfId="0" applyNumberFormat="1" applyFont="1" applyBorder="1" applyAlignment="1">
      <alignment horizontal="center" vertical="center"/>
    </xf>
    <xf numFmtId="164" fontId="10" fillId="39" borderId="96" xfId="0" applyNumberFormat="1" applyFont="1" applyFill="1" applyBorder="1" applyAlignment="1">
      <alignment horizontal="center" vertical="center"/>
    </xf>
    <xf numFmtId="165" fontId="10" fillId="39" borderId="96" xfId="0" applyNumberFormat="1" applyFont="1" applyFill="1" applyBorder="1" applyAlignment="1">
      <alignment horizontal="center" vertical="center"/>
    </xf>
    <xf numFmtId="0" fontId="66" fillId="0" borderId="125" xfId="0" applyFont="1" applyBorder="1" applyAlignment="1">
      <alignment wrapText="1"/>
    </xf>
    <xf numFmtId="10" fontId="67" fillId="28" borderId="26" xfId="0" applyNumberFormat="1" applyFont="1" applyFill="1" applyBorder="1" applyAlignment="1">
      <alignment horizontal="center" vertical="center" wrapText="1"/>
    </xf>
    <xf numFmtId="10" fontId="67" fillId="4" borderId="18" xfId="0" applyNumberFormat="1" applyFont="1" applyFill="1" applyBorder="1" applyAlignment="1">
      <alignment horizontal="center" vertical="center" wrapText="1"/>
    </xf>
    <xf numFmtId="10" fontId="67" fillId="4" borderId="25" xfId="0" applyNumberFormat="1" applyFont="1" applyFill="1" applyBorder="1" applyAlignment="1">
      <alignment horizontal="center" vertical="center" wrapText="1"/>
    </xf>
    <xf numFmtId="0" fontId="66" fillId="0" borderId="70" xfId="0" applyFont="1" applyBorder="1" applyAlignment="1">
      <alignment horizontal="center" wrapText="1"/>
    </xf>
    <xf numFmtId="0" fontId="66" fillId="0" borderId="25" xfId="0" applyFont="1" applyBorder="1" applyAlignment="1">
      <alignment wrapText="1"/>
    </xf>
    <xf numFmtId="0" fontId="66" fillId="0" borderId="70" xfId="0" applyFont="1" applyBorder="1" applyAlignment="1">
      <alignment wrapText="1"/>
    </xf>
    <xf numFmtId="0" fontId="69" fillId="0" borderId="0" xfId="0" applyFont="1" applyAlignment="1"/>
    <xf numFmtId="164" fontId="11" fillId="0" borderId="0" xfId="1" applyNumberFormat="1" applyFont="1" applyAlignment="1"/>
    <xf numFmtId="0" fontId="40" fillId="12" borderId="24" xfId="0" applyFont="1" applyFill="1" applyBorder="1" applyAlignment="1"/>
    <xf numFmtId="0" fontId="38" fillId="0" borderId="21" xfId="0" applyFont="1" applyBorder="1" applyAlignment="1">
      <alignment vertical="center" wrapText="1"/>
    </xf>
    <xf numFmtId="167" fontId="49" fillId="15" borderId="14" xfId="0" applyNumberFormat="1" applyFont="1" applyFill="1" applyBorder="1" applyAlignment="1">
      <alignment horizontal="center" vertical="center" wrapText="1"/>
    </xf>
    <xf numFmtId="0" fontId="38" fillId="12" borderId="24" xfId="0" applyFont="1" applyFill="1" applyBorder="1" applyAlignment="1">
      <alignment wrapText="1"/>
    </xf>
    <xf numFmtId="9" fontId="50" fillId="0" borderId="26" xfId="0" applyNumberFormat="1" applyFont="1" applyBorder="1" applyAlignment="1">
      <alignment horizontal="center" vertical="center" wrapText="1"/>
    </xf>
    <xf numFmtId="165" fontId="8" fillId="0" borderId="0" xfId="0" applyNumberFormat="1" applyFont="1" applyAlignment="1"/>
    <xf numFmtId="165" fontId="49" fillId="0" borderId="50" xfId="0" applyNumberFormat="1" applyFont="1" applyBorder="1" applyAlignment="1">
      <alignment horizontal="center" vertical="center" wrapText="1"/>
    </xf>
    <xf numFmtId="165" fontId="49" fillId="13" borderId="9" xfId="0" applyNumberFormat="1" applyFont="1" applyFill="1" applyBorder="1" applyAlignment="1">
      <alignment horizontal="center" vertical="center" wrapText="1"/>
    </xf>
    <xf numFmtId="0" fontId="39" fillId="19" borderId="27" xfId="0" applyFont="1" applyFill="1" applyBorder="1" applyAlignment="1">
      <alignment vertical="center" wrapText="1"/>
    </xf>
    <xf numFmtId="0" fontId="39" fillId="12" borderId="27" xfId="0" applyFont="1" applyFill="1" applyBorder="1" applyAlignment="1">
      <alignment vertical="center" wrapText="1"/>
    </xf>
    <xf numFmtId="0" fontId="29" fillId="13" borderId="47" xfId="0" applyFont="1" applyFill="1" applyBorder="1" applyAlignment="1">
      <alignment wrapText="1"/>
    </xf>
    <xf numFmtId="9" fontId="39" fillId="13" borderId="112" xfId="0" applyNumberFormat="1" applyFont="1" applyFill="1" applyBorder="1" applyAlignment="1">
      <alignment horizontal="center" vertical="center" wrapText="1"/>
    </xf>
    <xf numFmtId="3" fontId="51" fillId="15" borderId="24" xfId="0" applyNumberFormat="1" applyFont="1" applyFill="1" applyBorder="1" applyAlignment="1">
      <alignment horizontal="center" vertical="center" wrapText="1"/>
    </xf>
    <xf numFmtId="9" fontId="39" fillId="19" borderId="47" xfId="0" applyNumberFormat="1" applyFont="1" applyFill="1" applyBorder="1" applyAlignment="1">
      <alignment horizontal="left" vertical="center" wrapText="1"/>
    </xf>
    <xf numFmtId="0" fontId="38" fillId="0" borderId="31" xfId="0" applyFont="1" applyBorder="1" applyAlignment="1">
      <alignment wrapText="1"/>
    </xf>
    <xf numFmtId="0" fontId="38" fillId="44" borderId="24" xfId="0" applyFont="1" applyFill="1" applyBorder="1" applyAlignment="1">
      <alignment horizontal="center" vertical="center" wrapText="1"/>
    </xf>
    <xf numFmtId="10" fontId="58" fillId="26" borderId="24" xfId="0" applyNumberFormat="1" applyFont="1" applyFill="1" applyBorder="1" applyAlignment="1">
      <alignment horizontal="center" vertical="center" wrapText="1"/>
    </xf>
    <xf numFmtId="10" fontId="49" fillId="0" borderId="14" xfId="1" applyNumberFormat="1" applyFont="1" applyBorder="1" applyAlignment="1">
      <alignment horizontal="center" vertical="center" wrapText="1"/>
    </xf>
    <xf numFmtId="44" fontId="38" fillId="0" borderId="24" xfId="4" applyFont="1" applyBorder="1" applyAlignment="1">
      <alignment vertical="center" wrapText="1"/>
    </xf>
    <xf numFmtId="165" fontId="49" fillId="15" borderId="14" xfId="1" applyNumberFormat="1" applyFont="1" applyFill="1" applyBorder="1" applyAlignment="1">
      <alignment horizontal="center" vertical="center" wrapText="1"/>
    </xf>
    <xf numFmtId="2" fontId="40" fillId="0" borderId="24" xfId="0" applyNumberFormat="1" applyFont="1" applyBorder="1" applyAlignment="1">
      <alignment horizontal="center" vertical="center"/>
    </xf>
    <xf numFmtId="2" fontId="40" fillId="15" borderId="24" xfId="0" applyNumberFormat="1" applyFont="1" applyFill="1" applyBorder="1" applyAlignment="1">
      <alignment horizontal="center" vertical="center"/>
    </xf>
    <xf numFmtId="165" fontId="38" fillId="13" borderId="24" xfId="0" applyNumberFormat="1" applyFont="1" applyFill="1" applyBorder="1" applyAlignment="1">
      <alignment horizontal="center" vertical="center" wrapText="1"/>
    </xf>
    <xf numFmtId="0" fontId="49" fillId="15" borderId="131" xfId="0" applyFont="1" applyFill="1" applyBorder="1" applyAlignment="1">
      <alignment horizontal="center" vertical="center" wrapText="1"/>
    </xf>
    <xf numFmtId="0" fontId="51" fillId="15" borderId="132" xfId="0" applyFont="1" applyFill="1" applyBorder="1" applyAlignment="1">
      <alignment horizontal="center" vertical="center" wrapText="1"/>
    </xf>
    <xf numFmtId="0" fontId="51" fillId="15" borderId="0" xfId="0" applyFont="1" applyFill="1" applyBorder="1" applyAlignment="1">
      <alignment horizontal="center" vertical="center" wrapText="1"/>
    </xf>
    <xf numFmtId="0" fontId="51" fillId="15" borderId="70" xfId="0" applyFont="1" applyFill="1" applyBorder="1" applyAlignment="1">
      <alignment horizontal="center" vertical="center" wrapText="1"/>
    </xf>
    <xf numFmtId="167" fontId="49" fillId="15" borderId="9" xfId="0" applyNumberFormat="1" applyFont="1" applyFill="1" applyBorder="1" applyAlignment="1">
      <alignment horizontal="center" vertical="center" wrapText="1"/>
    </xf>
    <xf numFmtId="0" fontId="49" fillId="15" borderId="129" xfId="0" applyFont="1" applyFill="1" applyBorder="1" applyAlignment="1">
      <alignment horizontal="center" vertical="center" wrapText="1"/>
    </xf>
    <xf numFmtId="0" fontId="49" fillId="0" borderId="47" xfId="0" applyFont="1" applyBorder="1" applyAlignment="1">
      <alignment horizontal="center" vertical="center" wrapText="1"/>
    </xf>
    <xf numFmtId="165" fontId="50" fillId="26" borderId="85" xfId="0" applyNumberFormat="1" applyFont="1" applyFill="1" applyBorder="1" applyAlignment="1">
      <alignment horizontal="center" vertical="center" wrapText="1"/>
    </xf>
    <xf numFmtId="164" fontId="74" fillId="0" borderId="0" xfId="1" applyNumberFormat="1" applyFont="1" applyAlignment="1"/>
    <xf numFmtId="165" fontId="56" fillId="6" borderId="25" xfId="0" applyNumberFormat="1" applyFont="1" applyFill="1" applyBorder="1" applyAlignment="1">
      <alignment horizontal="center" vertical="center" wrapText="1"/>
    </xf>
    <xf numFmtId="165" fontId="56" fillId="4" borderId="43" xfId="0" applyNumberFormat="1" applyFont="1" applyFill="1" applyBorder="1" applyAlignment="1">
      <alignment horizontal="center" vertical="center" wrapText="1"/>
    </xf>
    <xf numFmtId="165" fontId="56" fillId="6" borderId="43" xfId="0" applyNumberFormat="1" applyFont="1" applyFill="1" applyBorder="1" applyAlignment="1">
      <alignment horizontal="center" vertical="center" wrapText="1"/>
    </xf>
    <xf numFmtId="173" fontId="25" fillId="0" borderId="0" xfId="1" applyNumberFormat="1" applyFont="1" applyAlignment="1"/>
    <xf numFmtId="173" fontId="75" fillId="0" borderId="0" xfId="0" applyNumberFormat="1" applyFont="1" applyAlignment="1"/>
    <xf numFmtId="0" fontId="15" fillId="0" borderId="35" xfId="0" applyFont="1" applyBorder="1" applyAlignment="1">
      <alignment horizontal="justify" vertical="center" wrapText="1"/>
    </xf>
    <xf numFmtId="43" fontId="0" fillId="0" borderId="0" xfId="3" applyFont="1" applyAlignment="1"/>
    <xf numFmtId="10" fontId="56" fillId="6" borderId="75" xfId="0" applyNumberFormat="1" applyFont="1" applyFill="1" applyBorder="1" applyAlignment="1">
      <alignment horizontal="center" vertical="center" wrapText="1"/>
    </xf>
    <xf numFmtId="10" fontId="56" fillId="6" borderId="43" xfId="0" applyNumberFormat="1" applyFont="1" applyFill="1" applyBorder="1" applyAlignment="1">
      <alignment horizontal="center" vertical="center" wrapText="1"/>
    </xf>
    <xf numFmtId="9" fontId="39" fillId="19" borderId="113" xfId="0" applyNumberFormat="1" applyFont="1" applyFill="1" applyBorder="1" applyAlignment="1">
      <alignment horizontal="center" vertical="center" wrapText="1"/>
    </xf>
    <xf numFmtId="165" fontId="49" fillId="0" borderId="18" xfId="0" applyNumberFormat="1" applyFont="1" applyBorder="1" applyAlignment="1">
      <alignment horizontal="center" vertical="center" wrapText="1"/>
    </xf>
    <xf numFmtId="170" fontId="49" fillId="15" borderId="9" xfId="0" applyNumberFormat="1" applyFont="1" applyFill="1" applyBorder="1" applyAlignment="1">
      <alignment horizontal="center" vertical="center" wrapText="1"/>
    </xf>
    <xf numFmtId="170" fontId="49" fillId="0" borderId="14" xfId="0" applyNumberFormat="1" applyFont="1" applyBorder="1" applyAlignment="1">
      <alignment horizontal="center" vertical="center" wrapText="1"/>
    </xf>
    <xf numFmtId="174" fontId="49" fillId="15" borderId="14" xfId="3" applyNumberFormat="1" applyFont="1" applyFill="1" applyBorder="1" applyAlignment="1">
      <alignment horizontal="center" vertical="center" wrapText="1"/>
    </xf>
    <xf numFmtId="0" fontId="57" fillId="0" borderId="4" xfId="0" applyFont="1" applyBorder="1" applyAlignment="1">
      <alignment wrapText="1"/>
    </xf>
    <xf numFmtId="0" fontId="57" fillId="0" borderId="16" xfId="0" applyFont="1" applyBorder="1" applyAlignment="1">
      <alignment wrapText="1"/>
    </xf>
    <xf numFmtId="9" fontId="58" fillId="5" borderId="114" xfId="0" applyNumberFormat="1" applyFont="1" applyFill="1" applyBorder="1" applyAlignment="1">
      <alignment horizontal="center" vertical="center" wrapText="1"/>
    </xf>
    <xf numFmtId="165" fontId="58" fillId="5" borderId="34" xfId="0" applyNumberFormat="1" applyFont="1" applyFill="1" applyBorder="1" applyAlignment="1">
      <alignment horizontal="center" vertical="center" wrapText="1"/>
    </xf>
    <xf numFmtId="9" fontId="57" fillId="0" borderId="24" xfId="0" applyNumberFormat="1" applyFont="1" applyBorder="1" applyAlignment="1">
      <alignment vertical="center" wrapText="1"/>
    </xf>
    <xf numFmtId="165" fontId="58" fillId="30" borderId="24" xfId="0" applyNumberFormat="1" applyFont="1" applyFill="1" applyBorder="1" applyAlignment="1">
      <alignment horizontal="center" vertical="center" wrapText="1"/>
    </xf>
    <xf numFmtId="165" fontId="58" fillId="49" borderId="24" xfId="0" applyNumberFormat="1" applyFont="1" applyFill="1" applyBorder="1" applyAlignment="1">
      <alignment horizontal="center" vertical="center" wrapText="1"/>
    </xf>
    <xf numFmtId="10" fontId="5" fillId="0" borderId="0" xfId="0" applyNumberFormat="1" applyFont="1" applyAlignment="1"/>
    <xf numFmtId="167" fontId="49" fillId="15" borderId="24" xfId="0" applyNumberFormat="1" applyFont="1" applyFill="1" applyBorder="1" applyAlignment="1">
      <alignment horizontal="center" vertical="center" wrapText="1"/>
    </xf>
    <xf numFmtId="170" fontId="49" fillId="0" borderId="24" xfId="0" applyNumberFormat="1" applyFont="1" applyBorder="1" applyAlignment="1">
      <alignment horizontal="center" vertical="center" wrapText="1"/>
    </xf>
    <xf numFmtId="9" fontId="36" fillId="0" borderId="40" xfId="1" applyNumberFormat="1" applyFont="1" applyBorder="1" applyAlignment="1">
      <alignment horizontal="center" vertical="center" wrapText="1"/>
    </xf>
    <xf numFmtId="0" fontId="39" fillId="19" borderId="9" xfId="0" applyFont="1" applyFill="1" applyBorder="1" applyAlignment="1">
      <alignment vertical="center" wrapText="1"/>
    </xf>
    <xf numFmtId="167" fontId="38" fillId="13" borderId="24" xfId="0" applyNumberFormat="1" applyFont="1" applyFill="1" applyBorder="1" applyAlignment="1">
      <alignment horizontal="center" vertical="center" wrapText="1"/>
    </xf>
    <xf numFmtId="9" fontId="49" fillId="13" borderId="9" xfId="0" applyNumberFormat="1" applyFont="1" applyFill="1" applyBorder="1" applyAlignment="1">
      <alignment horizontal="center" vertical="center" wrapText="1"/>
    </xf>
    <xf numFmtId="9" fontId="49" fillId="13" borderId="6" xfId="0" applyNumberFormat="1" applyFont="1" applyFill="1" applyBorder="1" applyAlignment="1">
      <alignment horizontal="center" vertical="center" wrapText="1"/>
    </xf>
    <xf numFmtId="9" fontId="49" fillId="13" borderId="13" xfId="0" applyNumberFormat="1" applyFont="1" applyFill="1" applyBorder="1" applyAlignment="1">
      <alignment horizontal="center" vertical="center" wrapText="1"/>
    </xf>
    <xf numFmtId="0" fontId="51" fillId="15" borderId="25" xfId="0" applyFont="1" applyFill="1" applyBorder="1" applyAlignment="1">
      <alignment horizontal="center" vertical="center" wrapText="1"/>
    </xf>
    <xf numFmtId="0" fontId="51" fillId="15" borderId="74" xfId="0" applyFont="1" applyFill="1" applyBorder="1" applyAlignment="1">
      <alignment horizontal="center" vertical="center" wrapText="1"/>
    </xf>
    <xf numFmtId="0" fontId="51" fillId="15" borderId="44" xfId="0" applyFont="1" applyFill="1" applyBorder="1" applyAlignment="1">
      <alignment horizontal="center" vertical="center" wrapText="1"/>
    </xf>
    <xf numFmtId="0" fontId="49" fillId="15" borderId="26" xfId="0" applyFont="1" applyFill="1" applyBorder="1" applyAlignment="1">
      <alignment horizontal="center" vertical="center" wrapText="1"/>
    </xf>
    <xf numFmtId="0" fontId="29" fillId="0" borderId="47" xfId="0" applyFont="1" applyBorder="1" applyAlignment="1">
      <alignment vertical="center" wrapText="1"/>
    </xf>
    <xf numFmtId="9" fontId="0" fillId="0" borderId="0" xfId="0" applyNumberFormat="1" applyFont="1" applyAlignment="1"/>
    <xf numFmtId="165" fontId="67" fillId="33" borderId="116" xfId="0" applyNumberFormat="1" applyFont="1" applyFill="1" applyBorder="1" applyAlignment="1">
      <alignment vertical="center" wrapText="1"/>
    </xf>
    <xf numFmtId="165" fontId="58" fillId="34" borderId="47" xfId="0" applyNumberFormat="1" applyFont="1" applyFill="1" applyBorder="1" applyAlignment="1">
      <alignment horizontal="center" vertical="center" wrapText="1"/>
    </xf>
    <xf numFmtId="165" fontId="58" fillId="27" borderId="47" xfId="0" applyNumberFormat="1" applyFont="1" applyFill="1" applyBorder="1" applyAlignment="1">
      <alignment horizontal="center" vertical="center" wrapText="1"/>
    </xf>
    <xf numFmtId="9" fontId="49" fillId="13" borderId="47" xfId="0" applyNumberFormat="1" applyFont="1" applyFill="1" applyBorder="1" applyAlignment="1">
      <alignment horizontal="center" vertical="center" wrapText="1"/>
    </xf>
    <xf numFmtId="165" fontId="50" fillId="34" borderId="47" xfId="0" applyNumberFormat="1" applyFont="1" applyFill="1" applyBorder="1" applyAlignment="1">
      <alignment horizontal="center" vertical="center" wrapText="1"/>
    </xf>
    <xf numFmtId="0" fontId="49" fillId="0" borderId="160" xfId="0" applyFont="1" applyBorder="1" applyAlignment="1">
      <alignment wrapText="1"/>
    </xf>
    <xf numFmtId="0" fontId="50" fillId="42" borderId="161" xfId="0" applyFont="1" applyFill="1" applyBorder="1" applyAlignment="1">
      <alignment horizontal="center" vertical="center" wrapText="1"/>
    </xf>
    <xf numFmtId="0" fontId="50" fillId="42" borderId="162" xfId="0" applyFont="1" applyFill="1" applyBorder="1" applyAlignment="1">
      <alignment horizontal="center" vertical="center" wrapText="1"/>
    </xf>
    <xf numFmtId="0" fontId="66" fillId="0" borderId="24" xfId="0" applyFont="1" applyBorder="1" applyAlignment="1">
      <alignment wrapText="1"/>
    </xf>
    <xf numFmtId="0" fontId="69" fillId="0" borderId="24" xfId="0" applyFont="1" applyBorder="1" applyAlignment="1"/>
    <xf numFmtId="0" fontId="60" fillId="0" borderId="24" xfId="0" applyFont="1" applyBorder="1" applyAlignment="1"/>
    <xf numFmtId="0" fontId="27" fillId="19" borderId="24" xfId="0" applyFont="1" applyFill="1" applyBorder="1" applyAlignment="1">
      <alignment vertical="center" wrapText="1"/>
    </xf>
    <xf numFmtId="0" fontId="51" fillId="0" borderId="24" xfId="0" applyFont="1" applyBorder="1" applyAlignment="1"/>
    <xf numFmtId="9" fontId="50" fillId="12" borderId="24" xfId="0" applyNumberFormat="1" applyFont="1" applyFill="1" applyBorder="1" applyAlignment="1">
      <alignment horizontal="left" vertical="center" wrapText="1"/>
    </xf>
    <xf numFmtId="0" fontId="50" fillId="41" borderId="24" xfId="0" applyFont="1" applyFill="1" applyBorder="1" applyAlignment="1">
      <alignment vertical="center" wrapText="1"/>
    </xf>
    <xf numFmtId="0" fontId="50" fillId="12" borderId="24" xfId="0" applyFont="1" applyFill="1" applyBorder="1" applyAlignment="1">
      <alignment wrapText="1"/>
    </xf>
    <xf numFmtId="0" fontId="50" fillId="18" borderId="24" xfId="0" applyFont="1" applyFill="1" applyBorder="1" applyAlignment="1">
      <alignment vertical="center" wrapText="1"/>
    </xf>
    <xf numFmtId="0" fontId="50" fillId="41" borderId="24" xfId="0" applyFont="1" applyFill="1" applyBorder="1" applyAlignment="1">
      <alignment wrapText="1"/>
    </xf>
    <xf numFmtId="165" fontId="39" fillId="34" borderId="113" xfId="0" applyNumberFormat="1" applyFont="1" applyFill="1" applyBorder="1" applyAlignment="1">
      <alignment horizontal="center" vertical="center" wrapText="1"/>
    </xf>
    <xf numFmtId="165" fontId="39" fillId="33" borderId="113" xfId="0" applyNumberFormat="1" applyFont="1" applyFill="1" applyBorder="1" applyAlignment="1">
      <alignment horizontal="center" vertical="center" wrapText="1"/>
    </xf>
    <xf numFmtId="9" fontId="38" fillId="19" borderId="113" xfId="0" applyNumberFormat="1" applyFont="1" applyFill="1" applyBorder="1" applyAlignment="1">
      <alignment horizontal="left" vertical="center" wrapText="1"/>
    </xf>
    <xf numFmtId="9" fontId="38" fillId="12" borderId="113" xfId="0" applyNumberFormat="1" applyFont="1" applyFill="1" applyBorder="1" applyAlignment="1">
      <alignment horizontal="center" vertical="center" wrapText="1"/>
    </xf>
    <xf numFmtId="0" fontId="39" fillId="19" borderId="24" xfId="0" applyFont="1" applyFill="1" applyBorder="1" applyAlignment="1">
      <alignment vertical="center" wrapText="1"/>
    </xf>
    <xf numFmtId="0" fontId="39" fillId="19" borderId="24" xfId="0" applyFont="1" applyFill="1" applyBorder="1" applyAlignment="1">
      <alignment horizontal="left" vertical="center" wrapText="1"/>
    </xf>
    <xf numFmtId="0" fontId="39" fillId="41" borderId="24" xfId="0" applyFont="1" applyFill="1" applyBorder="1" applyAlignment="1">
      <alignment vertical="center" wrapText="1"/>
    </xf>
    <xf numFmtId="10" fontId="44" fillId="27" borderId="47" xfId="0" applyNumberFormat="1" applyFont="1" applyFill="1" applyBorder="1" applyAlignment="1">
      <alignment vertical="center" wrapText="1"/>
    </xf>
    <xf numFmtId="165" fontId="39" fillId="33" borderId="47" xfId="0" applyNumberFormat="1" applyFont="1" applyFill="1" applyBorder="1" applyAlignment="1">
      <alignment horizontal="center" vertical="center" wrapText="1"/>
    </xf>
    <xf numFmtId="165" fontId="39" fillId="27" borderId="47" xfId="0" applyNumberFormat="1" applyFont="1" applyFill="1" applyBorder="1" applyAlignment="1">
      <alignment horizontal="center" vertical="center" wrapText="1"/>
    </xf>
    <xf numFmtId="9" fontId="38" fillId="41" borderId="47" xfId="0" applyNumberFormat="1" applyFont="1" applyFill="1" applyBorder="1" applyAlignment="1">
      <alignment horizontal="center" vertical="center" wrapText="1"/>
    </xf>
    <xf numFmtId="9" fontId="38" fillId="19" borderId="47" xfId="0" applyNumberFormat="1" applyFont="1" applyFill="1" applyBorder="1" applyAlignment="1">
      <alignment horizontal="left" wrapText="1"/>
    </xf>
    <xf numFmtId="9" fontId="38" fillId="41" borderId="47" xfId="0" applyNumberFormat="1" applyFont="1" applyFill="1" applyBorder="1" applyAlignment="1">
      <alignment horizontal="left" vertical="center" wrapText="1"/>
    </xf>
    <xf numFmtId="9" fontId="38" fillId="12" borderId="47" xfId="0" applyNumberFormat="1" applyFont="1" applyFill="1" applyBorder="1" applyAlignment="1">
      <alignment horizontal="left" vertical="center" wrapText="1"/>
    </xf>
    <xf numFmtId="165" fontId="39" fillId="25" borderId="47" xfId="0" applyNumberFormat="1" applyFont="1" applyFill="1" applyBorder="1" applyAlignment="1">
      <alignment horizontal="left" vertical="center" wrapText="1"/>
    </xf>
    <xf numFmtId="9" fontId="38" fillId="13" borderId="47" xfId="0" applyNumberFormat="1" applyFont="1" applyFill="1" applyBorder="1" applyAlignment="1">
      <alignment horizontal="center" vertical="center" wrapText="1"/>
    </xf>
    <xf numFmtId="0" fontId="41" fillId="19" borderId="24" xfId="0" applyFont="1" applyFill="1" applyBorder="1" applyAlignment="1">
      <alignment horizontal="center" vertical="center" wrapText="1"/>
    </xf>
    <xf numFmtId="0" fontId="41" fillId="12" borderId="24" xfId="0" applyFont="1" applyFill="1" applyBorder="1" applyAlignment="1"/>
    <xf numFmtId="0" fontId="33" fillId="0" borderId="116" xfId="0" applyFont="1" applyBorder="1" applyAlignment="1">
      <alignment wrapText="1"/>
    </xf>
    <xf numFmtId="0" fontId="57" fillId="0" borderId="47" xfId="0" applyFont="1" applyBorder="1" applyAlignment="1">
      <alignment wrapText="1"/>
    </xf>
    <xf numFmtId="9" fontId="39" fillId="12" borderId="47" xfId="0" applyNumberFormat="1" applyFont="1" applyFill="1" applyBorder="1" applyAlignment="1">
      <alignment horizontal="left" vertical="center" wrapText="1"/>
    </xf>
    <xf numFmtId="0" fontId="39" fillId="12" borderId="47" xfId="0" applyFont="1" applyFill="1" applyBorder="1" applyAlignment="1">
      <alignment vertical="center" wrapText="1"/>
    </xf>
    <xf numFmtId="0" fontId="33" fillId="0" borderId="24" xfId="0" applyFont="1" applyBorder="1" applyAlignment="1">
      <alignment wrapText="1"/>
    </xf>
    <xf numFmtId="10" fontId="27" fillId="27" borderId="116" xfId="0" applyNumberFormat="1" applyFont="1" applyFill="1" applyBorder="1" applyAlignment="1">
      <alignment vertical="center" wrapText="1"/>
    </xf>
    <xf numFmtId="165" fontId="27" fillId="33" borderId="47" xfId="0" applyNumberFormat="1" applyFont="1" applyFill="1" applyBorder="1" applyAlignment="1">
      <alignment horizontal="center" vertical="center" wrapText="1"/>
    </xf>
    <xf numFmtId="165" fontId="27" fillId="27" borderId="47" xfId="0" applyNumberFormat="1" applyFont="1" applyFill="1" applyBorder="1" applyAlignment="1">
      <alignment horizontal="center" vertical="center" wrapText="1"/>
    </xf>
    <xf numFmtId="9" fontId="29" fillId="41" borderId="47" xfId="0" applyNumberFormat="1" applyFont="1" applyFill="1" applyBorder="1" applyAlignment="1">
      <alignment horizontal="left" vertical="center" wrapText="1"/>
    </xf>
    <xf numFmtId="0" fontId="27" fillId="41" borderId="24" xfId="0" applyFont="1" applyFill="1" applyBorder="1" applyAlignment="1">
      <alignment horizontal="center" vertical="center" wrapText="1"/>
    </xf>
    <xf numFmtId="0" fontId="27" fillId="12" borderId="24" xfId="0" applyFont="1" applyFill="1" applyBorder="1" applyAlignment="1">
      <alignment vertical="center" wrapText="1"/>
    </xf>
    <xf numFmtId="9" fontId="27" fillId="19" borderId="24" xfId="0" applyNumberFormat="1" applyFont="1" applyFill="1" applyBorder="1" applyAlignment="1">
      <alignment horizontal="center" vertical="center" wrapText="1"/>
    </xf>
    <xf numFmtId="9" fontId="27" fillId="19" borderId="24" xfId="0" applyNumberFormat="1" applyFont="1" applyFill="1" applyBorder="1" applyAlignment="1">
      <alignment horizontal="left" vertical="center" wrapText="1"/>
    </xf>
    <xf numFmtId="2" fontId="49" fillId="15" borderId="9" xfId="0" applyNumberFormat="1" applyFont="1" applyFill="1" applyBorder="1" applyAlignment="1">
      <alignment horizontal="center" vertical="center" wrapText="1"/>
    </xf>
    <xf numFmtId="165" fontId="49" fillId="0" borderId="74" xfId="0" applyNumberFormat="1" applyFont="1" applyBorder="1" applyAlignment="1">
      <alignment horizontal="center" vertical="center" wrapText="1"/>
    </xf>
    <xf numFmtId="0" fontId="49" fillId="13" borderId="6" xfId="0" applyFont="1" applyFill="1" applyBorder="1" applyAlignment="1">
      <alignment horizontal="center" vertical="center" wrapText="1"/>
    </xf>
    <xf numFmtId="165" fontId="38" fillId="0" borderId="24" xfId="0" applyNumberFormat="1" applyFont="1" applyBorder="1" applyAlignment="1">
      <alignment horizontal="center" wrapText="1"/>
    </xf>
    <xf numFmtId="0" fontId="13" fillId="19" borderId="18" xfId="0" applyFont="1" applyFill="1" applyBorder="1" applyAlignment="1">
      <alignment horizontal="center" vertical="center" wrapText="1"/>
    </xf>
    <xf numFmtId="0" fontId="13" fillId="20" borderId="18" xfId="0" applyFont="1" applyFill="1" applyBorder="1" applyAlignment="1">
      <alignment horizontal="center" vertical="center" wrapText="1"/>
    </xf>
    <xf numFmtId="0" fontId="13" fillId="12" borderId="18" xfId="0" applyFont="1" applyFill="1" applyBorder="1" applyAlignment="1">
      <alignment horizontal="center" vertical="center" wrapText="1"/>
    </xf>
    <xf numFmtId="0" fontId="13" fillId="21" borderId="18" xfId="0" applyFont="1" applyFill="1" applyBorder="1" applyAlignment="1">
      <alignment horizontal="center" vertical="center" wrapText="1"/>
    </xf>
    <xf numFmtId="0" fontId="13" fillId="18" borderId="18" xfId="0" applyFont="1" applyFill="1" applyBorder="1" applyAlignment="1">
      <alignment horizontal="center" vertical="center" wrapText="1"/>
    </xf>
    <xf numFmtId="169" fontId="49" fillId="15" borderId="14" xfId="3" applyNumberFormat="1" applyFont="1" applyFill="1" applyBorder="1" applyAlignment="1">
      <alignment horizontal="center" vertical="center" wrapText="1"/>
    </xf>
    <xf numFmtId="169" fontId="49" fillId="15" borderId="14" xfId="3" applyNumberFormat="1" applyFont="1" applyFill="1" applyBorder="1" applyAlignment="1">
      <alignment vertical="center" wrapText="1"/>
    </xf>
    <xf numFmtId="0" fontId="49" fillId="15" borderId="50" xfId="0" applyFont="1" applyFill="1" applyBorder="1" applyAlignment="1">
      <alignment horizontal="center" vertical="center" wrapText="1"/>
    </xf>
    <xf numFmtId="0" fontId="38" fillId="0" borderId="18" xfId="0" applyFont="1" applyBorder="1" applyAlignment="1">
      <alignment vertical="center" wrapText="1"/>
    </xf>
    <xf numFmtId="0" fontId="49" fillId="15" borderId="13" xfId="0" applyFont="1" applyFill="1" applyBorder="1" applyAlignment="1">
      <alignment horizontal="center" vertical="center" wrapText="1"/>
    </xf>
    <xf numFmtId="0" fontId="49" fillId="15" borderId="163" xfId="0" applyFont="1" applyFill="1" applyBorder="1" applyAlignment="1">
      <alignment horizontal="center" vertical="center" wrapText="1"/>
    </xf>
    <xf numFmtId="0" fontId="49" fillId="0" borderId="27" xfId="0" applyFont="1" applyBorder="1" applyAlignment="1">
      <alignment vertical="center" wrapText="1"/>
    </xf>
    <xf numFmtId="0" fontId="51" fillId="0" borderId="43" xfId="0" applyFont="1" applyBorder="1" applyAlignment="1">
      <alignment horizontal="center" vertical="center" wrapText="1"/>
    </xf>
    <xf numFmtId="0" fontId="49" fillId="15" borderId="164" xfId="0" applyFont="1" applyFill="1" applyBorder="1" applyAlignment="1">
      <alignment horizontal="center" vertical="center" wrapText="1"/>
    </xf>
    <xf numFmtId="0" fontId="49" fillId="15" borderId="18" xfId="0" applyFont="1" applyFill="1" applyBorder="1" applyAlignment="1">
      <alignment horizontal="center" vertical="center" wrapText="1"/>
    </xf>
    <xf numFmtId="0" fontId="50" fillId="42" borderId="25" xfId="0" applyFont="1" applyFill="1" applyBorder="1" applyAlignment="1">
      <alignment horizontal="center" vertical="center" wrapText="1"/>
    </xf>
    <xf numFmtId="0" fontId="52" fillId="12" borderId="24" xfId="0" applyFont="1" applyFill="1" applyBorder="1" applyAlignment="1">
      <alignment horizontal="left" vertical="center" wrapText="1"/>
    </xf>
    <xf numFmtId="0" fontId="49" fillId="15" borderId="14" xfId="0" applyFont="1" applyFill="1" applyBorder="1" applyAlignment="1">
      <alignment vertical="center" wrapText="1"/>
    </xf>
    <xf numFmtId="1" fontId="49" fillId="13" borderId="14" xfId="0" applyNumberFormat="1" applyFont="1" applyFill="1" applyBorder="1" applyAlignment="1">
      <alignment horizontal="center" vertical="center" wrapText="1"/>
    </xf>
    <xf numFmtId="0" fontId="49" fillId="44" borderId="14" xfId="0" applyFont="1" applyFill="1" applyBorder="1" applyAlignment="1">
      <alignment horizontal="center" vertical="center" wrapText="1"/>
    </xf>
    <xf numFmtId="0" fontId="49" fillId="44" borderId="14" xfId="0" applyFont="1" applyFill="1" applyBorder="1" applyAlignment="1">
      <alignment vertical="center" wrapText="1"/>
    </xf>
    <xf numFmtId="0" fontId="49" fillId="44" borderId="24" xfId="0" applyFont="1" applyFill="1" applyBorder="1" applyAlignment="1">
      <alignment horizontal="center" vertical="center" wrapText="1"/>
    </xf>
    <xf numFmtId="0" fontId="49" fillId="44" borderId="24" xfId="0" applyFont="1" applyFill="1" applyBorder="1" applyAlignment="1">
      <alignment vertical="center" wrapText="1"/>
    </xf>
    <xf numFmtId="0" fontId="38" fillId="0" borderId="24" xfId="0" applyFont="1" applyBorder="1" applyAlignment="1">
      <alignment horizontal="center" wrapText="1"/>
    </xf>
    <xf numFmtId="0" fontId="12" fillId="0" borderId="18" xfId="0" applyFont="1" applyBorder="1" applyAlignment="1">
      <alignment horizontal="center" vertical="center" wrapText="1"/>
    </xf>
    <xf numFmtId="0" fontId="12" fillId="0" borderId="71" xfId="0" applyFont="1" applyBorder="1" applyAlignment="1">
      <alignment horizontal="center" vertical="center" wrapText="1"/>
    </xf>
    <xf numFmtId="0" fontId="13" fillId="19" borderId="75" xfId="0" applyFont="1" applyFill="1" applyBorder="1" applyAlignment="1">
      <alignment horizontal="center" vertical="center" wrapText="1"/>
    </xf>
    <xf numFmtId="0" fontId="13" fillId="20" borderId="75" xfId="0" applyFont="1" applyFill="1" applyBorder="1" applyAlignment="1">
      <alignment horizontal="center" vertical="center" wrapText="1"/>
    </xf>
    <xf numFmtId="0" fontId="13" fillId="12" borderId="75" xfId="0" applyFont="1" applyFill="1" applyBorder="1" applyAlignment="1">
      <alignment horizontal="center" vertical="center" wrapText="1"/>
    </xf>
    <xf numFmtId="0" fontId="13" fillId="21" borderId="75" xfId="0" applyFont="1" applyFill="1" applyBorder="1" applyAlignment="1">
      <alignment horizontal="center" vertical="center" wrapText="1"/>
    </xf>
    <xf numFmtId="0" fontId="13" fillId="18" borderId="44" xfId="0" applyFont="1" applyFill="1" applyBorder="1" applyAlignment="1">
      <alignment horizontal="center" vertical="center" wrapText="1"/>
    </xf>
    <xf numFmtId="0" fontId="79" fillId="0" borderId="71" xfId="0" applyFont="1" applyBorder="1" applyAlignment="1">
      <alignment horizontal="center" vertical="center" wrapText="1"/>
    </xf>
    <xf numFmtId="0" fontId="80" fillId="19" borderId="75" xfId="0" applyFont="1" applyFill="1" applyBorder="1" applyAlignment="1">
      <alignment horizontal="center" vertical="center" wrapText="1"/>
    </xf>
    <xf numFmtId="0" fontId="80" fillId="20" borderId="75" xfId="0" applyFont="1" applyFill="1" applyBorder="1" applyAlignment="1">
      <alignment horizontal="center" vertical="center" wrapText="1"/>
    </xf>
    <xf numFmtId="0" fontId="80" fillId="12" borderId="75" xfId="0" applyFont="1" applyFill="1" applyBorder="1" applyAlignment="1">
      <alignment horizontal="center" vertical="center" wrapText="1"/>
    </xf>
    <xf numFmtId="0" fontId="80" fillId="21" borderId="75" xfId="0" applyFont="1" applyFill="1" applyBorder="1" applyAlignment="1">
      <alignment horizontal="center" vertical="center" wrapText="1"/>
    </xf>
    <xf numFmtId="0" fontId="80" fillId="18" borderId="44" xfId="0" applyFont="1" applyFill="1" applyBorder="1" applyAlignment="1">
      <alignment horizontal="center" vertical="center" wrapText="1"/>
    </xf>
    <xf numFmtId="0" fontId="49" fillId="13" borderId="9" xfId="0" applyFont="1" applyFill="1" applyBorder="1" applyAlignment="1">
      <alignment vertical="center" wrapText="1"/>
    </xf>
    <xf numFmtId="0" fontId="49" fillId="13" borderId="36" xfId="0" applyFont="1" applyFill="1" applyBorder="1" applyAlignment="1">
      <alignment vertical="center" wrapText="1"/>
    </xf>
    <xf numFmtId="0" fontId="38" fillId="44" borderId="24" xfId="0" applyFont="1" applyFill="1" applyBorder="1" applyAlignment="1">
      <alignment wrapText="1"/>
    </xf>
    <xf numFmtId="0" fontId="38" fillId="44" borderId="24" xfId="0" applyFont="1" applyFill="1" applyBorder="1" applyAlignment="1">
      <alignment vertical="center" wrapText="1"/>
    </xf>
    <xf numFmtId="0" fontId="39" fillId="19" borderId="47" xfId="0" applyFont="1" applyFill="1" applyBorder="1" applyAlignment="1">
      <alignment vertical="center" wrapText="1"/>
    </xf>
    <xf numFmtId="0" fontId="38" fillId="0" borderId="165" xfId="0" applyFont="1" applyBorder="1" applyAlignment="1">
      <alignment wrapText="1"/>
    </xf>
    <xf numFmtId="0" fontId="38" fillId="13" borderId="24" xfId="0" applyFont="1" applyFill="1" applyBorder="1" applyAlignment="1">
      <alignment vertical="center" wrapText="1"/>
    </xf>
    <xf numFmtId="43" fontId="38" fillId="13" borderId="24" xfId="3" applyFont="1" applyFill="1" applyBorder="1" applyAlignment="1">
      <alignment horizontal="center" vertical="center" wrapText="1"/>
    </xf>
    <xf numFmtId="167" fontId="40" fillId="13" borderId="24" xfId="0" applyNumberFormat="1" applyFont="1" applyFill="1" applyBorder="1" applyAlignment="1">
      <alignment horizontal="center" vertical="center"/>
    </xf>
    <xf numFmtId="0" fontId="38" fillId="13" borderId="20" xfId="0" applyFont="1" applyFill="1" applyBorder="1" applyAlignment="1">
      <alignment wrapText="1"/>
    </xf>
    <xf numFmtId="0" fontId="33" fillId="13" borderId="51" xfId="0" applyFont="1" applyFill="1" applyBorder="1" applyAlignment="1">
      <alignment wrapText="1"/>
    </xf>
    <xf numFmtId="0" fontId="57" fillId="13" borderId="24" xfId="0" applyFont="1" applyFill="1" applyBorder="1" applyAlignment="1">
      <alignment wrapText="1"/>
    </xf>
    <xf numFmtId="0" fontId="29" fillId="13" borderId="24" xfId="0" applyFont="1" applyFill="1" applyBorder="1" applyAlignment="1">
      <alignment vertical="center" wrapText="1"/>
    </xf>
    <xf numFmtId="0" fontId="29" fillId="13" borderId="24" xfId="0" applyFont="1" applyFill="1" applyBorder="1" applyAlignment="1">
      <alignment wrapText="1"/>
    </xf>
    <xf numFmtId="2" fontId="49" fillId="0" borderId="24" xfId="0" applyNumberFormat="1" applyFont="1" applyBorder="1" applyAlignment="1">
      <alignment horizontal="center" vertical="center" wrapText="1"/>
    </xf>
    <xf numFmtId="0" fontId="39" fillId="13" borderId="34" xfId="0" applyFont="1" applyFill="1" applyBorder="1" applyAlignment="1">
      <alignment horizontal="center" vertical="center" wrapText="1"/>
    </xf>
    <xf numFmtId="0" fontId="82" fillId="3" borderId="12" xfId="0" applyFont="1" applyFill="1" applyBorder="1" applyAlignment="1">
      <alignment horizontal="center" vertical="center" wrapText="1"/>
    </xf>
    <xf numFmtId="0" fontId="70" fillId="3" borderId="12" xfId="0" applyFont="1" applyFill="1" applyBorder="1" applyAlignment="1">
      <alignment horizontal="center" vertical="center" wrapText="1"/>
    </xf>
    <xf numFmtId="165" fontId="83" fillId="36" borderId="106" xfId="1" applyNumberFormat="1" applyFont="1" applyFill="1" applyBorder="1" applyAlignment="1">
      <alignment horizontal="center" vertical="center" wrapText="1"/>
    </xf>
    <xf numFmtId="165" fontId="84" fillId="12" borderId="106" xfId="1" applyNumberFormat="1" applyFont="1" applyFill="1" applyBorder="1" applyAlignment="1">
      <alignment horizontal="center" vertical="center" wrapText="1"/>
    </xf>
    <xf numFmtId="168" fontId="49" fillId="15" borderId="14" xfId="0" applyNumberFormat="1" applyFont="1" applyFill="1" applyBorder="1" applyAlignment="1">
      <alignment horizontal="center" vertical="center" wrapText="1"/>
    </xf>
    <xf numFmtId="0" fontId="51" fillId="15" borderId="43" xfId="0" applyFont="1" applyFill="1" applyBorder="1" applyAlignment="1">
      <alignment horizontal="center" vertical="center" wrapText="1"/>
    </xf>
    <xf numFmtId="0" fontId="49" fillId="15" borderId="0" xfId="0" applyFont="1" applyFill="1" applyBorder="1" applyAlignment="1">
      <alignment horizontal="center" vertical="center" wrapText="1"/>
    </xf>
    <xf numFmtId="165" fontId="49" fillId="0" borderId="112" xfId="0" applyNumberFormat="1" applyFont="1" applyBorder="1" applyAlignment="1">
      <alignment horizontal="center" vertical="center" wrapText="1"/>
    </xf>
    <xf numFmtId="0" fontId="50" fillId="3" borderId="13" xfId="0" applyFont="1" applyFill="1" applyBorder="1" applyAlignment="1">
      <alignment horizontal="center" vertical="center" wrapText="1"/>
    </xf>
    <xf numFmtId="9" fontId="49" fillId="0" borderId="50" xfId="0" applyNumberFormat="1" applyFont="1" applyBorder="1" applyAlignment="1">
      <alignment horizontal="center" vertical="center" wrapText="1"/>
    </xf>
    <xf numFmtId="0" fontId="50" fillId="54" borderId="138" xfId="0" applyFont="1" applyFill="1" applyBorder="1" applyAlignment="1">
      <alignment horizontal="center" vertical="center" wrapText="1"/>
    </xf>
    <xf numFmtId="9" fontId="49" fillId="0" borderId="53" xfId="0" applyNumberFormat="1" applyFont="1" applyBorder="1" applyAlignment="1">
      <alignment horizontal="center" vertical="center" wrapText="1"/>
    </xf>
    <xf numFmtId="9" fontId="49" fillId="0" borderId="166" xfId="0" applyNumberFormat="1" applyFont="1" applyBorder="1" applyAlignment="1">
      <alignment horizontal="center" vertical="center" wrapText="1"/>
    </xf>
    <xf numFmtId="9" fontId="49" fillId="0" borderId="28" xfId="0" applyNumberFormat="1" applyFont="1" applyBorder="1" applyAlignment="1">
      <alignment horizontal="center" vertical="center" wrapText="1"/>
    </xf>
    <xf numFmtId="0" fontId="51" fillId="0" borderId="0" xfId="0" applyFont="1" applyBorder="1" applyAlignment="1"/>
    <xf numFmtId="0" fontId="49" fillId="0" borderId="18" xfId="0" applyFont="1" applyBorder="1" applyAlignment="1">
      <alignment horizontal="center" vertical="center" wrapText="1"/>
    </xf>
    <xf numFmtId="0" fontId="50" fillId="42" borderId="138" xfId="0" applyFont="1" applyFill="1" applyBorder="1" applyAlignment="1">
      <alignment horizontal="center" vertical="center" wrapText="1"/>
    </xf>
    <xf numFmtId="0" fontId="50" fillId="55" borderId="139" xfId="0" applyFont="1" applyFill="1" applyBorder="1" applyAlignment="1">
      <alignment horizontal="center" vertical="center" wrapText="1"/>
    </xf>
    <xf numFmtId="0" fontId="50" fillId="55" borderId="25" xfId="0" applyFont="1" applyFill="1" applyBorder="1" applyAlignment="1">
      <alignment horizontal="center" vertical="center" wrapText="1"/>
    </xf>
    <xf numFmtId="0" fontId="50" fillId="54" borderId="139" xfId="0" applyFont="1" applyFill="1" applyBorder="1" applyAlignment="1">
      <alignment horizontal="center" vertical="center" wrapText="1"/>
    </xf>
    <xf numFmtId="9" fontId="49" fillId="0" borderId="18" xfId="0" applyNumberFormat="1" applyFont="1" applyBorder="1" applyAlignment="1">
      <alignment horizontal="center" vertical="center" wrapText="1"/>
    </xf>
    <xf numFmtId="165" fontId="50" fillId="32" borderId="13" xfId="0" applyNumberFormat="1" applyFont="1" applyFill="1" applyBorder="1" applyAlignment="1">
      <alignment horizontal="center" vertical="center" wrapText="1"/>
    </xf>
    <xf numFmtId="0" fontId="50" fillId="42" borderId="27" xfId="0" applyFont="1" applyFill="1" applyBorder="1" applyAlignment="1">
      <alignment horizontal="center" vertical="center" wrapText="1"/>
    </xf>
    <xf numFmtId="0" fontId="51" fillId="0" borderId="27" xfId="0" applyFont="1" applyBorder="1" applyAlignment="1"/>
    <xf numFmtId="0" fontId="50" fillId="3" borderId="28" xfId="0" applyFont="1" applyFill="1" applyBorder="1" applyAlignment="1">
      <alignment horizontal="center" vertical="center" wrapText="1"/>
    </xf>
    <xf numFmtId="165" fontId="56" fillId="6" borderId="87" xfId="0" applyNumberFormat="1" applyFont="1" applyFill="1" applyBorder="1" applyAlignment="1">
      <alignment horizontal="center" vertical="center" wrapText="1"/>
    </xf>
    <xf numFmtId="165" fontId="50" fillId="28" borderId="53" xfId="0" applyNumberFormat="1" applyFont="1" applyFill="1" applyBorder="1" applyAlignment="1">
      <alignment horizontal="center" vertical="center" wrapText="1"/>
    </xf>
    <xf numFmtId="165" fontId="50" fillId="26" borderId="53" xfId="0" applyNumberFormat="1" applyFont="1" applyFill="1" applyBorder="1" applyAlignment="1">
      <alignment horizontal="center" vertical="center" wrapText="1"/>
    </xf>
    <xf numFmtId="165" fontId="50" fillId="26" borderId="28" xfId="0" applyNumberFormat="1" applyFont="1" applyFill="1" applyBorder="1" applyAlignment="1">
      <alignment horizontal="center" vertical="center" wrapText="1"/>
    </xf>
    <xf numFmtId="165" fontId="50" fillId="3" borderId="111" xfId="0" applyNumberFormat="1" applyFont="1" applyFill="1" applyBorder="1" applyAlignment="1">
      <alignment horizontal="center" vertical="center" wrapText="1"/>
    </xf>
    <xf numFmtId="0" fontId="50" fillId="42" borderId="70" xfId="0" applyFont="1" applyFill="1" applyBorder="1" applyAlignment="1">
      <alignment horizontal="center" vertical="center" wrapText="1"/>
    </xf>
    <xf numFmtId="0" fontId="50" fillId="42" borderId="28" xfId="0" applyFont="1" applyFill="1" applyBorder="1" applyAlignment="1">
      <alignment horizontal="center" vertical="center" wrapText="1"/>
    </xf>
    <xf numFmtId="165" fontId="50" fillId="7" borderId="25" xfId="0" applyNumberFormat="1" applyFont="1" applyFill="1" applyBorder="1" applyAlignment="1">
      <alignment horizontal="center" vertical="center" wrapText="1"/>
    </xf>
    <xf numFmtId="165" fontId="50" fillId="3" borderId="25" xfId="0" applyNumberFormat="1" applyFont="1" applyFill="1" applyBorder="1" applyAlignment="1">
      <alignment horizontal="center" vertical="center" wrapText="1"/>
    </xf>
    <xf numFmtId="0" fontId="58" fillId="50" borderId="25" xfId="0" applyFont="1" applyFill="1" applyBorder="1" applyAlignment="1">
      <alignment horizontal="center" vertical="center" wrapText="1"/>
    </xf>
    <xf numFmtId="9" fontId="49" fillId="13" borderId="111" xfId="0" applyNumberFormat="1" applyFont="1" applyFill="1" applyBorder="1" applyAlignment="1">
      <alignment horizontal="center" vertical="center" wrapText="1"/>
    </xf>
    <xf numFmtId="0" fontId="39" fillId="12" borderId="13" xfId="0" applyFont="1" applyFill="1" applyBorder="1" applyAlignment="1">
      <alignment vertical="center" wrapText="1"/>
    </xf>
    <xf numFmtId="9" fontId="39" fillId="19" borderId="27" xfId="0" applyNumberFormat="1" applyFont="1" applyFill="1" applyBorder="1" applyAlignment="1">
      <alignment horizontal="left" vertical="center" wrapText="1"/>
    </xf>
    <xf numFmtId="0" fontId="38" fillId="0" borderId="43" xfId="0" applyFont="1" applyBorder="1" applyAlignment="1">
      <alignment wrapText="1"/>
    </xf>
    <xf numFmtId="0" fontId="39" fillId="3" borderId="12" xfId="0" applyFont="1" applyFill="1" applyBorder="1" applyAlignment="1">
      <alignment horizontal="center" vertical="center" wrapText="1"/>
    </xf>
    <xf numFmtId="165" fontId="85" fillId="12" borderId="106" xfId="1" applyNumberFormat="1" applyFont="1" applyFill="1" applyBorder="1" applyAlignment="1">
      <alignment horizontal="center" vertical="center" wrapText="1"/>
    </xf>
    <xf numFmtId="165" fontId="50" fillId="26" borderId="133" xfId="0" applyNumberFormat="1" applyFont="1" applyFill="1" applyBorder="1" applyAlignment="1">
      <alignment horizontal="center" vertical="center" wrapText="1"/>
    </xf>
    <xf numFmtId="165" fontId="50" fillId="26" borderId="88" xfId="0" applyNumberFormat="1" applyFont="1" applyFill="1" applyBorder="1" applyAlignment="1">
      <alignment horizontal="center" vertical="center" wrapText="1"/>
    </xf>
    <xf numFmtId="165" fontId="50" fillId="28" borderId="26" xfId="0" applyNumberFormat="1" applyFont="1" applyFill="1" applyBorder="1" applyAlignment="1">
      <alignment horizontal="center" vertical="center" wrapText="1"/>
    </xf>
    <xf numFmtId="165" fontId="50" fillId="6" borderId="25" xfId="0" applyNumberFormat="1" applyFont="1" applyFill="1" applyBorder="1" applyAlignment="1">
      <alignment horizontal="center" vertical="center" wrapText="1"/>
    </xf>
    <xf numFmtId="0" fontId="49" fillId="0" borderId="111" xfId="0" applyFont="1" applyBorder="1" applyAlignment="1">
      <alignment horizontal="center" vertical="center" wrapText="1"/>
    </xf>
    <xf numFmtId="168" fontId="49" fillId="0" borderId="111" xfId="0" applyNumberFormat="1" applyFont="1" applyBorder="1" applyAlignment="1">
      <alignment horizontal="center" vertical="center" wrapText="1"/>
    </xf>
    <xf numFmtId="0" fontId="49" fillId="0" borderId="133" xfId="0" applyFont="1" applyBorder="1" applyAlignment="1">
      <alignment horizontal="center" vertical="center" wrapText="1"/>
    </xf>
    <xf numFmtId="0" fontId="49" fillId="0" borderId="44" xfId="0" applyFont="1" applyBorder="1" applyAlignment="1">
      <alignment horizontal="center" vertical="center" wrapText="1"/>
    </xf>
    <xf numFmtId="165" fontId="49" fillId="0" borderId="75" xfId="1" applyNumberFormat="1" applyFont="1" applyBorder="1" applyAlignment="1">
      <alignment vertical="center" wrapText="1"/>
    </xf>
    <xf numFmtId="0" fontId="49" fillId="0" borderId="111" xfId="0" applyFont="1" applyBorder="1" applyAlignment="1">
      <alignment vertical="center" wrapText="1"/>
    </xf>
    <xf numFmtId="0" fontId="49" fillId="44" borderId="9" xfId="0" applyFont="1" applyFill="1" applyBorder="1" applyAlignment="1">
      <alignment horizontal="center" vertical="center" wrapText="1"/>
    </xf>
    <xf numFmtId="0" fontId="49" fillId="44" borderId="9" xfId="0" applyFont="1" applyFill="1" applyBorder="1" applyAlignment="1">
      <alignment vertical="center" wrapText="1"/>
    </xf>
    <xf numFmtId="165" fontId="50" fillId="3" borderId="27" xfId="0" applyNumberFormat="1" applyFont="1" applyFill="1" applyBorder="1" applyAlignment="1">
      <alignment horizontal="center" vertical="center" wrapText="1"/>
    </xf>
    <xf numFmtId="10" fontId="50" fillId="26" borderId="13" xfId="0" applyNumberFormat="1" applyFont="1" applyFill="1" applyBorder="1" applyAlignment="1">
      <alignment horizontal="center" vertical="center" wrapText="1"/>
    </xf>
    <xf numFmtId="10" fontId="50" fillId="26" borderId="111" xfId="0" applyNumberFormat="1" applyFont="1" applyFill="1" applyBorder="1" applyAlignment="1">
      <alignment horizontal="center" vertical="center" wrapText="1"/>
    </xf>
    <xf numFmtId="165" fontId="49" fillId="0" borderId="71" xfId="0" applyNumberFormat="1" applyFont="1" applyBorder="1" applyAlignment="1">
      <alignment horizontal="center" vertical="center" wrapText="1"/>
    </xf>
    <xf numFmtId="165" fontId="50" fillId="26" borderId="50" xfId="0" applyNumberFormat="1" applyFont="1" applyFill="1" applyBorder="1" applyAlignment="1">
      <alignment horizontal="center" vertical="center" wrapText="1"/>
    </xf>
    <xf numFmtId="165" fontId="49" fillId="0" borderId="163" xfId="0" applyNumberFormat="1" applyFont="1" applyBorder="1" applyAlignment="1">
      <alignment horizontal="center" vertical="center" wrapText="1"/>
    </xf>
    <xf numFmtId="165" fontId="50" fillId="26" borderId="164" xfId="0" applyNumberFormat="1" applyFont="1" applyFill="1" applyBorder="1" applyAlignment="1">
      <alignment horizontal="center" vertical="center" wrapText="1"/>
    </xf>
    <xf numFmtId="165" fontId="50" fillId="26" borderId="112" xfId="0" applyNumberFormat="1" applyFont="1" applyFill="1" applyBorder="1" applyAlignment="1">
      <alignment horizontal="center" vertical="center" wrapText="1"/>
    </xf>
    <xf numFmtId="0" fontId="49" fillId="0" borderId="167" xfId="0" applyFont="1" applyBorder="1" applyAlignment="1">
      <alignment horizontal="center" vertical="center" wrapText="1"/>
    </xf>
    <xf numFmtId="165" fontId="49" fillId="48" borderId="111" xfId="0" applyNumberFormat="1" applyFont="1" applyFill="1" applyBorder="1" applyAlignment="1">
      <alignment horizontal="center" vertical="center" wrapText="1"/>
    </xf>
    <xf numFmtId="165" fontId="50" fillId="26" borderId="44" xfId="0" applyNumberFormat="1" applyFont="1" applyFill="1" applyBorder="1" applyAlignment="1">
      <alignment horizontal="center" vertical="center" wrapText="1"/>
    </xf>
    <xf numFmtId="165" fontId="50" fillId="58" borderId="111" xfId="0" applyNumberFormat="1" applyFont="1" applyFill="1" applyBorder="1" applyAlignment="1">
      <alignment horizontal="center" vertical="center" wrapText="1"/>
    </xf>
    <xf numFmtId="165" fontId="50" fillId="7" borderId="71" xfId="0" applyNumberFormat="1" applyFont="1" applyFill="1" applyBorder="1" applyAlignment="1">
      <alignment horizontal="center" vertical="center" wrapText="1"/>
    </xf>
    <xf numFmtId="0" fontId="57" fillId="0" borderId="87" xfId="0" applyFont="1" applyBorder="1" applyAlignment="1">
      <alignment vertical="center" wrapText="1"/>
    </xf>
    <xf numFmtId="9" fontId="58" fillId="5" borderId="109" xfId="0" applyNumberFormat="1" applyFont="1" applyFill="1" applyBorder="1" applyAlignment="1">
      <alignment horizontal="center" vertical="center" wrapText="1"/>
    </xf>
    <xf numFmtId="9" fontId="58" fillId="5" borderId="51" xfId="0" applyNumberFormat="1" applyFont="1" applyFill="1" applyBorder="1" applyAlignment="1">
      <alignment horizontal="center" vertical="center" wrapText="1"/>
    </xf>
    <xf numFmtId="9" fontId="57" fillId="0" borderId="116" xfId="0" applyNumberFormat="1" applyFont="1" applyBorder="1" applyAlignment="1">
      <alignment vertical="center" wrapText="1"/>
    </xf>
    <xf numFmtId="165" fontId="58" fillId="29" borderId="109" xfId="0" applyNumberFormat="1" applyFont="1" applyFill="1" applyBorder="1" applyAlignment="1">
      <alignment horizontal="center" vertical="center" wrapText="1"/>
    </xf>
    <xf numFmtId="0" fontId="66" fillId="0" borderId="25" xfId="0" applyFont="1" applyBorder="1" applyAlignment="1">
      <alignment vertical="center" wrapText="1"/>
    </xf>
    <xf numFmtId="9" fontId="67" fillId="0" borderId="168" xfId="0" applyNumberFormat="1" applyFont="1" applyBorder="1" applyAlignment="1">
      <alignment horizontal="center" vertical="center" wrapText="1"/>
    </xf>
    <xf numFmtId="0" fontId="68" fillId="0" borderId="169" xfId="0" applyFont="1" applyBorder="1" applyAlignment="1"/>
    <xf numFmtId="0" fontId="69" fillId="0" borderId="170" xfId="0" applyFont="1" applyBorder="1" applyAlignment="1"/>
    <xf numFmtId="0" fontId="69" fillId="0" borderId="169" xfId="0" applyFont="1" applyBorder="1" applyAlignment="1"/>
    <xf numFmtId="165" fontId="58" fillId="5" borderId="116" xfId="1" applyNumberFormat="1" applyFont="1" applyFill="1" applyBorder="1" applyAlignment="1">
      <alignment horizontal="center" vertical="center" wrapText="1"/>
    </xf>
    <xf numFmtId="0" fontId="49" fillId="0" borderId="47" xfId="0" applyFont="1" applyBorder="1" applyAlignment="1">
      <alignment wrapText="1"/>
    </xf>
    <xf numFmtId="169" fontId="49" fillId="0" borderId="47" xfId="3" applyNumberFormat="1" applyFont="1" applyBorder="1" applyAlignment="1">
      <alignment horizontal="center" vertical="center" wrapText="1"/>
    </xf>
    <xf numFmtId="9" fontId="50" fillId="5" borderId="47" xfId="0" applyNumberFormat="1" applyFont="1" applyFill="1" applyBorder="1" applyAlignment="1">
      <alignment horizontal="center" vertical="center" wrapText="1"/>
    </xf>
    <xf numFmtId="0" fontId="69" fillId="0" borderId="159" xfId="0" applyFont="1" applyBorder="1" applyAlignment="1"/>
    <xf numFmtId="0" fontId="50" fillId="3" borderId="171" xfId="0" applyFont="1" applyFill="1" applyBorder="1" applyAlignment="1">
      <alignment horizontal="center" vertical="center" wrapText="1"/>
    </xf>
    <xf numFmtId="10" fontId="67" fillId="28" borderId="24" xfId="0" applyNumberFormat="1" applyFont="1" applyFill="1" applyBorder="1" applyAlignment="1">
      <alignment horizontal="center" vertical="center" wrapText="1"/>
    </xf>
    <xf numFmtId="9" fontId="49" fillId="0" borderId="142" xfId="0" applyNumberFormat="1" applyFont="1" applyBorder="1" applyAlignment="1">
      <alignment horizontal="center" vertical="center" wrapText="1"/>
    </xf>
    <xf numFmtId="9" fontId="49" fillId="0" borderId="141" xfId="0" applyNumberFormat="1" applyFont="1" applyBorder="1" applyAlignment="1">
      <alignment horizontal="center" vertical="center" wrapText="1"/>
    </xf>
    <xf numFmtId="0" fontId="57" fillId="0" borderId="116" xfId="0" applyFont="1" applyBorder="1" applyAlignment="1">
      <alignment wrapText="1"/>
    </xf>
    <xf numFmtId="0" fontId="57" fillId="0" borderId="134" xfId="0" applyFont="1" applyBorder="1" applyAlignment="1">
      <alignment vertical="center" wrapText="1"/>
    </xf>
    <xf numFmtId="0" fontId="49" fillId="0" borderId="45" xfId="0" applyFont="1" applyBorder="1" applyAlignment="1">
      <alignment vertical="center" wrapText="1"/>
    </xf>
    <xf numFmtId="2" fontId="49" fillId="0" borderId="45" xfId="0" applyNumberFormat="1" applyFont="1" applyBorder="1" applyAlignment="1">
      <alignment horizontal="center" vertical="center" wrapText="1"/>
    </xf>
    <xf numFmtId="0" fontId="49" fillId="13" borderId="45" xfId="0" applyFont="1" applyFill="1" applyBorder="1" applyAlignment="1">
      <alignment horizontal="center" vertical="center" wrapText="1"/>
    </xf>
    <xf numFmtId="1" fontId="49" fillId="0" borderId="45" xfId="0" applyNumberFormat="1" applyFont="1" applyBorder="1" applyAlignment="1">
      <alignment horizontal="center" vertical="center" wrapText="1"/>
    </xf>
    <xf numFmtId="165" fontId="49" fillId="0" borderId="45" xfId="1" applyNumberFormat="1" applyFont="1" applyBorder="1" applyAlignment="1">
      <alignment horizontal="center" vertical="center" wrapText="1"/>
    </xf>
    <xf numFmtId="0" fontId="49" fillId="0" borderId="46" xfId="0" applyFont="1" applyBorder="1" applyAlignment="1">
      <alignment horizontal="center" vertical="center" wrapText="1"/>
    </xf>
    <xf numFmtId="0" fontId="66" fillId="0" borderId="27" xfId="0" applyFont="1" applyBorder="1" applyAlignment="1">
      <alignment wrapText="1"/>
    </xf>
    <xf numFmtId="165" fontId="56" fillId="6" borderId="28" xfId="0" applyNumberFormat="1" applyFont="1" applyFill="1" applyBorder="1" applyAlignment="1">
      <alignment horizontal="center" vertical="center" wrapText="1"/>
    </xf>
    <xf numFmtId="0" fontId="58" fillId="50" borderId="43" xfId="0" applyFont="1" applyFill="1" applyBorder="1" applyAlignment="1">
      <alignment horizontal="center" vertical="center" wrapText="1"/>
    </xf>
    <xf numFmtId="165" fontId="49" fillId="48" borderId="24" xfId="0" applyNumberFormat="1" applyFont="1" applyFill="1" applyBorder="1" applyAlignment="1">
      <alignment horizontal="center" vertical="center" wrapText="1"/>
    </xf>
    <xf numFmtId="165" fontId="50" fillId="58" borderId="24" xfId="0" applyNumberFormat="1" applyFont="1" applyFill="1" applyBorder="1" applyAlignment="1">
      <alignment horizontal="center" vertical="center" wrapText="1"/>
    </xf>
    <xf numFmtId="9" fontId="49" fillId="0" borderId="113" xfId="0" applyNumberFormat="1" applyFont="1" applyBorder="1" applyAlignment="1">
      <alignment horizontal="center" vertical="center" wrapText="1"/>
    </xf>
    <xf numFmtId="165" fontId="50" fillId="3" borderId="34" xfId="0" applyNumberFormat="1" applyFont="1" applyFill="1" applyBorder="1" applyAlignment="1">
      <alignment horizontal="center" vertical="center" wrapText="1"/>
    </xf>
    <xf numFmtId="0" fontId="50" fillId="42" borderId="139" xfId="0" applyFont="1" applyFill="1" applyBorder="1" applyAlignment="1">
      <alignment horizontal="center" vertical="center" wrapText="1"/>
    </xf>
    <xf numFmtId="165" fontId="50" fillId="26" borderId="36" xfId="0" applyNumberFormat="1" applyFont="1" applyFill="1" applyBorder="1" applyAlignment="1">
      <alignment horizontal="center" vertical="center" wrapText="1"/>
    </xf>
    <xf numFmtId="9" fontId="49" fillId="0" borderId="38" xfId="0" applyNumberFormat="1" applyFont="1" applyBorder="1" applyAlignment="1">
      <alignment horizontal="center" vertical="center" wrapText="1"/>
    </xf>
    <xf numFmtId="9" fontId="49" fillId="0" borderId="40" xfId="0" applyNumberFormat="1" applyFont="1" applyBorder="1" applyAlignment="1">
      <alignment horizontal="center" vertical="center" wrapText="1"/>
    </xf>
    <xf numFmtId="165" fontId="50" fillId="6" borderId="18" xfId="0" applyNumberFormat="1" applyFont="1" applyFill="1" applyBorder="1" applyAlignment="1">
      <alignment horizontal="center" vertical="center" wrapText="1"/>
    </xf>
    <xf numFmtId="0" fontId="50" fillId="55" borderId="70" xfId="0" applyFont="1" applyFill="1" applyBorder="1" applyAlignment="1">
      <alignment horizontal="center" vertical="center" wrapText="1"/>
    </xf>
    <xf numFmtId="165" fontId="50" fillId="7" borderId="75" xfId="0" applyNumberFormat="1" applyFont="1" applyFill="1" applyBorder="1" applyAlignment="1">
      <alignment horizontal="center" vertical="center" wrapText="1"/>
    </xf>
    <xf numFmtId="165" fontId="58" fillId="31" borderId="51" xfId="0" applyNumberFormat="1" applyFont="1" applyFill="1" applyBorder="1" applyAlignment="1">
      <alignment horizontal="center" vertical="center" wrapText="1"/>
    </xf>
    <xf numFmtId="2" fontId="49" fillId="0" borderId="23" xfId="0" applyNumberFormat="1" applyFont="1" applyBorder="1" applyAlignment="1">
      <alignment horizontal="center" vertical="center" wrapText="1"/>
    </xf>
    <xf numFmtId="9" fontId="50" fillId="36" borderId="24" xfId="1" applyFont="1" applyFill="1" applyBorder="1" applyAlignment="1">
      <alignment horizontal="center" vertical="center" wrapText="1"/>
    </xf>
    <xf numFmtId="4" fontId="51" fillId="0" borderId="24" xfId="0" applyNumberFormat="1" applyFont="1" applyBorder="1" applyAlignment="1">
      <alignment horizontal="center" vertical="center" wrapText="1"/>
    </xf>
    <xf numFmtId="175" fontId="51" fillId="0" borderId="24" xfId="0" applyNumberFormat="1" applyFont="1" applyBorder="1" applyAlignment="1">
      <alignment horizontal="center" vertical="center" wrapText="1"/>
    </xf>
    <xf numFmtId="0" fontId="50" fillId="42" borderId="168" xfId="0" applyFont="1" applyFill="1" applyBorder="1" applyAlignment="1">
      <alignment horizontal="center" vertical="center" wrapText="1"/>
    </xf>
    <xf numFmtId="0" fontId="86" fillId="0" borderId="22" xfId="0" applyFont="1" applyBorder="1" applyAlignment="1">
      <alignment wrapText="1"/>
    </xf>
    <xf numFmtId="0" fontId="86" fillId="0" borderId="87" xfId="0" applyFont="1" applyBorder="1" applyAlignment="1">
      <alignment wrapText="1"/>
    </xf>
    <xf numFmtId="9" fontId="87" fillId="0" borderId="109" xfId="0" applyNumberFormat="1" applyFont="1" applyBorder="1" applyAlignment="1">
      <alignment horizontal="center" vertical="center" wrapText="1"/>
    </xf>
    <xf numFmtId="0" fontId="88" fillId="0" borderId="51" xfId="0" applyFont="1" applyBorder="1" applyAlignment="1"/>
    <xf numFmtId="0" fontId="89" fillId="0" borderId="51" xfId="0" applyFont="1" applyBorder="1" applyAlignment="1"/>
    <xf numFmtId="165" fontId="87" fillId="6" borderId="51" xfId="0" applyNumberFormat="1" applyFont="1" applyFill="1" applyBorder="1" applyAlignment="1">
      <alignment horizontal="center" vertical="center" wrapText="1"/>
    </xf>
    <xf numFmtId="165" fontId="87" fillId="4" borderId="51" xfId="0" applyNumberFormat="1" applyFont="1" applyFill="1" applyBorder="1" applyAlignment="1">
      <alignment horizontal="center" vertical="center" wrapText="1"/>
    </xf>
    <xf numFmtId="165" fontId="86" fillId="0" borderId="51" xfId="0" applyNumberFormat="1" applyFont="1" applyBorder="1" applyAlignment="1">
      <alignment wrapText="1"/>
    </xf>
    <xf numFmtId="10" fontId="87" fillId="6" borderId="51" xfId="0" applyNumberFormat="1" applyFont="1" applyFill="1" applyBorder="1" applyAlignment="1">
      <alignment horizontal="center" vertical="center" wrapText="1"/>
    </xf>
    <xf numFmtId="10" fontId="87" fillId="4" borderId="51" xfId="0" applyNumberFormat="1" applyFont="1" applyFill="1" applyBorder="1" applyAlignment="1">
      <alignment horizontal="center" vertical="center" wrapText="1"/>
    </xf>
    <xf numFmtId="165" fontId="87" fillId="27" borderId="124" xfId="0" applyNumberFormat="1" applyFont="1" applyFill="1" applyBorder="1" applyAlignment="1">
      <alignment vertical="center" wrapText="1"/>
    </xf>
    <xf numFmtId="0" fontId="86" fillId="0" borderId="51" xfId="0" applyFont="1" applyBorder="1" applyAlignment="1">
      <alignment wrapText="1"/>
    </xf>
    <xf numFmtId="0" fontId="86" fillId="0" borderId="1" xfId="0" applyFont="1" applyBorder="1" applyAlignment="1">
      <alignment wrapText="1"/>
    </xf>
    <xf numFmtId="0" fontId="89" fillId="0" borderId="0" xfId="0" applyFont="1" applyAlignment="1"/>
    <xf numFmtId="0" fontId="86" fillId="0" borderId="116" xfId="0" applyFont="1" applyBorder="1" applyAlignment="1">
      <alignment wrapText="1"/>
    </xf>
    <xf numFmtId="0" fontId="86" fillId="0" borderId="15" xfId="0" applyFont="1" applyBorder="1" applyAlignment="1">
      <alignment wrapText="1"/>
    </xf>
    <xf numFmtId="0" fontId="86" fillId="0" borderId="24" xfId="0" applyFont="1" applyBorder="1" applyAlignment="1">
      <alignment wrapText="1"/>
    </xf>
    <xf numFmtId="165" fontId="39" fillId="59" borderId="24" xfId="0" applyNumberFormat="1" applyFont="1" applyFill="1" applyBorder="1" applyAlignment="1">
      <alignment horizontal="center" vertical="center" wrapText="1"/>
    </xf>
    <xf numFmtId="0" fontId="37" fillId="9" borderId="34" xfId="0" applyFont="1" applyFill="1" applyBorder="1" applyAlignment="1">
      <alignment horizontal="center" vertical="center"/>
    </xf>
    <xf numFmtId="2" fontId="38" fillId="0" borderId="24" xfId="3" applyNumberFormat="1" applyFont="1" applyBorder="1" applyAlignment="1">
      <alignment horizontal="center" vertical="center" wrapText="1"/>
    </xf>
    <xf numFmtId="0" fontId="50" fillId="42" borderId="172" xfId="0" applyFont="1" applyFill="1" applyBorder="1" applyAlignment="1">
      <alignment horizontal="center" vertical="center" wrapText="1"/>
    </xf>
    <xf numFmtId="0" fontId="46" fillId="0" borderId="47" xfId="0" applyFont="1" applyBorder="1" applyAlignment="1"/>
    <xf numFmtId="0" fontId="40" fillId="0" borderId="47" xfId="0" applyFont="1" applyBorder="1" applyAlignment="1"/>
    <xf numFmtId="0" fontId="41" fillId="19" borderId="47" xfId="0" applyFont="1" applyFill="1" applyBorder="1" applyAlignment="1">
      <alignment vertical="center"/>
    </xf>
    <xf numFmtId="0" fontId="41" fillId="12" borderId="47" xfId="0" applyFont="1" applyFill="1" applyBorder="1" applyAlignment="1">
      <alignment vertical="center"/>
    </xf>
    <xf numFmtId="0" fontId="41" fillId="12" borderId="47" xfId="0" applyFont="1" applyFill="1" applyBorder="1" applyAlignment="1">
      <alignment vertical="center" wrapText="1"/>
    </xf>
    <xf numFmtId="0" fontId="41" fillId="12" borderId="47" xfId="0" applyFont="1" applyFill="1" applyBorder="1" applyAlignment="1">
      <alignment horizontal="center" vertical="center" wrapText="1"/>
    </xf>
    <xf numFmtId="0" fontId="40" fillId="12" borderId="47" xfId="0" applyFont="1" applyFill="1" applyBorder="1" applyAlignment="1"/>
    <xf numFmtId="0" fontId="50" fillId="42" borderId="24" xfId="0" applyFont="1" applyFill="1" applyBorder="1" applyAlignment="1">
      <alignment horizontal="center" vertical="center" wrapText="1"/>
    </xf>
    <xf numFmtId="0" fontId="58" fillId="50" borderId="24" xfId="0" applyFont="1" applyFill="1" applyBorder="1" applyAlignment="1">
      <alignment horizontal="center" vertical="center" wrapText="1"/>
    </xf>
    <xf numFmtId="0" fontId="34" fillId="0" borderId="24" xfId="0" applyFont="1" applyBorder="1" applyAlignment="1"/>
    <xf numFmtId="0" fontId="33" fillId="0" borderId="47" xfId="0" applyFont="1" applyBorder="1" applyAlignment="1">
      <alignment wrapText="1"/>
    </xf>
    <xf numFmtId="165" fontId="39" fillId="60" borderId="24" xfId="0" applyNumberFormat="1" applyFont="1" applyFill="1" applyBorder="1" applyAlignment="1">
      <alignment horizontal="center" vertical="center" wrapText="1"/>
    </xf>
    <xf numFmtId="0" fontId="90" fillId="61" borderId="12" xfId="0" applyFont="1" applyFill="1" applyBorder="1" applyAlignment="1">
      <alignment horizontal="center" vertical="center" wrapText="1"/>
    </xf>
    <xf numFmtId="9" fontId="29" fillId="0" borderId="47" xfId="0" applyNumberFormat="1" applyFont="1" applyBorder="1" applyAlignment="1">
      <alignment horizontal="center" vertical="center" wrapText="1"/>
    </xf>
    <xf numFmtId="0" fontId="30" fillId="0" borderId="24" xfId="0" applyFont="1" applyBorder="1" applyAlignment="1"/>
    <xf numFmtId="0" fontId="50" fillId="3" borderId="70" xfId="0" applyFont="1" applyFill="1" applyBorder="1" applyAlignment="1">
      <alignment horizontal="center" vertical="center" wrapText="1"/>
    </xf>
    <xf numFmtId="0" fontId="58" fillId="50" borderId="140" xfId="0" applyFont="1" applyFill="1" applyBorder="1" applyAlignment="1">
      <alignment horizontal="center" vertical="center" wrapText="1"/>
    </xf>
    <xf numFmtId="0" fontId="29" fillId="15" borderId="24" xfId="0" applyFont="1" applyFill="1" applyBorder="1" applyAlignment="1">
      <alignment horizontal="center" vertical="center" wrapText="1"/>
    </xf>
    <xf numFmtId="0" fontId="29" fillId="13" borderId="24" xfId="0" applyFont="1" applyFill="1" applyBorder="1" applyAlignment="1">
      <alignment horizontal="center" vertical="center" wrapText="1"/>
    </xf>
    <xf numFmtId="2" fontId="29" fillId="15" borderId="24" xfId="0" applyNumberFormat="1" applyFont="1" applyFill="1" applyBorder="1" applyAlignment="1">
      <alignment horizontal="center" vertical="center" wrapText="1"/>
    </xf>
    <xf numFmtId="10" fontId="91" fillId="53" borderId="106" xfId="1" applyNumberFormat="1" applyFont="1" applyFill="1" applyBorder="1" applyAlignment="1">
      <alignment horizontal="center" vertical="center" wrapText="1"/>
    </xf>
    <xf numFmtId="0" fontId="49" fillId="0" borderId="163" xfId="0" applyFont="1" applyBorder="1" applyAlignment="1">
      <alignment vertical="center" wrapText="1"/>
    </xf>
    <xf numFmtId="9" fontId="49" fillId="0" borderId="43" xfId="0" applyNumberFormat="1" applyFont="1" applyBorder="1" applyAlignment="1">
      <alignment horizontal="center" vertical="center" wrapText="1"/>
    </xf>
    <xf numFmtId="0" fontId="49" fillId="0" borderId="27" xfId="0" applyFont="1" applyBorder="1" applyAlignment="1">
      <alignment horizontal="center" vertical="center" wrapText="1"/>
    </xf>
    <xf numFmtId="0" fontId="49" fillId="13" borderId="40" xfId="0" applyFont="1" applyFill="1" applyBorder="1" applyAlignment="1">
      <alignment horizontal="center" vertical="center" wrapText="1"/>
    </xf>
    <xf numFmtId="0" fontId="49" fillId="13" borderId="25" xfId="0" applyFont="1" applyFill="1" applyBorder="1" applyAlignment="1">
      <alignment horizontal="center" vertical="center" wrapText="1"/>
    </xf>
    <xf numFmtId="0" fontId="40" fillId="0" borderId="47" xfId="0" applyFont="1" applyFill="1" applyBorder="1" applyAlignment="1">
      <alignment horizontal="center" vertical="center"/>
    </xf>
    <xf numFmtId="0" fontId="40" fillId="0" borderId="25" xfId="0" applyFont="1" applyFill="1" applyBorder="1" applyAlignment="1">
      <alignment horizontal="center" vertical="center"/>
    </xf>
    <xf numFmtId="0" fontId="38" fillId="0" borderId="31" xfId="0" applyFont="1" applyBorder="1" applyAlignment="1">
      <alignment vertical="center" wrapText="1"/>
    </xf>
    <xf numFmtId="0" fontId="38" fillId="0" borderId="174" xfId="0" applyFont="1" applyBorder="1" applyAlignment="1">
      <alignment wrapText="1"/>
    </xf>
    <xf numFmtId="0" fontId="38" fillId="13" borderId="174" xfId="0" applyFont="1" applyFill="1" applyBorder="1" applyAlignment="1">
      <alignment wrapText="1"/>
    </xf>
    <xf numFmtId="165" fontId="49" fillId="13" borderId="25" xfId="0" applyNumberFormat="1" applyFont="1" applyFill="1" applyBorder="1" applyAlignment="1">
      <alignment horizontal="center" vertical="center" wrapText="1"/>
    </xf>
    <xf numFmtId="1" fontId="49" fillId="0" borderId="9" xfId="0" applyNumberFormat="1" applyFont="1" applyBorder="1" applyAlignment="1">
      <alignment horizontal="center" vertical="center" wrapText="1"/>
    </xf>
    <xf numFmtId="0" fontId="92" fillId="0" borderId="22" xfId="0" applyFont="1" applyBorder="1" applyAlignment="1">
      <alignment wrapText="1"/>
    </xf>
    <xf numFmtId="0" fontId="92" fillId="0" borderId="113" xfId="0" applyFont="1" applyBorder="1" applyAlignment="1">
      <alignment wrapText="1"/>
    </xf>
    <xf numFmtId="9" fontId="93" fillId="5" borderId="114" xfId="0" applyNumberFormat="1" applyFont="1" applyFill="1" applyBorder="1" applyAlignment="1">
      <alignment horizontal="center" vertical="center" wrapText="1"/>
    </xf>
    <xf numFmtId="9" fontId="93" fillId="5" borderId="34" xfId="0" applyNumberFormat="1" applyFont="1" applyFill="1" applyBorder="1" applyAlignment="1">
      <alignment horizontal="center" vertical="center" wrapText="1"/>
    </xf>
    <xf numFmtId="0" fontId="92" fillId="0" borderId="24" xfId="0" applyFont="1" applyBorder="1" applyAlignment="1">
      <alignment wrapText="1"/>
    </xf>
    <xf numFmtId="9" fontId="93" fillId="5" borderId="24" xfId="0" applyNumberFormat="1" applyFont="1" applyFill="1" applyBorder="1" applyAlignment="1">
      <alignment horizontal="center" vertical="center" wrapText="1"/>
    </xf>
    <xf numFmtId="165" fontId="93" fillId="28" borderId="24" xfId="0" applyNumberFormat="1" applyFont="1" applyFill="1" applyBorder="1" applyAlignment="1">
      <alignment horizontal="center" vertical="center" wrapText="1"/>
    </xf>
    <xf numFmtId="165" fontId="93" fillId="7" borderId="24" xfId="0" applyNumberFormat="1" applyFont="1" applyFill="1" applyBorder="1" applyAlignment="1">
      <alignment horizontal="center" vertical="center" wrapText="1"/>
    </xf>
    <xf numFmtId="0" fontId="92" fillId="13" borderId="24" xfId="0" applyFont="1" applyFill="1" applyBorder="1" applyAlignment="1">
      <alignment wrapText="1"/>
    </xf>
    <xf numFmtId="0" fontId="92" fillId="0" borderId="24" xfId="0" applyFont="1" applyBorder="1" applyAlignment="1">
      <alignment horizontal="center" wrapText="1"/>
    </xf>
    <xf numFmtId="165" fontId="93" fillId="7" borderId="47" xfId="0" applyNumberFormat="1" applyFont="1" applyFill="1" applyBorder="1" applyAlignment="1">
      <alignment horizontal="center" vertical="center" wrapText="1"/>
    </xf>
    <xf numFmtId="165" fontId="93" fillId="33" borderId="47" xfId="0" applyNumberFormat="1" applyFont="1" applyFill="1" applyBorder="1" applyAlignment="1">
      <alignment horizontal="center" vertical="center" wrapText="1"/>
    </xf>
    <xf numFmtId="0" fontId="94" fillId="0" borderId="24" xfId="0" applyFont="1" applyBorder="1" applyAlignment="1"/>
    <xf numFmtId="0" fontId="94" fillId="0" borderId="47" xfId="0" applyFont="1" applyBorder="1" applyAlignment="1"/>
    <xf numFmtId="9" fontId="93" fillId="19" borderId="24" xfId="0" applyNumberFormat="1" applyFont="1" applyFill="1" applyBorder="1" applyAlignment="1">
      <alignment horizontal="left" vertical="center" wrapText="1"/>
    </xf>
    <xf numFmtId="0" fontId="94" fillId="0" borderId="0" xfId="0" applyFont="1" applyAlignment="1"/>
    <xf numFmtId="0" fontId="49" fillId="15" borderId="45" xfId="0" applyFont="1" applyFill="1" applyBorder="1" applyAlignment="1">
      <alignment horizontal="center" vertical="center" wrapText="1"/>
    </xf>
    <xf numFmtId="0" fontId="49" fillId="15" borderId="46" xfId="0" applyFont="1" applyFill="1" applyBorder="1" applyAlignment="1">
      <alignment horizontal="center" vertical="center" wrapText="1"/>
    </xf>
    <xf numFmtId="0" fontId="49" fillId="15" borderId="31" xfId="0" applyFont="1" applyFill="1" applyBorder="1" applyAlignment="1">
      <alignment horizontal="center" vertical="center" wrapText="1"/>
    </xf>
    <xf numFmtId="168" fontId="38" fillId="15" borderId="24" xfId="0" applyNumberFormat="1" applyFont="1" applyFill="1" applyBorder="1" applyAlignment="1">
      <alignment horizontal="center" vertical="center" wrapText="1"/>
    </xf>
    <xf numFmtId="0" fontId="37" fillId="13" borderId="24" xfId="0" applyFont="1" applyFill="1" applyBorder="1" applyAlignment="1">
      <alignment horizontal="center" vertical="center"/>
    </xf>
    <xf numFmtId="0" fontId="41" fillId="19" borderId="24" xfId="0" applyFont="1" applyFill="1" applyBorder="1" applyAlignment="1">
      <alignment wrapText="1"/>
    </xf>
    <xf numFmtId="0" fontId="39" fillId="24" borderId="10" xfId="0" applyFont="1" applyFill="1" applyBorder="1" applyAlignment="1">
      <alignment vertical="center" wrapText="1"/>
    </xf>
    <xf numFmtId="167" fontId="49" fillId="0" borderId="24" xfId="0" applyNumberFormat="1" applyFont="1" applyBorder="1" applyAlignment="1">
      <alignment horizontal="center" vertical="center" wrapText="1"/>
    </xf>
    <xf numFmtId="2" fontId="49" fillId="15" borderId="45" xfId="0" applyNumberFormat="1" applyFont="1" applyFill="1" applyBorder="1" applyAlignment="1">
      <alignment horizontal="center" vertical="center" wrapText="1"/>
    </xf>
    <xf numFmtId="1" fontId="49" fillId="15" borderId="45" xfId="0" applyNumberFormat="1" applyFont="1" applyFill="1" applyBorder="1" applyAlignment="1">
      <alignment horizontal="center" vertical="center" wrapText="1"/>
    </xf>
    <xf numFmtId="167" fontId="49" fillId="15" borderId="45" xfId="0" applyNumberFormat="1" applyFont="1" applyFill="1" applyBorder="1" applyAlignment="1">
      <alignment horizontal="center" vertical="center" wrapText="1"/>
    </xf>
    <xf numFmtId="0" fontId="40" fillId="0" borderId="24" xfId="0" applyFont="1" applyBorder="1" applyAlignment="1">
      <alignment vertical="center"/>
    </xf>
    <xf numFmtId="165" fontId="49" fillId="13" borderId="53" xfId="0" applyNumberFormat="1" applyFont="1" applyFill="1" applyBorder="1" applyAlignment="1">
      <alignment horizontal="center" vertical="center" wrapText="1"/>
    </xf>
    <xf numFmtId="165" fontId="49" fillId="13" borderId="111" xfId="0" applyNumberFormat="1" applyFont="1" applyFill="1" applyBorder="1" applyAlignment="1">
      <alignment horizontal="center" vertical="center" wrapText="1"/>
    </xf>
    <xf numFmtId="165" fontId="49" fillId="13" borderId="166" xfId="0" applyNumberFormat="1" applyFont="1" applyFill="1" applyBorder="1" applyAlignment="1">
      <alignment horizontal="center" vertical="center" wrapText="1"/>
    </xf>
    <xf numFmtId="168" fontId="49" fillId="0" borderId="9" xfId="0" applyNumberFormat="1" applyFont="1" applyBorder="1" applyAlignment="1">
      <alignment horizontal="center" vertical="center" wrapText="1"/>
    </xf>
    <xf numFmtId="1" fontId="29" fillId="0" borderId="24" xfId="0" applyNumberFormat="1" applyFont="1" applyBorder="1" applyAlignment="1">
      <alignment horizontal="center" vertical="center" wrapText="1"/>
    </xf>
    <xf numFmtId="170" fontId="38" fillId="15" borderId="24" xfId="0" applyNumberFormat="1" applyFont="1" applyFill="1" applyBorder="1" applyAlignment="1">
      <alignment horizontal="center" vertical="center" wrapText="1"/>
    </xf>
    <xf numFmtId="165" fontId="93" fillId="6" borderId="25" xfId="0" applyNumberFormat="1" applyFont="1" applyFill="1" applyBorder="1" applyAlignment="1">
      <alignment horizontal="center" vertical="center" wrapText="1"/>
    </xf>
    <xf numFmtId="165" fontId="8" fillId="12" borderId="24" xfId="1" applyNumberFormat="1" applyFont="1" applyFill="1" applyBorder="1" applyAlignment="1">
      <alignment horizontal="center" vertical="center"/>
    </xf>
    <xf numFmtId="0" fontId="15" fillId="0" borderId="78" xfId="0" applyFont="1" applyBorder="1" applyAlignment="1">
      <alignment horizontal="justify" vertical="center" wrapText="1"/>
    </xf>
    <xf numFmtId="0" fontId="15" fillId="0" borderId="35" xfId="0" applyFont="1" applyBorder="1" applyAlignment="1">
      <alignment horizontal="justify" vertical="center" wrapText="1"/>
    </xf>
    <xf numFmtId="10" fontId="20" fillId="12" borderId="51" xfId="0" applyNumberFormat="1" applyFont="1" applyFill="1" applyBorder="1" applyAlignment="1">
      <alignment horizontal="center" vertical="center"/>
    </xf>
    <xf numFmtId="165" fontId="20" fillId="12" borderId="93" xfId="0" applyNumberFormat="1" applyFont="1" applyFill="1" applyBorder="1" applyAlignment="1">
      <alignment horizontal="center" vertical="center"/>
    </xf>
    <xf numFmtId="10" fontId="20" fillId="12" borderId="93" xfId="0" applyNumberFormat="1" applyFont="1" applyFill="1" applyBorder="1" applyAlignment="1">
      <alignment horizontal="center" vertical="center"/>
    </xf>
    <xf numFmtId="0" fontId="39" fillId="24" borderId="54" xfId="0" applyFont="1" applyFill="1" applyBorder="1" applyAlignment="1">
      <alignment vertical="center" wrapText="1"/>
    </xf>
    <xf numFmtId="165" fontId="8" fillId="12" borderId="99" xfId="1" applyNumberFormat="1" applyFont="1" applyFill="1" applyBorder="1" applyAlignment="1">
      <alignment horizontal="center" vertical="center"/>
    </xf>
    <xf numFmtId="0" fontId="49" fillId="44" borderId="13" xfId="0" applyFont="1" applyFill="1" applyBorder="1" applyAlignment="1">
      <alignment horizontal="center" vertical="center" wrapText="1"/>
    </xf>
    <xf numFmtId="0" fontId="49" fillId="44" borderId="71" xfId="0" applyFont="1" applyFill="1" applyBorder="1" applyAlignment="1">
      <alignment horizontal="center" vertical="center" wrapText="1"/>
    </xf>
    <xf numFmtId="0" fontId="49" fillId="44" borderId="111" xfId="0" applyFont="1" applyFill="1" applyBorder="1" applyAlignment="1">
      <alignment horizontal="center" vertical="center" wrapText="1"/>
    </xf>
    <xf numFmtId="43" fontId="49" fillId="0" borderId="24" xfId="3" applyFont="1" applyBorder="1" applyAlignment="1">
      <alignment horizontal="center" vertical="center" wrapText="1"/>
    </xf>
    <xf numFmtId="165" fontId="50" fillId="17" borderId="29" xfId="1" applyNumberFormat="1" applyFont="1" applyFill="1" applyBorder="1" applyAlignment="1">
      <alignment horizontal="center" vertical="center" wrapText="1"/>
    </xf>
    <xf numFmtId="0" fontId="75" fillId="0" borderId="0" xfId="0" applyFont="1" applyAlignment="1"/>
    <xf numFmtId="165" fontId="75" fillId="0" borderId="0" xfId="0" applyNumberFormat="1" applyFont="1" applyAlignment="1"/>
    <xf numFmtId="0" fontId="81" fillId="0" borderId="25" xfId="0" applyFont="1" applyBorder="1" applyAlignment="1">
      <alignment horizontal="center" vertical="center"/>
    </xf>
    <xf numFmtId="164" fontId="81" fillId="0" borderId="25" xfId="1" applyNumberFormat="1" applyFont="1" applyBorder="1" applyAlignment="1">
      <alignment vertical="center"/>
    </xf>
    <xf numFmtId="164" fontId="75" fillId="0" borderId="0" xfId="1" applyNumberFormat="1" applyFont="1" applyAlignment="1"/>
    <xf numFmtId="164" fontId="81" fillId="0" borderId="0" xfId="0" applyNumberFormat="1" applyFont="1" applyAlignment="1"/>
    <xf numFmtId="164" fontId="75" fillId="0" borderId="0" xfId="0" applyNumberFormat="1" applyFont="1" applyAlignment="1"/>
    <xf numFmtId="10" fontId="75" fillId="0" borderId="0" xfId="0" applyNumberFormat="1" applyFont="1" applyAlignment="1"/>
    <xf numFmtId="10" fontId="96" fillId="0" borderId="0" xfId="0" applyNumberFormat="1" applyFont="1" applyAlignment="1">
      <alignment horizontal="center"/>
    </xf>
    <xf numFmtId="10" fontId="75" fillId="0" borderId="0" xfId="1" applyNumberFormat="1" applyFont="1" applyAlignment="1"/>
    <xf numFmtId="0" fontId="97" fillId="11" borderId="144" xfId="0" applyFont="1" applyFill="1" applyBorder="1" applyAlignment="1">
      <alignment horizontal="center" vertical="center" wrapText="1"/>
    </xf>
    <xf numFmtId="0" fontId="97" fillId="4" borderId="145" xfId="0" applyFont="1" applyFill="1" applyBorder="1" applyAlignment="1">
      <alignment horizontal="center" vertical="center" wrapText="1"/>
    </xf>
    <xf numFmtId="0" fontId="97" fillId="11" borderId="145" xfId="0" applyFont="1" applyFill="1" applyBorder="1" applyAlignment="1">
      <alignment horizontal="center" vertical="center" wrapText="1"/>
    </xf>
    <xf numFmtId="0" fontId="98" fillId="11" borderId="145" xfId="0" applyFont="1" applyFill="1" applyBorder="1" applyAlignment="1">
      <alignment horizontal="center" vertical="center" wrapText="1"/>
    </xf>
    <xf numFmtId="0" fontId="99" fillId="11" borderId="145" xfId="0" applyFont="1" applyFill="1" applyBorder="1" applyAlignment="1">
      <alignment horizontal="center" vertical="center" wrapText="1"/>
    </xf>
    <xf numFmtId="0" fontId="99" fillId="11" borderId="146" xfId="0" applyFont="1" applyFill="1" applyBorder="1" applyAlignment="1">
      <alignment horizontal="center" vertical="center" wrapText="1"/>
    </xf>
    <xf numFmtId="0" fontId="98" fillId="11" borderId="147" xfId="0" applyFont="1" applyFill="1" applyBorder="1" applyAlignment="1">
      <alignment horizontal="center" vertical="center" wrapText="1"/>
    </xf>
    <xf numFmtId="0" fontId="97" fillId="11" borderId="147" xfId="0" applyFont="1" applyFill="1" applyBorder="1" applyAlignment="1">
      <alignment horizontal="center" vertical="center" wrapText="1"/>
    </xf>
    <xf numFmtId="0" fontId="99" fillId="11" borderId="147" xfId="0" applyFont="1" applyFill="1" applyBorder="1" applyAlignment="1">
      <alignment horizontal="center" vertical="center" wrapText="1"/>
    </xf>
    <xf numFmtId="0" fontId="98" fillId="11" borderId="148" xfId="0" applyFont="1" applyFill="1" applyBorder="1" applyAlignment="1">
      <alignment horizontal="center" vertical="center" wrapText="1"/>
    </xf>
    <xf numFmtId="0" fontId="99" fillId="11" borderId="148" xfId="0" applyFont="1" applyFill="1" applyBorder="1" applyAlignment="1">
      <alignment horizontal="center" vertical="center" wrapText="1"/>
    </xf>
    <xf numFmtId="0" fontId="97" fillId="63" borderId="145" xfId="0" applyFont="1" applyFill="1" applyBorder="1" applyAlignment="1">
      <alignment horizontal="center" vertical="center" wrapText="1"/>
    </xf>
    <xf numFmtId="0" fontId="98" fillId="63" borderId="145" xfId="0" applyFont="1" applyFill="1" applyBorder="1" applyAlignment="1">
      <alignment horizontal="center" vertical="center" wrapText="1"/>
    </xf>
    <xf numFmtId="0" fontId="98" fillId="63" borderId="146" xfId="0" applyFont="1" applyFill="1" applyBorder="1" applyAlignment="1">
      <alignment horizontal="center" vertical="center" wrapText="1"/>
    </xf>
    <xf numFmtId="0" fontId="97" fillId="63" borderId="149" xfId="0" applyFont="1" applyFill="1" applyBorder="1" applyAlignment="1">
      <alignment horizontal="center" vertical="center" wrapText="1"/>
    </xf>
    <xf numFmtId="0" fontId="97" fillId="11" borderId="29" xfId="0" applyFont="1" applyFill="1" applyBorder="1" applyAlignment="1">
      <alignment horizontal="center" vertical="center" wrapText="1"/>
    </xf>
    <xf numFmtId="0" fontId="97" fillId="4" borderId="14" xfId="0" applyFont="1" applyFill="1" applyBorder="1" applyAlignment="1">
      <alignment horizontal="center" vertical="center" wrapText="1"/>
    </xf>
    <xf numFmtId="0" fontId="97" fillId="0" borderId="150" xfId="0" applyFont="1" applyBorder="1" applyAlignment="1">
      <alignment wrapText="1"/>
    </xf>
    <xf numFmtId="0" fontId="26" fillId="0" borderId="0" xfId="0" applyFont="1" applyBorder="1" applyAlignment="1"/>
    <xf numFmtId="0" fontId="100" fillId="0" borderId="85" xfId="0" applyFont="1" applyBorder="1"/>
    <xf numFmtId="0" fontId="100" fillId="0" borderId="23" xfId="0" applyFont="1" applyBorder="1"/>
    <xf numFmtId="0" fontId="97" fillId="3" borderId="152" xfId="0" applyFont="1" applyFill="1" applyBorder="1" applyAlignment="1">
      <alignment horizontal="left" vertical="center" wrapText="1"/>
    </xf>
    <xf numFmtId="165" fontId="101" fillId="0" borderId="14" xfId="0" applyNumberFormat="1" applyFont="1" applyBorder="1" applyAlignment="1">
      <alignment horizontal="center" vertical="center"/>
    </xf>
    <xf numFmtId="165" fontId="102" fillId="0" borderId="14" xfId="0" applyNumberFormat="1" applyFont="1" applyBorder="1" applyAlignment="1">
      <alignment horizontal="center" vertical="center"/>
    </xf>
    <xf numFmtId="165" fontId="95" fillId="0" borderId="14" xfId="0" applyNumberFormat="1" applyFont="1" applyBorder="1" applyAlignment="1">
      <alignment horizontal="center" vertical="center"/>
    </xf>
    <xf numFmtId="165" fontId="101" fillId="0" borderId="45" xfId="0" applyNumberFormat="1" applyFont="1" applyBorder="1" applyAlignment="1">
      <alignment horizontal="center" vertical="center"/>
    </xf>
    <xf numFmtId="165" fontId="101" fillId="0" borderId="24" xfId="0" applyNumberFormat="1" applyFont="1" applyBorder="1" applyAlignment="1">
      <alignment horizontal="center" vertical="center"/>
    </xf>
    <xf numFmtId="165" fontId="99" fillId="0" borderId="24" xfId="0" applyNumberFormat="1" applyFont="1" applyBorder="1" applyAlignment="1">
      <alignment horizontal="center" vertical="center"/>
    </xf>
    <xf numFmtId="165" fontId="99" fillId="0" borderId="29" xfId="0" applyNumberFormat="1" applyFont="1" applyBorder="1" applyAlignment="1">
      <alignment horizontal="center" vertical="center"/>
    </xf>
    <xf numFmtId="165" fontId="101" fillId="0" borderId="151" xfId="0" applyNumberFormat="1" applyFont="1" applyBorder="1" applyAlignment="1">
      <alignment horizontal="center" vertical="center"/>
    </xf>
    <xf numFmtId="165" fontId="99" fillId="0" borderId="151" xfId="0" applyNumberFormat="1" applyFont="1" applyBorder="1" applyAlignment="1">
      <alignment horizontal="center" vertical="center"/>
    </xf>
    <xf numFmtId="9" fontId="101" fillId="0" borderId="29" xfId="0" applyNumberFormat="1" applyFont="1" applyBorder="1" applyAlignment="1">
      <alignment horizontal="center"/>
    </xf>
    <xf numFmtId="0" fontId="101" fillId="0" borderId="14" xfId="0" applyFont="1" applyBorder="1" applyAlignment="1">
      <alignment horizontal="center"/>
    </xf>
    <xf numFmtId="0" fontId="102" fillId="0" borderId="14" xfId="0" applyFont="1" applyBorder="1" applyAlignment="1">
      <alignment horizontal="center"/>
    </xf>
    <xf numFmtId="0" fontId="97" fillId="3" borderId="153" xfId="0" applyFont="1" applyFill="1" applyBorder="1" applyAlignment="1">
      <alignment horizontal="left" vertical="center" wrapText="1"/>
    </xf>
    <xf numFmtId="165" fontId="101" fillId="0" borderId="154" xfId="0" applyNumberFormat="1" applyFont="1" applyBorder="1" applyAlignment="1">
      <alignment horizontal="center" vertical="center"/>
    </xf>
    <xf numFmtId="165" fontId="102" fillId="0" borderId="154" xfId="0" applyNumberFormat="1" applyFont="1" applyBorder="1" applyAlignment="1">
      <alignment horizontal="center" vertical="center"/>
    </xf>
    <xf numFmtId="165" fontId="95" fillId="0" borderId="154" xfId="0" applyNumberFormat="1" applyFont="1" applyBorder="1" applyAlignment="1">
      <alignment horizontal="center" vertical="center"/>
    </xf>
    <xf numFmtId="165" fontId="101" fillId="0" borderId="155" xfId="0" applyNumberFormat="1" applyFont="1" applyBorder="1" applyAlignment="1">
      <alignment horizontal="center" vertical="center"/>
    </xf>
    <xf numFmtId="165" fontId="101" fillId="0" borderId="156" xfId="0" applyNumberFormat="1" applyFont="1" applyBorder="1" applyAlignment="1">
      <alignment horizontal="center" vertical="center"/>
    </xf>
    <xf numFmtId="165" fontId="99" fillId="0" borderId="156" xfId="0" applyNumberFormat="1" applyFont="1" applyBorder="1" applyAlignment="1">
      <alignment horizontal="center" vertical="center"/>
    </xf>
    <xf numFmtId="165" fontId="99" fillId="0" borderId="157" xfId="0" applyNumberFormat="1" applyFont="1" applyBorder="1" applyAlignment="1">
      <alignment horizontal="center" vertical="center"/>
    </xf>
    <xf numFmtId="165" fontId="101" fillId="0" borderId="158" xfId="0" applyNumberFormat="1" applyFont="1" applyBorder="1" applyAlignment="1">
      <alignment horizontal="center" vertical="center"/>
    </xf>
    <xf numFmtId="165" fontId="99" fillId="0" borderId="158" xfId="0" applyNumberFormat="1" applyFont="1" applyBorder="1" applyAlignment="1">
      <alignment horizontal="center" vertical="center"/>
    </xf>
    <xf numFmtId="165" fontId="64" fillId="15" borderId="14" xfId="0" applyNumberFormat="1" applyFont="1" applyFill="1" applyBorder="1" applyAlignment="1">
      <alignment horizontal="center" vertical="center"/>
    </xf>
    <xf numFmtId="10" fontId="103" fillId="15" borderId="14" xfId="0" applyNumberFormat="1" applyFont="1" applyFill="1" applyBorder="1" applyAlignment="1">
      <alignment horizontal="center" vertical="center"/>
    </xf>
    <xf numFmtId="10" fontId="104" fillId="15" borderId="14" xfId="0" applyNumberFormat="1" applyFont="1" applyFill="1" applyBorder="1" applyAlignment="1">
      <alignment horizontal="center" vertical="center"/>
    </xf>
    <xf numFmtId="165" fontId="104" fillId="15" borderId="14" xfId="0" applyNumberFormat="1" applyFont="1" applyFill="1" applyBorder="1" applyAlignment="1">
      <alignment horizontal="center" vertical="center"/>
    </xf>
    <xf numFmtId="165" fontId="64" fillId="15" borderId="45" xfId="0" applyNumberFormat="1" applyFont="1" applyFill="1" applyBorder="1" applyAlignment="1">
      <alignment horizontal="center" vertical="center"/>
    </xf>
    <xf numFmtId="165" fontId="105" fillId="15" borderId="45" xfId="0" applyNumberFormat="1" applyFont="1" applyFill="1" applyBorder="1" applyAlignment="1">
      <alignment horizontal="center" vertical="center"/>
    </xf>
    <xf numFmtId="165" fontId="64" fillId="15" borderId="24" xfId="0" applyNumberFormat="1" applyFont="1" applyFill="1" applyBorder="1" applyAlignment="1">
      <alignment horizontal="center" vertical="center"/>
    </xf>
    <xf numFmtId="165" fontId="105" fillId="15" borderId="24" xfId="0" applyNumberFormat="1" applyFont="1" applyFill="1" applyBorder="1" applyAlignment="1">
      <alignment horizontal="center" vertical="center"/>
    </xf>
    <xf numFmtId="165" fontId="64" fillId="15" borderId="29" xfId="0" applyNumberFormat="1" applyFont="1" applyFill="1" applyBorder="1" applyAlignment="1">
      <alignment horizontal="center" vertical="center"/>
    </xf>
    <xf numFmtId="165" fontId="64" fillId="15" borderId="151" xfId="0" applyNumberFormat="1" applyFont="1" applyFill="1" applyBorder="1" applyAlignment="1">
      <alignment horizontal="center" vertical="center"/>
    </xf>
    <xf numFmtId="165" fontId="105" fillId="15" borderId="151" xfId="0" applyNumberFormat="1" applyFont="1" applyFill="1" applyBorder="1" applyAlignment="1">
      <alignment horizontal="center" vertical="center"/>
    </xf>
    <xf numFmtId="9" fontId="95" fillId="0" borderId="14" xfId="0" applyNumberFormat="1" applyFont="1" applyBorder="1" applyAlignment="1">
      <alignment horizontal="center" vertical="center"/>
    </xf>
    <xf numFmtId="9" fontId="95" fillId="0" borderId="154" xfId="0" applyNumberFormat="1" applyFont="1" applyBorder="1" applyAlignment="1">
      <alignment horizontal="center" vertical="center"/>
    </xf>
    <xf numFmtId="165" fontId="106" fillId="36" borderId="106" xfId="1" applyNumberFormat="1" applyFont="1" applyFill="1" applyBorder="1" applyAlignment="1">
      <alignment horizontal="center" vertical="center" wrapText="1"/>
    </xf>
    <xf numFmtId="165" fontId="85" fillId="40" borderId="106" xfId="1" applyNumberFormat="1" applyFont="1" applyFill="1" applyBorder="1" applyAlignment="1">
      <alignment horizontal="center" vertical="center" wrapText="1"/>
    </xf>
    <xf numFmtId="0" fontId="38" fillId="13" borderId="72" xfId="0" applyFont="1" applyFill="1" applyBorder="1" applyAlignment="1">
      <alignment vertical="center" wrapText="1"/>
    </xf>
    <xf numFmtId="0" fontId="107" fillId="0" borderId="0" xfId="0" applyFont="1" applyAlignment="1"/>
    <xf numFmtId="0" fontId="35" fillId="0" borderId="78" xfId="0" applyFont="1" applyBorder="1" applyAlignment="1">
      <alignment vertical="center" wrapText="1"/>
    </xf>
    <xf numFmtId="0" fontId="35" fillId="19" borderId="78" xfId="0" applyFont="1" applyFill="1" applyBorder="1" applyAlignment="1">
      <alignment vertical="center" wrapText="1"/>
    </xf>
    <xf numFmtId="0" fontId="35" fillId="12" borderId="78" xfId="0" applyFont="1" applyFill="1" applyBorder="1" applyAlignment="1">
      <alignment vertical="center" wrapText="1"/>
    </xf>
    <xf numFmtId="0" fontId="35" fillId="21" borderId="78" xfId="0" applyFont="1" applyFill="1" applyBorder="1" applyAlignment="1">
      <alignment vertical="center" wrapText="1"/>
    </xf>
    <xf numFmtId="0" fontId="35" fillId="18" borderId="121" xfId="0" applyFont="1" applyFill="1" applyBorder="1" applyAlignment="1">
      <alignment vertical="center" wrapText="1"/>
    </xf>
    <xf numFmtId="0" fontId="13" fillId="18" borderId="122" xfId="0" applyFont="1" applyFill="1" applyBorder="1" applyAlignment="1">
      <alignment horizontal="center" vertical="center" wrapText="1"/>
    </xf>
    <xf numFmtId="0" fontId="13" fillId="18" borderId="132" xfId="0" applyFont="1" applyFill="1" applyBorder="1" applyAlignment="1">
      <alignment horizontal="center" vertical="center" wrapText="1"/>
    </xf>
    <xf numFmtId="0" fontId="108" fillId="0" borderId="26" xfId="0" applyFont="1" applyBorder="1" applyAlignment="1">
      <alignment horizontal="center" vertical="center" wrapText="1"/>
    </xf>
    <xf numFmtId="0" fontId="109" fillId="19" borderId="26" xfId="0" applyFont="1" applyFill="1" applyBorder="1" applyAlignment="1">
      <alignment horizontal="center" vertical="center" wrapText="1"/>
    </xf>
    <xf numFmtId="0" fontId="109" fillId="12" borderId="26" xfId="0" applyFont="1" applyFill="1" applyBorder="1" applyAlignment="1">
      <alignment horizontal="center" vertical="center" wrapText="1"/>
    </xf>
    <xf numFmtId="0" fontId="109" fillId="21" borderId="26" xfId="0" applyFont="1" applyFill="1" applyBorder="1" applyAlignment="1">
      <alignment horizontal="center" vertical="center" wrapText="1"/>
    </xf>
    <xf numFmtId="0" fontId="109" fillId="18" borderId="122" xfId="0" applyFont="1" applyFill="1" applyBorder="1" applyAlignment="1">
      <alignment horizontal="center" vertical="center" wrapText="1"/>
    </xf>
    <xf numFmtId="0" fontId="49" fillId="37" borderId="10" xfId="0" applyFont="1" applyFill="1" applyBorder="1" applyAlignment="1">
      <alignment vertical="center" wrapText="1"/>
    </xf>
    <xf numFmtId="0" fontId="29" fillId="37" borderId="10" xfId="0" applyFont="1" applyFill="1" applyBorder="1" applyAlignment="1">
      <alignment vertical="center" wrapText="1"/>
    </xf>
    <xf numFmtId="0" fontId="29" fillId="37" borderId="16" xfId="0" applyFont="1" applyFill="1" applyBorder="1" applyAlignment="1">
      <alignment vertical="center" wrapText="1"/>
    </xf>
    <xf numFmtId="0" fontId="99" fillId="11" borderId="175" xfId="0" applyFont="1" applyFill="1" applyBorder="1" applyAlignment="1">
      <alignment horizontal="center" vertical="center" wrapText="1"/>
    </xf>
    <xf numFmtId="10" fontId="50" fillId="3" borderId="24" xfId="0" applyNumberFormat="1" applyFont="1" applyFill="1" applyBorder="1" applyAlignment="1">
      <alignment horizontal="center" vertical="center" wrapText="1"/>
    </xf>
    <xf numFmtId="2" fontId="49" fillId="15" borderId="24" xfId="0" applyNumberFormat="1" applyFont="1" applyFill="1" applyBorder="1" applyAlignment="1">
      <alignment horizontal="center" vertical="center" wrapText="1"/>
    </xf>
    <xf numFmtId="10" fontId="105" fillId="15" borderId="45" xfId="0" applyNumberFormat="1" applyFont="1" applyFill="1" applyBorder="1" applyAlignment="1">
      <alignment horizontal="center" vertical="center"/>
    </xf>
    <xf numFmtId="169" fontId="38" fillId="15" borderId="24" xfId="3" applyNumberFormat="1" applyFont="1" applyFill="1" applyBorder="1" applyAlignment="1">
      <alignment horizontal="center" vertical="center" wrapText="1"/>
    </xf>
    <xf numFmtId="169" fontId="49" fillId="15" borderId="45" xfId="3" applyNumberFormat="1" applyFont="1" applyFill="1" applyBorder="1" applyAlignment="1">
      <alignment horizontal="center" vertical="center" wrapText="1"/>
    </xf>
    <xf numFmtId="165" fontId="49" fillId="15" borderId="45" xfId="1" applyNumberFormat="1" applyFont="1" applyFill="1" applyBorder="1" applyAlignment="1">
      <alignment horizontal="center" vertical="center" wrapText="1"/>
    </xf>
    <xf numFmtId="0" fontId="35" fillId="64" borderId="78" xfId="0" applyFont="1" applyFill="1" applyBorder="1" applyAlignment="1">
      <alignment vertical="center" wrapText="1"/>
    </xf>
    <xf numFmtId="0" fontId="13" fillId="64" borderId="26" xfId="0" applyFont="1" applyFill="1" applyBorder="1" applyAlignment="1">
      <alignment horizontal="center" vertical="center" wrapText="1"/>
    </xf>
    <xf numFmtId="0" fontId="109" fillId="64" borderId="26" xfId="0" applyFont="1" applyFill="1" applyBorder="1" applyAlignment="1">
      <alignment horizontal="center" vertical="center" wrapText="1"/>
    </xf>
    <xf numFmtId="0" fontId="13" fillId="64" borderId="18" xfId="0" applyFont="1" applyFill="1" applyBorder="1" applyAlignment="1">
      <alignment horizontal="center" vertical="center" wrapText="1"/>
    </xf>
    <xf numFmtId="0" fontId="13" fillId="64" borderId="75" xfId="0" applyFont="1" applyFill="1" applyBorder="1" applyAlignment="1">
      <alignment horizontal="center" vertical="center" wrapText="1"/>
    </xf>
    <xf numFmtId="0" fontId="39" fillId="12" borderId="24" xfId="0" applyFont="1" applyFill="1" applyBorder="1" applyAlignment="1">
      <alignment horizontal="left" vertical="center" wrapText="1"/>
    </xf>
    <xf numFmtId="0" fontId="39" fillId="12" borderId="24" xfId="0" applyFont="1" applyFill="1" applyBorder="1" applyAlignment="1">
      <alignment horizontal="left" vertical="center" wrapText="1"/>
    </xf>
    <xf numFmtId="9" fontId="3" fillId="0" borderId="93" xfId="0" applyNumberFormat="1" applyFont="1" applyBorder="1" applyAlignment="1">
      <alignment horizontal="center" vertical="center"/>
    </xf>
    <xf numFmtId="9" fontId="3" fillId="0" borderId="24" xfId="0" applyNumberFormat="1" applyFont="1" applyBorder="1" applyAlignment="1">
      <alignment horizontal="center" vertical="center"/>
    </xf>
    <xf numFmtId="9" fontId="3" fillId="0" borderId="99" xfId="0" applyNumberFormat="1" applyFont="1" applyBorder="1" applyAlignment="1">
      <alignment horizontal="center" vertical="center"/>
    </xf>
    <xf numFmtId="9" fontId="3" fillId="0" borderId="32" xfId="0" applyNumberFormat="1" applyFont="1" applyBorder="1" applyAlignment="1">
      <alignment horizontal="center" vertical="center"/>
    </xf>
    <xf numFmtId="9" fontId="3" fillId="0" borderId="98" xfId="0" applyNumberFormat="1" applyFont="1" applyBorder="1" applyAlignment="1">
      <alignment horizontal="center" vertical="center"/>
    </xf>
    <xf numFmtId="9" fontId="3" fillId="0" borderId="101" xfId="0" applyNumberFormat="1" applyFont="1" applyBorder="1" applyAlignment="1">
      <alignment horizontal="center" vertical="center"/>
    </xf>
    <xf numFmtId="9" fontId="3" fillId="0" borderId="33" xfId="0" applyNumberFormat="1" applyFont="1" applyBorder="1" applyAlignment="1">
      <alignment horizontal="center" vertical="center"/>
    </xf>
    <xf numFmtId="9" fontId="3" fillId="0" borderId="102" xfId="0" applyNumberFormat="1" applyFont="1" applyBorder="1" applyAlignment="1">
      <alignment horizontal="center" vertical="center"/>
    </xf>
    <xf numFmtId="9" fontId="3" fillId="0" borderId="92" xfId="0" applyNumberFormat="1" applyFont="1" applyBorder="1" applyAlignment="1">
      <alignment horizontal="center" vertical="center"/>
    </xf>
    <xf numFmtId="0" fontId="81" fillId="12" borderId="89" xfId="0" applyFont="1" applyFill="1" applyBorder="1" applyAlignment="1">
      <alignment horizontal="center" vertical="center" wrapText="1"/>
    </xf>
    <xf numFmtId="0" fontId="81" fillId="12" borderId="90" xfId="0" applyFont="1" applyFill="1" applyBorder="1" applyAlignment="1">
      <alignment horizontal="center" vertical="center" wrapText="1"/>
    </xf>
    <xf numFmtId="10" fontId="5" fillId="0" borderId="43" xfId="1" applyNumberFormat="1" applyFont="1" applyBorder="1" applyAlignment="1">
      <alignment horizontal="center" vertical="center" wrapText="1"/>
    </xf>
    <xf numFmtId="10" fontId="5" fillId="0" borderId="44" xfId="1" applyNumberFormat="1" applyFont="1" applyBorder="1" applyAlignment="1">
      <alignment horizontal="center" vertical="center" wrapText="1"/>
    </xf>
    <xf numFmtId="10" fontId="95" fillId="40" borderId="43" xfId="1" applyNumberFormat="1" applyFont="1" applyFill="1" applyBorder="1" applyAlignment="1">
      <alignment horizontal="center" vertical="center"/>
    </xf>
    <xf numFmtId="10" fontId="95" fillId="40" borderId="44" xfId="1" applyNumberFormat="1" applyFont="1" applyFill="1" applyBorder="1" applyAlignment="1">
      <alignment horizontal="center" vertical="center"/>
    </xf>
    <xf numFmtId="10" fontId="110" fillId="40" borderId="43" xfId="0" applyNumberFormat="1" applyFont="1" applyFill="1" applyBorder="1" applyAlignment="1">
      <alignment horizontal="center" vertical="center"/>
    </xf>
    <xf numFmtId="10" fontId="110" fillId="40" borderId="44" xfId="0" applyNumberFormat="1" applyFont="1" applyFill="1" applyBorder="1" applyAlignment="1">
      <alignment horizontal="center" vertical="center"/>
    </xf>
    <xf numFmtId="10" fontId="5" fillId="0" borderId="74" xfId="1" applyNumberFormat="1" applyFont="1" applyBorder="1" applyAlignment="1">
      <alignment horizontal="center" vertical="center" wrapText="1"/>
    </xf>
    <xf numFmtId="10" fontId="10" fillId="40" borderId="43" xfId="1" applyNumberFormat="1" applyFont="1" applyFill="1" applyBorder="1" applyAlignment="1">
      <alignment horizontal="center" vertical="center"/>
    </xf>
    <xf numFmtId="10" fontId="10" fillId="40" borderId="74" xfId="1" applyNumberFormat="1" applyFont="1" applyFill="1" applyBorder="1" applyAlignment="1">
      <alignment horizontal="center" vertical="center"/>
    </xf>
    <xf numFmtId="10" fontId="10" fillId="40" borderId="44" xfId="1" applyNumberFormat="1" applyFont="1" applyFill="1" applyBorder="1" applyAlignment="1">
      <alignment horizontal="center" vertical="center"/>
    </xf>
    <xf numFmtId="0" fontId="5" fillId="62" borderId="36" xfId="0" applyFont="1" applyFill="1" applyBorder="1" applyAlignment="1">
      <alignment horizontal="center" vertical="center" wrapText="1"/>
    </xf>
    <xf numFmtId="0" fontId="5" fillId="62" borderId="37" xfId="0" applyFont="1" applyFill="1" applyBorder="1" applyAlignment="1">
      <alignment horizontal="center" vertical="center" wrapText="1"/>
    </xf>
    <xf numFmtId="0" fontId="5" fillId="62" borderId="38" xfId="0" applyFont="1" applyFill="1" applyBorder="1" applyAlignment="1">
      <alignment horizontal="center" vertical="center" wrapText="1"/>
    </xf>
    <xf numFmtId="0" fontId="5" fillId="62" borderId="39" xfId="0" applyFont="1" applyFill="1" applyBorder="1" applyAlignment="1">
      <alignment horizontal="center" vertical="center" wrapText="1"/>
    </xf>
    <xf numFmtId="0" fontId="5" fillId="62" borderId="40" xfId="0" applyFont="1" applyFill="1" applyBorder="1" applyAlignment="1">
      <alignment horizontal="center" vertical="center" wrapText="1"/>
    </xf>
    <xf numFmtId="0" fontId="5" fillId="62" borderId="41" xfId="0" applyFont="1" applyFill="1" applyBorder="1" applyAlignment="1">
      <alignment horizontal="center" vertical="center" wrapText="1"/>
    </xf>
    <xf numFmtId="0" fontId="5" fillId="46" borderId="27" xfId="0" applyFont="1" applyFill="1" applyBorder="1" applyAlignment="1">
      <alignment horizontal="center" vertical="center" wrapText="1"/>
    </xf>
    <xf numFmtId="0" fontId="5" fillId="46" borderId="28" xfId="0" applyFont="1" applyFill="1" applyBorder="1" applyAlignment="1">
      <alignment horizontal="center" vertical="center" wrapText="1"/>
    </xf>
    <xf numFmtId="0" fontId="5" fillId="0" borderId="43" xfId="0" applyFont="1" applyBorder="1" applyAlignment="1">
      <alignment horizontal="left" vertical="center" wrapText="1"/>
    </xf>
    <xf numFmtId="0" fontId="5" fillId="0" borderId="44" xfId="0" applyFont="1" applyBorder="1" applyAlignment="1">
      <alignment horizontal="left" vertical="center" wrapText="1"/>
    </xf>
    <xf numFmtId="165" fontId="76" fillId="64" borderId="43" xfId="1" applyNumberFormat="1" applyFont="1" applyFill="1" applyBorder="1" applyAlignment="1">
      <alignment horizontal="center" vertical="center"/>
    </xf>
    <xf numFmtId="165" fontId="76" fillId="64" borderId="44" xfId="1" applyNumberFormat="1" applyFont="1" applyFill="1" applyBorder="1" applyAlignment="1">
      <alignment horizontal="center" vertical="center"/>
    </xf>
    <xf numFmtId="0" fontId="77" fillId="64" borderId="36" xfId="0" applyFont="1" applyFill="1" applyBorder="1" applyAlignment="1">
      <alignment horizontal="center" vertical="center" wrapText="1"/>
    </xf>
    <xf numFmtId="0" fontId="77" fillId="64" borderId="37" xfId="0" applyFont="1" applyFill="1" applyBorder="1" applyAlignment="1">
      <alignment horizontal="center" vertical="center" wrapText="1"/>
    </xf>
    <xf numFmtId="0" fontId="77" fillId="64" borderId="40" xfId="0" applyFont="1" applyFill="1" applyBorder="1" applyAlignment="1">
      <alignment horizontal="center" vertical="center" wrapText="1"/>
    </xf>
    <xf numFmtId="0" fontId="77" fillId="64" borderId="41" xfId="0" applyFont="1" applyFill="1" applyBorder="1" applyAlignment="1">
      <alignment horizontal="center" vertical="center" wrapText="1"/>
    </xf>
    <xf numFmtId="0" fontId="12" fillId="12" borderId="27" xfId="0" applyFont="1" applyFill="1" applyBorder="1" applyAlignment="1">
      <alignment horizontal="center" vertical="center" wrapText="1"/>
    </xf>
    <xf numFmtId="0" fontId="12" fillId="12" borderId="70" xfId="0" applyFont="1" applyFill="1" applyBorder="1" applyAlignment="1">
      <alignment horizontal="center" vertical="center" wrapText="1"/>
    </xf>
    <xf numFmtId="0" fontId="12" fillId="12" borderId="28" xfId="0" applyFont="1" applyFill="1" applyBorder="1" applyAlignment="1">
      <alignment horizontal="center" vertical="center" wrapText="1"/>
    </xf>
    <xf numFmtId="0" fontId="15" fillId="0" borderId="12" xfId="0" applyFont="1" applyBorder="1" applyAlignment="1">
      <alignment horizontal="justify" vertical="center" wrapText="1"/>
    </xf>
    <xf numFmtId="0" fontId="15" fillId="0" borderId="35" xfId="0" applyFont="1" applyBorder="1" applyAlignment="1">
      <alignment horizontal="justify" vertical="center" wrapText="1"/>
    </xf>
    <xf numFmtId="0" fontId="15" fillId="19" borderId="12" xfId="0" applyFont="1" applyFill="1" applyBorder="1" applyAlignment="1">
      <alignment horizontal="justify" vertical="center" wrapText="1"/>
    </xf>
    <xf numFmtId="0" fontId="15" fillId="19" borderId="35" xfId="0" applyFont="1" applyFill="1" applyBorder="1" applyAlignment="1">
      <alignment horizontal="justify" vertical="center" wrapText="1"/>
    </xf>
    <xf numFmtId="0" fontId="15" fillId="0" borderId="119" xfId="0" applyFont="1" applyBorder="1" applyAlignment="1">
      <alignment horizontal="justify" vertical="center" wrapText="1"/>
    </xf>
    <xf numFmtId="0" fontId="15" fillId="0" borderId="120" xfId="0" applyFont="1" applyBorder="1" applyAlignment="1">
      <alignment horizontal="justify" vertical="center" wrapText="1"/>
    </xf>
    <xf numFmtId="10" fontId="36" fillId="0" borderId="43" xfId="0" applyNumberFormat="1" applyFont="1" applyBorder="1" applyAlignment="1">
      <alignment horizontal="center" vertical="center" wrapText="1"/>
    </xf>
    <xf numFmtId="10" fontId="36" fillId="0" borderId="44" xfId="0" applyNumberFormat="1" applyFont="1" applyBorder="1" applyAlignment="1">
      <alignment horizontal="center" vertical="center" wrapText="1"/>
    </xf>
    <xf numFmtId="10" fontId="78" fillId="64" borderId="43" xfId="0" applyNumberFormat="1" applyFont="1" applyFill="1" applyBorder="1" applyAlignment="1">
      <alignment horizontal="center" vertical="center" wrapText="1"/>
    </xf>
    <xf numFmtId="10" fontId="78" fillId="64" borderId="74" xfId="0" applyNumberFormat="1" applyFont="1" applyFill="1" applyBorder="1" applyAlignment="1">
      <alignment horizontal="center" vertical="center" wrapText="1"/>
    </xf>
    <xf numFmtId="10" fontId="78" fillId="64" borderId="44" xfId="0" applyNumberFormat="1" applyFont="1" applyFill="1" applyBorder="1" applyAlignment="1">
      <alignment horizontal="center" vertical="center" wrapText="1"/>
    </xf>
    <xf numFmtId="165" fontId="77" fillId="64" borderId="43" xfId="0" applyNumberFormat="1" applyFont="1" applyFill="1" applyBorder="1" applyAlignment="1">
      <alignment horizontal="center" vertical="center" wrapText="1"/>
    </xf>
    <xf numFmtId="165" fontId="77" fillId="64" borderId="74" xfId="0" applyNumberFormat="1" applyFont="1" applyFill="1" applyBorder="1" applyAlignment="1">
      <alignment horizontal="center" vertical="center" wrapText="1"/>
    </xf>
    <xf numFmtId="165" fontId="77" fillId="64" borderId="44" xfId="0" applyNumberFormat="1" applyFont="1" applyFill="1" applyBorder="1" applyAlignment="1">
      <alignment horizontal="center" vertical="center" wrapText="1"/>
    </xf>
    <xf numFmtId="0" fontId="15" fillId="64" borderId="12" xfId="0" applyFont="1" applyFill="1" applyBorder="1" applyAlignment="1">
      <alignment horizontal="justify" vertical="center" wrapText="1"/>
    </xf>
    <xf numFmtId="0" fontId="15" fillId="64" borderId="35" xfId="0" applyFont="1" applyFill="1" applyBorder="1" applyAlignment="1">
      <alignment horizontal="justify" vertical="center" wrapText="1"/>
    </xf>
    <xf numFmtId="0" fontId="36" fillId="0" borderId="43" xfId="0" applyFont="1" applyBorder="1" applyAlignment="1">
      <alignment horizontal="center" vertical="center" wrapText="1"/>
    </xf>
    <xf numFmtId="0" fontId="36" fillId="0" borderId="44" xfId="0" applyFont="1" applyBorder="1" applyAlignment="1">
      <alignment horizontal="center" vertical="center" wrapText="1"/>
    </xf>
    <xf numFmtId="10" fontId="63" fillId="40" borderId="43" xfId="0" applyNumberFormat="1" applyFont="1" applyFill="1" applyBorder="1" applyAlignment="1">
      <alignment horizontal="center" vertical="center"/>
    </xf>
    <xf numFmtId="10" fontId="63" fillId="40" borderId="74" xfId="0" applyNumberFormat="1" applyFont="1" applyFill="1" applyBorder="1" applyAlignment="1">
      <alignment horizontal="center" vertical="center"/>
    </xf>
    <xf numFmtId="10" fontId="63" fillId="40" borderId="44" xfId="0" applyNumberFormat="1" applyFont="1" applyFill="1" applyBorder="1" applyAlignment="1">
      <alignment horizontal="center" vertical="center"/>
    </xf>
    <xf numFmtId="0" fontId="15" fillId="0" borderId="118" xfId="0" applyFont="1" applyBorder="1" applyAlignment="1">
      <alignment horizontal="justify" vertical="center" wrapText="1"/>
    </xf>
    <xf numFmtId="0" fontId="15" fillId="0" borderId="78" xfId="0" applyFont="1" applyBorder="1" applyAlignment="1">
      <alignment horizontal="justify" vertical="center" wrapText="1"/>
    </xf>
    <xf numFmtId="0" fontId="15" fillId="22" borderId="12" xfId="0" applyFont="1" applyFill="1" applyBorder="1" applyAlignment="1">
      <alignment horizontal="justify" vertical="center" wrapText="1"/>
    </xf>
    <xf numFmtId="0" fontId="15" fillId="22" borderId="35" xfId="0" applyFont="1" applyFill="1" applyBorder="1" applyAlignment="1">
      <alignment horizontal="justify" vertical="center" wrapText="1"/>
    </xf>
    <xf numFmtId="165" fontId="10" fillId="62" borderId="43" xfId="1" applyNumberFormat="1" applyFont="1" applyFill="1" applyBorder="1" applyAlignment="1">
      <alignment horizontal="center" vertical="center"/>
    </xf>
    <xf numFmtId="165" fontId="10" fillId="62" borderId="44" xfId="1" applyNumberFormat="1" applyFont="1" applyFill="1" applyBorder="1" applyAlignment="1">
      <alignment horizontal="center" vertical="center"/>
    </xf>
    <xf numFmtId="10" fontId="10" fillId="62" borderId="43" xfId="1" applyNumberFormat="1" applyFont="1" applyFill="1" applyBorder="1" applyAlignment="1">
      <alignment horizontal="center" vertical="center"/>
    </xf>
    <xf numFmtId="10" fontId="10" fillId="62" borderId="44" xfId="1" applyNumberFormat="1" applyFont="1" applyFill="1" applyBorder="1" applyAlignment="1">
      <alignment horizontal="center" vertical="center"/>
    </xf>
    <xf numFmtId="10" fontId="95" fillId="47" borderId="43" xfId="1" applyNumberFormat="1" applyFont="1" applyFill="1" applyBorder="1" applyAlignment="1">
      <alignment horizontal="center" vertical="center"/>
    </xf>
    <xf numFmtId="10" fontId="95" fillId="47" borderId="44" xfId="1" applyNumberFormat="1" applyFont="1" applyFill="1" applyBorder="1" applyAlignment="1">
      <alignment horizontal="center" vertical="center"/>
    </xf>
    <xf numFmtId="10" fontId="95" fillId="47" borderId="43" xfId="1" applyNumberFormat="1" applyFont="1" applyFill="1" applyBorder="1" applyAlignment="1">
      <alignment horizontal="center" vertical="center" wrapText="1"/>
    </xf>
    <xf numFmtId="10" fontId="95" fillId="47" borderId="44" xfId="1" applyNumberFormat="1" applyFont="1" applyFill="1" applyBorder="1" applyAlignment="1">
      <alignment horizontal="center" vertical="center" wrapText="1"/>
    </xf>
    <xf numFmtId="10" fontId="81" fillId="0" borderId="27" xfId="0" applyNumberFormat="1" applyFont="1" applyBorder="1" applyAlignment="1">
      <alignment horizontal="center" vertical="center"/>
    </xf>
    <xf numFmtId="10" fontId="81" fillId="0" borderId="28" xfId="0" applyNumberFormat="1" applyFont="1" applyBorder="1" applyAlignment="1">
      <alignment horizontal="center" vertical="center"/>
    </xf>
    <xf numFmtId="0" fontId="5" fillId="0" borderId="27" xfId="0" applyFont="1" applyBorder="1" applyAlignment="1">
      <alignment horizontal="center" vertical="center" wrapText="1"/>
    </xf>
    <xf numFmtId="0" fontId="5" fillId="0" borderId="28" xfId="0" applyFont="1" applyBorder="1" applyAlignment="1">
      <alignment horizontal="center" vertical="center" wrapText="1"/>
    </xf>
    <xf numFmtId="10" fontId="72" fillId="52" borderId="43" xfId="0" applyNumberFormat="1" applyFont="1" applyFill="1" applyBorder="1" applyAlignment="1">
      <alignment horizontal="center" vertical="center"/>
    </xf>
    <xf numFmtId="10" fontId="72" fillId="52" borderId="44" xfId="0" applyNumberFormat="1" applyFont="1" applyFill="1" applyBorder="1" applyAlignment="1">
      <alignment horizontal="center" vertical="center"/>
    </xf>
    <xf numFmtId="10" fontId="72" fillId="40" borderId="43" xfId="0" applyNumberFormat="1" applyFont="1" applyFill="1" applyBorder="1" applyAlignment="1">
      <alignment horizontal="center" vertical="center"/>
    </xf>
    <xf numFmtId="10" fontId="72" fillId="40" borderId="44" xfId="0" applyNumberFormat="1" applyFont="1" applyFill="1" applyBorder="1" applyAlignment="1">
      <alignment horizontal="center" vertical="center"/>
    </xf>
    <xf numFmtId="10" fontId="72" fillId="47" borderId="43" xfId="0" applyNumberFormat="1" applyFont="1" applyFill="1" applyBorder="1" applyAlignment="1">
      <alignment horizontal="center" vertical="center"/>
    </xf>
    <xf numFmtId="10" fontId="72" fillId="47" borderId="44" xfId="0" applyNumberFormat="1" applyFont="1" applyFill="1" applyBorder="1" applyAlignment="1">
      <alignment horizontal="center" vertical="center"/>
    </xf>
    <xf numFmtId="10" fontId="5" fillId="0" borderId="36" xfId="1" applyNumberFormat="1" applyFont="1" applyBorder="1" applyAlignment="1">
      <alignment horizontal="center" vertical="center" wrapText="1"/>
    </xf>
    <xf numFmtId="10" fontId="5" fillId="0" borderId="159" xfId="1" applyNumberFormat="1" applyFont="1" applyBorder="1" applyAlignment="1">
      <alignment horizontal="center" vertical="center" wrapText="1"/>
    </xf>
    <xf numFmtId="10" fontId="5" fillId="0" borderId="37" xfId="1" applyNumberFormat="1" applyFont="1" applyBorder="1" applyAlignment="1">
      <alignment horizontal="center" vertical="center" wrapText="1"/>
    </xf>
    <xf numFmtId="10" fontId="5" fillId="0" borderId="40" xfId="1" applyNumberFormat="1" applyFont="1" applyBorder="1" applyAlignment="1">
      <alignment horizontal="center" vertical="center" wrapText="1"/>
    </xf>
    <xf numFmtId="10" fontId="5" fillId="0" borderId="132" xfId="1" applyNumberFormat="1" applyFont="1" applyBorder="1" applyAlignment="1">
      <alignment horizontal="center" vertical="center" wrapText="1"/>
    </xf>
    <xf numFmtId="10" fontId="5" fillId="0" borderId="41" xfId="1" applyNumberFormat="1" applyFont="1" applyBorder="1" applyAlignment="1">
      <alignment horizontal="center" vertical="center" wrapText="1"/>
    </xf>
    <xf numFmtId="10" fontId="10" fillId="47" borderId="36" xfId="1" applyNumberFormat="1" applyFont="1" applyFill="1" applyBorder="1" applyAlignment="1">
      <alignment horizontal="center" vertical="center"/>
    </xf>
    <xf numFmtId="10" fontId="10" fillId="47" borderId="37" xfId="1" applyNumberFormat="1" applyFont="1" applyFill="1" applyBorder="1" applyAlignment="1">
      <alignment horizontal="center" vertical="center"/>
    </xf>
    <xf numFmtId="10" fontId="10" fillId="47" borderId="40" xfId="1" applyNumberFormat="1" applyFont="1" applyFill="1" applyBorder="1" applyAlignment="1">
      <alignment horizontal="center" vertical="center"/>
    </xf>
    <xf numFmtId="10" fontId="10" fillId="47" borderId="41" xfId="1" applyNumberFormat="1" applyFont="1" applyFill="1" applyBorder="1" applyAlignment="1">
      <alignment horizontal="center" vertical="center"/>
    </xf>
    <xf numFmtId="10" fontId="10" fillId="51" borderId="36" xfId="1" applyNumberFormat="1" applyFont="1" applyFill="1" applyBorder="1" applyAlignment="1">
      <alignment horizontal="center" vertical="center"/>
    </xf>
    <xf numFmtId="10" fontId="10" fillId="51" borderId="37" xfId="1" applyNumberFormat="1" applyFont="1" applyFill="1" applyBorder="1" applyAlignment="1">
      <alignment horizontal="center" vertical="center"/>
    </xf>
    <xf numFmtId="10" fontId="10" fillId="51" borderId="40" xfId="1" applyNumberFormat="1" applyFont="1" applyFill="1" applyBorder="1" applyAlignment="1">
      <alignment horizontal="center" vertical="center"/>
    </xf>
    <xf numFmtId="10" fontId="10" fillId="51" borderId="41" xfId="1" applyNumberFormat="1" applyFont="1" applyFill="1" applyBorder="1" applyAlignment="1">
      <alignment horizontal="center" vertical="center"/>
    </xf>
    <xf numFmtId="10" fontId="62" fillId="47" borderId="43" xfId="0" applyNumberFormat="1" applyFont="1" applyFill="1" applyBorder="1" applyAlignment="1">
      <alignment horizontal="center" vertical="center"/>
    </xf>
    <xf numFmtId="10" fontId="62" fillId="47" borderId="74" xfId="0" applyNumberFormat="1" applyFont="1" applyFill="1" applyBorder="1" applyAlignment="1">
      <alignment horizontal="center" vertical="center"/>
    </xf>
    <xf numFmtId="10" fontId="62" fillId="47" borderId="44" xfId="0" applyNumberFormat="1" applyFont="1" applyFill="1" applyBorder="1" applyAlignment="1">
      <alignment horizontal="center" vertical="center"/>
    </xf>
    <xf numFmtId="0" fontId="5" fillId="12" borderId="36" xfId="0" applyFont="1" applyFill="1" applyBorder="1" applyAlignment="1">
      <alignment horizontal="center" vertical="center" wrapText="1"/>
    </xf>
    <xf numFmtId="0" fontId="5" fillId="12" borderId="37" xfId="0" applyFont="1" applyFill="1" applyBorder="1" applyAlignment="1">
      <alignment horizontal="center" vertical="center" wrapText="1"/>
    </xf>
    <xf numFmtId="0" fontId="5" fillId="12" borderId="38" xfId="0" applyFont="1" applyFill="1" applyBorder="1" applyAlignment="1">
      <alignment horizontal="center" vertical="center" wrapText="1"/>
    </xf>
    <xf numFmtId="0" fontId="5" fillId="12" borderId="39" xfId="0" applyFont="1" applyFill="1" applyBorder="1" applyAlignment="1">
      <alignment horizontal="center" vertical="center" wrapText="1"/>
    </xf>
    <xf numFmtId="0" fontId="5" fillId="12" borderId="40" xfId="0" applyFont="1" applyFill="1" applyBorder="1" applyAlignment="1">
      <alignment horizontal="center" vertical="center" wrapText="1"/>
    </xf>
    <xf numFmtId="0" fontId="5" fillId="12" borderId="41" xfId="0" applyFont="1" applyFill="1" applyBorder="1" applyAlignment="1">
      <alignment horizontal="center" vertical="center" wrapText="1"/>
    </xf>
    <xf numFmtId="10" fontId="10" fillId="47" borderId="43" xfId="1" applyNumberFormat="1" applyFont="1" applyFill="1" applyBorder="1" applyAlignment="1">
      <alignment horizontal="center" vertical="center"/>
    </xf>
    <xf numFmtId="10" fontId="10" fillId="47" borderId="44" xfId="1" applyNumberFormat="1" applyFont="1" applyFill="1" applyBorder="1" applyAlignment="1">
      <alignment horizontal="center" vertical="center"/>
    </xf>
    <xf numFmtId="10" fontId="78" fillId="19" borderId="43" xfId="0" applyNumberFormat="1" applyFont="1" applyFill="1" applyBorder="1" applyAlignment="1">
      <alignment horizontal="center" vertical="center" wrapText="1"/>
    </xf>
    <xf numFmtId="10" fontId="78" fillId="19" borderId="74" xfId="0" applyNumberFormat="1" applyFont="1" applyFill="1" applyBorder="1" applyAlignment="1">
      <alignment horizontal="center" vertical="center" wrapText="1"/>
    </xf>
    <xf numFmtId="10" fontId="78" fillId="19" borderId="44" xfId="0" applyNumberFormat="1" applyFont="1" applyFill="1" applyBorder="1" applyAlignment="1">
      <alignment horizontal="center" vertical="center" wrapText="1"/>
    </xf>
    <xf numFmtId="165" fontId="77" fillId="19" borderId="43" xfId="0" applyNumberFormat="1" applyFont="1" applyFill="1" applyBorder="1" applyAlignment="1">
      <alignment horizontal="center" vertical="center" wrapText="1"/>
    </xf>
    <xf numFmtId="165" fontId="77" fillId="19" borderId="74" xfId="0" applyNumberFormat="1" applyFont="1" applyFill="1" applyBorder="1" applyAlignment="1">
      <alignment horizontal="center" vertical="center" wrapText="1"/>
    </xf>
    <xf numFmtId="165" fontId="77" fillId="19" borderId="44" xfId="0" applyNumberFormat="1" applyFont="1" applyFill="1" applyBorder="1" applyAlignment="1">
      <alignment horizontal="center" vertical="center" wrapText="1"/>
    </xf>
    <xf numFmtId="165" fontId="10" fillId="47" borderId="43" xfId="1" applyNumberFormat="1" applyFont="1" applyFill="1" applyBorder="1" applyAlignment="1">
      <alignment horizontal="center" vertical="center"/>
    </xf>
    <xf numFmtId="165" fontId="10" fillId="47" borderId="44" xfId="1" applyNumberFormat="1" applyFont="1" applyFill="1" applyBorder="1" applyAlignment="1">
      <alignment horizontal="center" vertical="center"/>
    </xf>
    <xf numFmtId="165" fontId="76" fillId="22" borderId="43" xfId="1" applyNumberFormat="1" applyFont="1" applyFill="1" applyBorder="1" applyAlignment="1">
      <alignment horizontal="center" vertical="center"/>
    </xf>
    <xf numFmtId="165" fontId="76" fillId="22" borderId="44" xfId="1" applyNumberFormat="1" applyFont="1" applyFill="1" applyBorder="1" applyAlignment="1">
      <alignment horizontal="center" vertical="center"/>
    </xf>
    <xf numFmtId="0" fontId="77" fillId="22" borderId="36" xfId="0" applyFont="1" applyFill="1" applyBorder="1" applyAlignment="1">
      <alignment horizontal="center" vertical="center" wrapText="1"/>
    </xf>
    <xf numFmtId="0" fontId="77" fillId="22" borderId="37" xfId="0" applyFont="1" applyFill="1" applyBorder="1" applyAlignment="1">
      <alignment horizontal="center" vertical="center" wrapText="1"/>
    </xf>
    <xf numFmtId="0" fontId="77" fillId="22" borderId="40" xfId="0" applyFont="1" applyFill="1" applyBorder="1" applyAlignment="1">
      <alignment horizontal="center" vertical="center" wrapText="1"/>
    </xf>
    <xf numFmtId="0" fontId="77" fillId="22" borderId="41" xfId="0" applyFont="1" applyFill="1" applyBorder="1" applyAlignment="1">
      <alignment horizontal="center" vertical="center" wrapText="1"/>
    </xf>
    <xf numFmtId="0" fontId="49" fillId="13" borderId="3" xfId="0" applyFont="1" applyFill="1" applyBorder="1" applyAlignment="1">
      <alignment wrapText="1"/>
    </xf>
    <xf numFmtId="0" fontId="50" fillId="65" borderId="27" xfId="0" applyFont="1" applyFill="1" applyBorder="1" applyAlignment="1">
      <alignment horizontal="center" vertical="center" wrapText="1"/>
    </xf>
    <xf numFmtId="0" fontId="49" fillId="13" borderId="28" xfId="0" applyFont="1" applyFill="1" applyBorder="1"/>
    <xf numFmtId="0" fontId="50" fillId="66" borderId="42" xfId="0" applyFont="1" applyFill="1" applyBorder="1" applyAlignment="1">
      <alignment horizontal="left" vertical="center" wrapText="1"/>
    </xf>
    <xf numFmtId="0" fontId="49" fillId="13" borderId="26" xfId="0" applyFont="1" applyFill="1" applyBorder="1"/>
    <xf numFmtId="0" fontId="50" fillId="67" borderId="5" xfId="0" applyFont="1" applyFill="1" applyBorder="1" applyAlignment="1">
      <alignment horizontal="center" vertical="center" wrapText="1"/>
    </xf>
    <xf numFmtId="0" fontId="49" fillId="13" borderId="6" xfId="0" applyFont="1" applyFill="1" applyBorder="1"/>
    <xf numFmtId="0" fontId="53" fillId="68" borderId="8" xfId="0" applyFont="1" applyFill="1" applyBorder="1" applyAlignment="1">
      <alignment vertical="center" wrapText="1"/>
    </xf>
    <xf numFmtId="0" fontId="53" fillId="68" borderId="9" xfId="0" applyFont="1" applyFill="1" applyBorder="1" applyAlignment="1">
      <alignment vertical="center" wrapText="1"/>
    </xf>
    <xf numFmtId="0" fontId="53" fillId="68" borderId="5" xfId="0" applyFont="1" applyFill="1" applyBorder="1" applyAlignment="1">
      <alignment vertical="center" wrapText="1"/>
    </xf>
    <xf numFmtId="0" fontId="50" fillId="69" borderId="5" xfId="0" applyFont="1" applyFill="1" applyBorder="1" applyAlignment="1">
      <alignment horizontal="center" vertical="center" wrapText="1"/>
    </xf>
    <xf numFmtId="0" fontId="49" fillId="13" borderId="21" xfId="0" applyFont="1" applyFill="1" applyBorder="1"/>
    <xf numFmtId="0" fontId="49" fillId="13" borderId="1" xfId="0" applyFont="1" applyFill="1" applyBorder="1" applyAlignment="1">
      <alignment wrapText="1"/>
    </xf>
    <xf numFmtId="0" fontId="49" fillId="13" borderId="1" xfId="0" applyFont="1" applyFill="1" applyBorder="1" applyAlignment="1">
      <alignment horizontal="right" wrapText="1"/>
    </xf>
    <xf numFmtId="0" fontId="51" fillId="13" borderId="0" xfId="0" applyFont="1" applyFill="1" applyAlignment="1"/>
    <xf numFmtId="0" fontId="54" fillId="13" borderId="0" xfId="0" applyFont="1" applyFill="1" applyAlignment="1">
      <alignment vertical="center" wrapText="1"/>
    </xf>
    <xf numFmtId="0" fontId="49" fillId="37" borderId="16" xfId="0" applyFont="1" applyFill="1" applyBorder="1" applyAlignment="1">
      <alignment vertical="center" wrapText="1"/>
    </xf>
    <xf numFmtId="0" fontId="54" fillId="13" borderId="25" xfId="0" applyFont="1" applyFill="1" applyBorder="1" applyAlignment="1">
      <alignment vertical="center" wrapText="1"/>
    </xf>
    <xf numFmtId="0" fontId="50" fillId="56" borderId="25" xfId="0" applyFont="1" applyFill="1" applyBorder="1" applyAlignment="1">
      <alignment horizontal="center" vertical="center" wrapText="1"/>
    </xf>
    <xf numFmtId="0" fontId="50" fillId="57" borderId="25" xfId="0" applyFont="1" applyFill="1" applyBorder="1" applyAlignment="1">
      <alignment horizontal="center" vertical="center" wrapText="1"/>
    </xf>
    <xf numFmtId="0" fontId="50" fillId="54" borderId="25" xfId="0" applyFont="1" applyFill="1" applyBorder="1" applyAlignment="1">
      <alignment horizontal="center" vertical="center" wrapText="1"/>
    </xf>
    <xf numFmtId="0" fontId="50" fillId="54" borderId="28" xfId="0" applyFont="1" applyFill="1" applyBorder="1" applyAlignment="1">
      <alignment horizontal="center" vertical="center" wrapText="1"/>
    </xf>
    <xf numFmtId="10" fontId="56" fillId="4" borderId="25" xfId="0" applyNumberFormat="1" applyFont="1" applyFill="1" applyBorder="1" applyAlignment="1">
      <alignment horizontal="center" vertical="center" wrapText="1"/>
    </xf>
    <xf numFmtId="9" fontId="49" fillId="13" borderId="75" xfId="0" applyNumberFormat="1" applyFont="1" applyFill="1" applyBorder="1" applyAlignment="1">
      <alignment horizontal="center" vertical="center" wrapText="1"/>
    </xf>
    <xf numFmtId="165" fontId="49" fillId="0" borderId="25" xfId="0" applyNumberFormat="1" applyFont="1" applyBorder="1" applyAlignment="1">
      <alignment horizontal="center" vertical="center" wrapText="1"/>
    </xf>
    <xf numFmtId="9" fontId="49" fillId="13" borderId="133" xfId="0" applyNumberFormat="1" applyFont="1" applyFill="1" applyBorder="1" applyAlignment="1">
      <alignment horizontal="center" vertical="center" wrapText="1"/>
    </xf>
    <xf numFmtId="165" fontId="49" fillId="13" borderId="112" xfId="0" applyNumberFormat="1" applyFont="1" applyFill="1" applyBorder="1" applyAlignment="1">
      <alignment horizontal="center" vertical="center" wrapText="1"/>
    </xf>
    <xf numFmtId="165" fontId="49" fillId="0" borderId="43" xfId="0" applyNumberFormat="1" applyFont="1" applyBorder="1" applyAlignment="1">
      <alignment horizontal="center" vertical="center" wrapText="1"/>
    </xf>
    <xf numFmtId="9" fontId="49" fillId="0" borderId="71" xfId="0" applyNumberFormat="1" applyFont="1" applyBorder="1" applyAlignment="1">
      <alignment horizontal="center" vertical="center" wrapText="1"/>
    </xf>
    <xf numFmtId="0" fontId="51" fillId="0" borderId="25" xfId="0" applyFont="1" applyBorder="1" applyAlignment="1"/>
    <xf numFmtId="9" fontId="49" fillId="0" borderId="143" xfId="0" applyNumberFormat="1" applyFont="1" applyBorder="1" applyAlignment="1">
      <alignment horizontal="center" vertical="center" wrapText="1"/>
    </xf>
    <xf numFmtId="9" fontId="49" fillId="0" borderId="44" xfId="0" applyNumberFormat="1" applyFont="1" applyBorder="1" applyAlignment="1">
      <alignment horizontal="center" vertical="center" wrapText="1"/>
    </xf>
    <xf numFmtId="165" fontId="49" fillId="0" borderId="26" xfId="0" applyNumberFormat="1" applyFont="1" applyBorder="1" applyAlignment="1">
      <alignment horizontal="center" vertical="center" wrapText="1"/>
    </xf>
    <xf numFmtId="165" fontId="49" fillId="0" borderId="44" xfId="0" applyNumberFormat="1" applyFont="1" applyBorder="1" applyAlignment="1">
      <alignment horizontal="center" vertical="center" wrapText="1"/>
    </xf>
    <xf numFmtId="10" fontId="49" fillId="0" borderId="75" xfId="0" applyNumberFormat="1" applyFont="1" applyBorder="1" applyAlignment="1">
      <alignment horizontal="center" vertical="center" wrapText="1"/>
    </xf>
    <xf numFmtId="165" fontId="49" fillId="13" borderId="75" xfId="0" applyNumberFormat="1" applyFont="1" applyFill="1" applyBorder="1" applyAlignment="1">
      <alignment horizontal="center" vertical="center" wrapText="1"/>
    </xf>
    <xf numFmtId="10" fontId="49" fillId="0" borderId="111" xfId="0" applyNumberFormat="1" applyFont="1" applyBorder="1" applyAlignment="1">
      <alignment horizontal="center" vertical="center" wrapText="1"/>
    </xf>
    <xf numFmtId="10" fontId="49" fillId="0" borderId="133" xfId="0" applyNumberFormat="1" applyFont="1" applyBorder="1" applyAlignment="1">
      <alignment horizontal="center" vertical="center" wrapText="1"/>
    </xf>
    <xf numFmtId="165" fontId="49" fillId="13" borderId="133" xfId="0" applyNumberFormat="1" applyFont="1" applyFill="1" applyBorder="1" applyAlignment="1">
      <alignment horizontal="center" vertical="center" wrapText="1"/>
    </xf>
    <xf numFmtId="165" fontId="50" fillId="32" borderId="25" xfId="0" applyNumberFormat="1" applyFont="1" applyFill="1" applyBorder="1" applyAlignment="1">
      <alignment horizontal="center" vertical="center" wrapText="1"/>
    </xf>
    <xf numFmtId="9" fontId="49" fillId="13" borderId="25" xfId="0" applyNumberFormat="1" applyFont="1" applyFill="1" applyBorder="1" applyAlignment="1">
      <alignment horizontal="center" vertical="center" wrapText="1"/>
    </xf>
    <xf numFmtId="165" fontId="50" fillId="3" borderId="71" xfId="0" applyNumberFormat="1" applyFont="1" applyFill="1" applyBorder="1" applyAlignment="1">
      <alignment horizontal="center" vertical="center" wrapText="1"/>
    </xf>
    <xf numFmtId="165" fontId="49" fillId="48" borderId="25" xfId="0" applyNumberFormat="1" applyFont="1" applyFill="1" applyBorder="1" applyAlignment="1">
      <alignment horizontal="center" vertical="center" wrapText="1"/>
    </xf>
    <xf numFmtId="0" fontId="67" fillId="66" borderId="67" xfId="0" applyFont="1" applyFill="1" applyBorder="1" applyAlignment="1">
      <alignment horizontal="center" vertical="center" wrapText="1"/>
    </xf>
    <xf numFmtId="0" fontId="66" fillId="13" borderId="18" xfId="0" applyFont="1" applyFill="1" applyBorder="1"/>
    <xf numFmtId="0" fontId="70" fillId="67" borderId="52" xfId="0" applyFont="1" applyFill="1" applyBorder="1" applyAlignment="1">
      <alignment vertical="center" wrapText="1"/>
    </xf>
    <xf numFmtId="0" fontId="71" fillId="13" borderId="9" xfId="0" applyFont="1" applyFill="1" applyBorder="1"/>
    <xf numFmtId="0" fontId="61" fillId="68" borderId="52" xfId="0" applyFont="1" applyFill="1" applyBorder="1" applyAlignment="1">
      <alignment vertical="center" wrapText="1"/>
    </xf>
    <xf numFmtId="0" fontId="57" fillId="13" borderId="9" xfId="0" applyFont="1" applyFill="1" applyBorder="1"/>
    <xf numFmtId="0" fontId="53" fillId="68" borderId="63" xfId="0" applyFont="1" applyFill="1" applyBorder="1" applyAlignment="1">
      <alignment vertical="center" wrapText="1"/>
    </xf>
    <xf numFmtId="0" fontId="49" fillId="13" borderId="50" xfId="0" applyFont="1" applyFill="1" applyBorder="1"/>
    <xf numFmtId="0" fontId="61" fillId="68" borderId="67" xfId="0" applyFont="1" applyFill="1" applyBorder="1" applyAlignment="1">
      <alignment vertical="center" wrapText="1"/>
    </xf>
    <xf numFmtId="0" fontId="57" fillId="13" borderId="26" xfId="0" applyFont="1" applyFill="1" applyBorder="1"/>
    <xf numFmtId="0" fontId="53" fillId="68" borderId="52" xfId="0" applyFont="1" applyFill="1" applyBorder="1" applyAlignment="1">
      <alignment vertical="center" wrapText="1"/>
    </xf>
    <xf numFmtId="0" fontId="49" fillId="13" borderId="9" xfId="0" applyFont="1" applyFill="1" applyBorder="1"/>
    <xf numFmtId="0" fontId="49" fillId="13" borderId="13" xfId="0" applyFont="1" applyFill="1" applyBorder="1"/>
    <xf numFmtId="0" fontId="49" fillId="37" borderId="55" xfId="0" applyFont="1" applyFill="1" applyBorder="1" applyAlignment="1">
      <alignment vertical="center" wrapText="1"/>
    </xf>
    <xf numFmtId="0" fontId="49" fillId="37" borderId="62" xfId="0" applyFont="1" applyFill="1" applyBorder="1" applyAlignment="1">
      <alignment vertical="center" wrapText="1"/>
    </xf>
    <xf numFmtId="0" fontId="49" fillId="37" borderId="17" xfId="0" applyFont="1" applyFill="1" applyBorder="1" applyAlignment="1">
      <alignment vertical="center" wrapText="1"/>
    </xf>
    <xf numFmtId="0" fontId="49" fillId="37" borderId="68" xfId="0" applyFont="1" applyFill="1" applyBorder="1" applyAlignment="1">
      <alignment vertical="center" wrapText="1"/>
    </xf>
    <xf numFmtId="0" fontId="49" fillId="37" borderId="69" xfId="0" applyFont="1" applyFill="1" applyBorder="1" applyAlignment="1">
      <alignment vertical="center" wrapText="1"/>
    </xf>
    <xf numFmtId="0" fontId="53" fillId="68" borderId="67" xfId="0" applyFont="1" applyFill="1" applyBorder="1" applyAlignment="1">
      <alignment vertical="center" wrapText="1"/>
    </xf>
    <xf numFmtId="0" fontId="49" fillId="13" borderId="18" xfId="0" applyFont="1" applyFill="1" applyBorder="1"/>
    <xf numFmtId="0" fontId="50" fillId="67" borderId="52" xfId="0" applyFont="1" applyFill="1" applyBorder="1" applyAlignment="1">
      <alignment vertical="center" wrapText="1"/>
    </xf>
    <xf numFmtId="0" fontId="50" fillId="67" borderId="63" xfId="0" applyFont="1" applyFill="1" applyBorder="1" applyAlignment="1">
      <alignment vertical="center" wrapText="1"/>
    </xf>
    <xf numFmtId="0" fontId="53" fillId="68" borderId="27" xfId="0" applyFont="1" applyFill="1" applyBorder="1" applyAlignment="1">
      <alignment vertical="center" wrapText="1"/>
    </xf>
    <xf numFmtId="0" fontId="49" fillId="13" borderId="70" xfId="0" applyFont="1" applyFill="1" applyBorder="1"/>
    <xf numFmtId="0" fontId="49" fillId="13" borderId="20" xfId="0" applyFont="1" applyFill="1" applyBorder="1" applyAlignment="1">
      <alignment wrapText="1"/>
    </xf>
    <xf numFmtId="0" fontId="49" fillId="37" borderId="123" xfId="0" applyFont="1" applyFill="1" applyBorder="1" applyAlignment="1">
      <alignment vertical="center" wrapText="1"/>
    </xf>
    <xf numFmtId="0" fontId="49" fillId="37" borderId="65" xfId="0" applyFont="1" applyFill="1" applyBorder="1" applyAlignment="1">
      <alignment vertical="center" wrapText="1"/>
    </xf>
    <xf numFmtId="0" fontId="49" fillId="37" borderId="66" xfId="0" applyFont="1" applyFill="1" applyBorder="1" applyAlignment="1">
      <alignment vertical="center" wrapText="1"/>
    </xf>
    <xf numFmtId="0" fontId="49" fillId="37" borderId="126" xfId="0" applyFont="1" applyFill="1" applyBorder="1" applyAlignment="1">
      <alignment vertical="center" wrapText="1"/>
    </xf>
    <xf numFmtId="0" fontId="49" fillId="37" borderId="127" xfId="0" applyFont="1" applyFill="1" applyBorder="1" applyAlignment="1">
      <alignment vertical="center" wrapText="1"/>
    </xf>
    <xf numFmtId="0" fontId="49" fillId="37" borderId="38" xfId="0" applyFont="1" applyFill="1" applyBorder="1" applyAlignment="1">
      <alignment vertical="center" wrapText="1"/>
    </xf>
    <xf numFmtId="0" fontId="49" fillId="37" borderId="25" xfId="0" applyFont="1" applyFill="1" applyBorder="1" applyAlignment="1">
      <alignment vertical="center" wrapText="1"/>
    </xf>
    <xf numFmtId="0" fontId="49" fillId="37" borderId="59" xfId="0" applyFont="1" applyFill="1" applyBorder="1" applyAlignment="1">
      <alignment vertical="center" wrapText="1"/>
    </xf>
    <xf numFmtId="0" fontId="49" fillId="37" borderId="60" xfId="0" applyFont="1" applyFill="1" applyBorder="1" applyAlignment="1">
      <alignment vertical="center" wrapText="1"/>
    </xf>
    <xf numFmtId="165" fontId="49" fillId="0" borderId="29" xfId="1" applyNumberFormat="1" applyFont="1" applyBorder="1" applyAlignment="1">
      <alignment horizontal="center" vertical="center" wrapText="1"/>
    </xf>
    <xf numFmtId="1" fontId="49" fillId="0" borderId="45" xfId="3" applyNumberFormat="1" applyFont="1" applyBorder="1" applyAlignment="1">
      <alignment horizontal="center" vertical="center" wrapText="1"/>
    </xf>
    <xf numFmtId="1" fontId="49" fillId="13" borderId="45" xfId="0" applyNumberFormat="1" applyFont="1" applyFill="1" applyBorder="1" applyAlignment="1">
      <alignment horizontal="center" vertical="center" wrapText="1"/>
    </xf>
    <xf numFmtId="170" fontId="49" fillId="0" borderId="45" xfId="0" applyNumberFormat="1" applyFont="1" applyBorder="1" applyAlignment="1">
      <alignment horizontal="center" vertical="center" wrapText="1"/>
    </xf>
    <xf numFmtId="9" fontId="50" fillId="0" borderId="28" xfId="0" applyNumberFormat="1" applyFont="1" applyBorder="1" applyAlignment="1">
      <alignment horizontal="center" vertical="center" wrapText="1"/>
    </xf>
    <xf numFmtId="2" fontId="49" fillId="13" borderId="45" xfId="0" applyNumberFormat="1" applyFont="1" applyFill="1" applyBorder="1" applyAlignment="1">
      <alignment horizontal="center" vertical="center" wrapText="1"/>
    </xf>
    <xf numFmtId="165" fontId="50" fillId="26" borderId="135" xfId="0" applyNumberFormat="1" applyFont="1" applyFill="1" applyBorder="1" applyAlignment="1">
      <alignment horizontal="center" vertical="center" wrapText="1"/>
    </xf>
    <xf numFmtId="9" fontId="49" fillId="0" borderId="47" xfId="0" applyNumberFormat="1" applyFont="1" applyBorder="1" applyAlignment="1">
      <alignment horizontal="center" vertical="center" wrapText="1"/>
    </xf>
    <xf numFmtId="0" fontId="38" fillId="13" borderId="3" xfId="0" applyFont="1" applyFill="1" applyBorder="1" applyAlignment="1">
      <alignment wrapText="1"/>
    </xf>
    <xf numFmtId="0" fontId="87" fillId="66" borderId="67" xfId="0" applyFont="1" applyFill="1" applyBorder="1" applyAlignment="1">
      <alignment horizontal="center" vertical="center" wrapText="1"/>
    </xf>
    <xf numFmtId="0" fontId="86" fillId="13" borderId="26" xfId="0" applyFont="1" applyFill="1" applyBorder="1"/>
    <xf numFmtId="0" fontId="39" fillId="67" borderId="52" xfId="0" applyFont="1" applyFill="1" applyBorder="1" applyAlignment="1">
      <alignment vertical="center" wrapText="1"/>
    </xf>
    <xf numFmtId="0" fontId="38" fillId="13" borderId="9" xfId="0" applyFont="1" applyFill="1" applyBorder="1"/>
    <xf numFmtId="0" fontId="42" fillId="68" borderId="52" xfId="0" applyFont="1" applyFill="1" applyBorder="1" applyAlignment="1">
      <alignment vertical="center" wrapText="1"/>
    </xf>
    <xf numFmtId="0" fontId="38" fillId="13" borderId="13" xfId="0" applyFont="1" applyFill="1" applyBorder="1"/>
    <xf numFmtId="0" fontId="38" fillId="37" borderId="55" xfId="0" applyFont="1" applyFill="1" applyBorder="1" applyAlignment="1">
      <alignment vertical="center" wrapText="1"/>
    </xf>
    <xf numFmtId="0" fontId="38" fillId="37" borderId="16" xfId="0" applyFont="1" applyFill="1" applyBorder="1" applyAlignment="1">
      <alignment vertical="center" wrapText="1"/>
    </xf>
    <xf numFmtId="0" fontId="42" fillId="68" borderId="38" xfId="0" applyFont="1" applyFill="1" applyBorder="1" applyAlignment="1">
      <alignment vertical="center" wrapText="1"/>
    </xf>
    <xf numFmtId="0" fontId="38" fillId="13" borderId="0" xfId="0" applyFont="1" applyFill="1" applyBorder="1"/>
    <xf numFmtId="0" fontId="39" fillId="67" borderId="27" xfId="0" applyFont="1" applyFill="1" applyBorder="1" applyAlignment="1">
      <alignment vertical="center" wrapText="1"/>
    </xf>
    <xf numFmtId="0" fontId="38" fillId="13" borderId="70" xfId="0" applyFont="1" applyFill="1" applyBorder="1"/>
    <xf numFmtId="0" fontId="42" fillId="68" borderId="67" xfId="0" applyFont="1" applyFill="1" applyBorder="1" applyAlignment="1">
      <alignment vertical="center" wrapText="1"/>
    </xf>
    <xf numFmtId="0" fontId="38" fillId="13" borderId="18" xfId="0" applyFont="1" applyFill="1" applyBorder="1"/>
    <xf numFmtId="0" fontId="42" fillId="68" borderId="27" xfId="0" applyFont="1" applyFill="1" applyBorder="1" applyAlignment="1">
      <alignment vertical="center" wrapText="1"/>
    </xf>
    <xf numFmtId="0" fontId="38" fillId="13" borderId="1" xfId="0" applyFont="1" applyFill="1" applyBorder="1" applyAlignment="1">
      <alignment wrapText="1"/>
    </xf>
    <xf numFmtId="0" fontId="38" fillId="13" borderId="1" xfId="0" applyFont="1" applyFill="1" applyBorder="1" applyAlignment="1">
      <alignment horizontal="right" wrapText="1"/>
    </xf>
    <xf numFmtId="0" fontId="40" fillId="13" borderId="0" xfId="0" applyFont="1" applyFill="1" applyAlignment="1"/>
    <xf numFmtId="0" fontId="38" fillId="37" borderId="10" xfId="0" applyFont="1" applyFill="1" applyBorder="1" applyAlignment="1">
      <alignment vertical="center" wrapText="1"/>
    </xf>
    <xf numFmtId="0" fontId="38" fillId="37" borderId="62" xfId="0" applyFont="1" applyFill="1" applyBorder="1" applyAlignment="1">
      <alignment vertical="center" wrapText="1"/>
    </xf>
    <xf numFmtId="0" fontId="38" fillId="37" borderId="17" xfId="0" applyFont="1" applyFill="1" applyBorder="1" applyAlignment="1">
      <alignment vertical="center" wrapText="1"/>
    </xf>
    <xf numFmtId="0" fontId="38" fillId="37" borderId="68" xfId="0" applyFont="1" applyFill="1" applyBorder="1" applyAlignment="1">
      <alignment vertical="center" wrapText="1"/>
    </xf>
    <xf numFmtId="0" fontId="38" fillId="37" borderId="123" xfId="0" applyFont="1" applyFill="1" applyBorder="1" applyAlignment="1">
      <alignment vertical="center" wrapText="1"/>
    </xf>
    <xf numFmtId="0" fontId="38" fillId="37" borderId="121" xfId="0" applyFont="1" applyFill="1" applyBorder="1" applyAlignment="1">
      <alignment vertical="center" wrapText="1"/>
    </xf>
    <xf numFmtId="0" fontId="38" fillId="37" borderId="173" xfId="0" applyFont="1" applyFill="1" applyBorder="1" applyAlignment="1">
      <alignment vertical="center" wrapText="1"/>
    </xf>
    <xf numFmtId="0" fontId="38" fillId="37" borderId="69" xfId="0" applyFont="1" applyFill="1" applyBorder="1" applyAlignment="1">
      <alignment vertical="center" wrapText="1"/>
    </xf>
    <xf numFmtId="0" fontId="38" fillId="37" borderId="65" xfId="0" applyFont="1" applyFill="1" applyBorder="1" applyAlignment="1">
      <alignment vertical="center" wrapText="1"/>
    </xf>
    <xf numFmtId="0" fontId="38" fillId="37" borderId="66" xfId="0" applyFont="1" applyFill="1" applyBorder="1" applyAlignment="1">
      <alignment vertical="center" wrapText="1"/>
    </xf>
    <xf numFmtId="0" fontId="38" fillId="37" borderId="78" xfId="0" applyFont="1" applyFill="1" applyBorder="1" applyAlignment="1">
      <alignment vertical="center" wrapText="1"/>
    </xf>
    <xf numFmtId="0" fontId="38" fillId="37" borderId="19" xfId="0" applyFont="1" applyFill="1" applyBorder="1" applyAlignment="1">
      <alignment vertical="center" wrapText="1"/>
    </xf>
    <xf numFmtId="165" fontId="38" fillId="0" borderId="113" xfId="0" applyNumberFormat="1" applyFont="1" applyBorder="1" applyAlignment="1">
      <alignment horizontal="center" vertical="center" wrapText="1"/>
    </xf>
    <xf numFmtId="9" fontId="38" fillId="0" borderId="113" xfId="0" applyNumberFormat="1" applyFont="1" applyBorder="1" applyAlignment="1">
      <alignment horizontal="center" vertical="center" wrapText="1"/>
    </xf>
    <xf numFmtId="0" fontId="38" fillId="37" borderId="54" xfId="0" applyFont="1" applyFill="1" applyBorder="1" applyAlignment="1">
      <alignment vertical="center" wrapText="1"/>
    </xf>
    <xf numFmtId="176" fontId="38" fillId="0" borderId="24" xfId="0" applyNumberFormat="1" applyFont="1" applyBorder="1" applyAlignment="1">
      <alignment horizontal="center" vertical="center" wrapText="1"/>
    </xf>
    <xf numFmtId="43" fontId="38" fillId="0" borderId="24" xfId="0" applyNumberFormat="1" applyFont="1" applyBorder="1" applyAlignment="1">
      <alignment horizontal="center" vertical="center" wrapText="1"/>
    </xf>
    <xf numFmtId="0" fontId="38" fillId="12" borderId="22" xfId="0" applyFont="1" applyFill="1" applyBorder="1" applyAlignment="1">
      <alignment wrapText="1"/>
    </xf>
    <xf numFmtId="44" fontId="38" fillId="0" borderId="24" xfId="4" applyFont="1" applyBorder="1" applyAlignment="1">
      <alignment horizontal="center" vertical="center" wrapText="1"/>
    </xf>
    <xf numFmtId="165" fontId="38" fillId="13" borderId="47" xfId="0" applyNumberFormat="1" applyFont="1" applyFill="1" applyBorder="1" applyAlignment="1">
      <alignment horizontal="center" vertical="center" wrapText="1"/>
    </xf>
    <xf numFmtId="0" fontId="47" fillId="66" borderId="52" xfId="0" applyFont="1" applyFill="1" applyBorder="1" applyAlignment="1">
      <alignment horizontal="center" vertical="center" wrapText="1"/>
    </xf>
    <xf numFmtId="0" fontId="48" fillId="13" borderId="53" xfId="0" applyFont="1" applyFill="1" applyBorder="1"/>
    <xf numFmtId="0" fontId="38" fillId="13" borderId="53" xfId="0" applyFont="1" applyFill="1" applyBorder="1"/>
    <xf numFmtId="0" fontId="93" fillId="67" borderId="52" xfId="0" applyFont="1" applyFill="1" applyBorder="1" applyAlignment="1">
      <alignment vertical="center" wrapText="1"/>
    </xf>
    <xf numFmtId="0" fontId="92" fillId="13" borderId="53" xfId="0" applyFont="1" applyFill="1" applyBorder="1"/>
    <xf numFmtId="169" fontId="38" fillId="13" borderId="24" xfId="3" applyNumberFormat="1" applyFont="1" applyFill="1" applyBorder="1" applyAlignment="1">
      <alignment horizontal="center" vertical="center" wrapText="1"/>
    </xf>
    <xf numFmtId="0" fontId="19" fillId="66" borderId="42" xfId="0" applyFont="1" applyFill="1" applyBorder="1" applyAlignment="1">
      <alignment horizontal="center" vertical="center" wrapText="1"/>
    </xf>
    <xf numFmtId="0" fontId="33" fillId="13" borderId="26" xfId="0" applyFont="1" applyFill="1" applyBorder="1"/>
    <xf numFmtId="0" fontId="58" fillId="67" borderId="8" xfId="0" applyFont="1" applyFill="1" applyBorder="1" applyAlignment="1">
      <alignment vertical="center" wrapText="1"/>
    </xf>
    <xf numFmtId="0" fontId="42" fillId="68" borderId="8" xfId="0" applyFont="1" applyFill="1" applyBorder="1" applyAlignment="1">
      <alignment vertical="center" wrapText="1"/>
    </xf>
    <xf numFmtId="0" fontId="39" fillId="67" borderId="8" xfId="0" applyFont="1" applyFill="1" applyBorder="1" applyAlignment="1">
      <alignment vertical="center" wrapText="1"/>
    </xf>
    <xf numFmtId="9" fontId="29" fillId="0" borderId="116" xfId="0" applyNumberFormat="1" applyFont="1" applyBorder="1" applyAlignment="1">
      <alignment horizontal="center" vertical="center" wrapText="1"/>
    </xf>
    <xf numFmtId="165" fontId="29" fillId="0" borderId="116" xfId="0" applyNumberFormat="1" applyFont="1" applyBorder="1" applyAlignment="1">
      <alignment horizontal="center" vertical="center" wrapText="1"/>
    </xf>
    <xf numFmtId="165" fontId="29" fillId="0" borderId="47" xfId="0" applyNumberFormat="1" applyFont="1" applyBorder="1" applyAlignment="1">
      <alignment horizontal="center" vertical="center" wrapText="1"/>
    </xf>
    <xf numFmtId="0" fontId="27" fillId="66" borderId="42" xfId="0" applyFont="1" applyFill="1" applyBorder="1" applyAlignment="1">
      <alignment horizontal="center" vertical="center" wrapText="1"/>
    </xf>
    <xf numFmtId="0" fontId="29" fillId="13" borderId="18" xfId="0" applyFont="1" applyFill="1" applyBorder="1"/>
    <xf numFmtId="0" fontId="27" fillId="67" borderId="5" xfId="0" applyFont="1" applyFill="1" applyBorder="1" applyAlignment="1">
      <alignment vertical="center" wrapText="1"/>
    </xf>
    <xf numFmtId="0" fontId="29" fillId="13" borderId="13" xfId="0" applyFont="1" applyFill="1" applyBorder="1"/>
    <xf numFmtId="0" fontId="31" fillId="68" borderId="5" xfId="0" applyFont="1" applyFill="1" applyBorder="1" applyAlignment="1">
      <alignment vertical="center" wrapText="1"/>
    </xf>
  </cellXfs>
  <cellStyles count="5">
    <cellStyle name="Millares" xfId="3" builtinId="3"/>
    <cellStyle name="Moneda" xfId="4" builtinId="4"/>
    <cellStyle name="Normal" xfId="0" builtinId="0"/>
    <cellStyle name="Normal 2" xfId="2"/>
    <cellStyle name="Porcentaje" xfId="1" builtinId="5"/>
  </cellStyles>
  <dxfs count="1">
    <dxf>
      <fill>
        <patternFill patternType="solid">
          <fgColor rgb="FFCFE2F3"/>
          <bgColor rgb="FFCFE2F3"/>
        </patternFill>
      </fill>
    </dxf>
  </dxfs>
  <tableStyles count="0" defaultTableStyle="TableStyleMedium2" defaultPivotStyle="PivotStyleLight16"/>
  <colors>
    <mruColors>
      <color rgb="FFFF9999"/>
      <color rgb="FFFF7C80"/>
      <color rgb="FF04F053"/>
      <color rgb="FFCC0066"/>
      <color rgb="FF6639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3000" b="1" i="0" u="none" strike="noStrike" kern="1200" spc="0" baseline="0">
                <a:solidFill>
                  <a:schemeClr val="tx1">
                    <a:lumMod val="65000"/>
                    <a:lumOff val="35000"/>
                  </a:schemeClr>
                </a:solidFill>
                <a:latin typeface="+mn-lt"/>
                <a:ea typeface="+mn-ea"/>
                <a:cs typeface="+mn-cs"/>
              </a:defRPr>
            </a:pPr>
            <a:r>
              <a:rPr lang="es-CO" sz="3000" b="1" i="0" baseline="0">
                <a:effectLst/>
              </a:rPr>
              <a:t>AVANCE ESPERADO ACUMULADO   A DICIEMBRE 2026  - LOGRO ALCANZADO ACUMULADO CUATRIENIO  JUNIO 2026. LINEAS ESTRATEGICAS</a:t>
            </a:r>
            <a:endParaRPr lang="es-CO" sz="3000" b="1">
              <a:effectLst/>
            </a:endParaRPr>
          </a:p>
        </c:rich>
      </c:tx>
      <c:layout>
        <c:manualLayout>
          <c:xMode val="edge"/>
          <c:yMode val="edge"/>
          <c:x val="0.15681069958847738"/>
          <c:y val="8.119079837618403E-3"/>
        </c:manualLayout>
      </c:layout>
      <c:overlay val="0"/>
      <c:spPr>
        <a:noFill/>
        <a:ln>
          <a:noFill/>
        </a:ln>
        <a:effectLst/>
      </c:spPr>
      <c:txPr>
        <a:bodyPr rot="0" spcFirstLastPara="1" vertOverflow="ellipsis" vert="horz" wrap="square" anchor="ctr" anchorCtr="1"/>
        <a:lstStyle/>
        <a:p>
          <a:pPr>
            <a:defRPr sz="3000" b="1" i="0" u="none" strike="noStrike" kern="1200" spc="0" baseline="0">
              <a:solidFill>
                <a:schemeClr val="tx1">
                  <a:lumMod val="65000"/>
                  <a:lumOff val="35000"/>
                </a:schemeClr>
              </a:solidFill>
              <a:latin typeface="+mn-lt"/>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0759664301221606E-2"/>
          <c:y val="9.6691492724437875E-2"/>
          <c:w val="0.964713586727585"/>
          <c:h val="0.63379803167364568"/>
        </c:manualLayout>
      </c:layout>
      <c:bar3DChart>
        <c:barDir val="col"/>
        <c:grouping val="clustered"/>
        <c:varyColors val="0"/>
        <c:ser>
          <c:idx val="0"/>
          <c:order val="0"/>
          <c:tx>
            <c:strRef>
              <c:f>'SEGUIMIENTO DEL PLAN DE DESARRO'!$G$2</c:f>
              <c:strCache>
                <c:ptCount val="1"/>
                <c:pt idx="0">
                  <c:v>AVANCE ESPERADO ACUMULADO CUATRIENIO 2024 - 2025 - 2026</c:v>
                </c:pt>
              </c:strCache>
            </c:strRef>
          </c:tx>
          <c:spPr>
            <a:solidFill>
              <a:schemeClr val="tx2">
                <a:lumMod val="65000"/>
                <a:lumOff val="35000"/>
              </a:schemeClr>
            </a:solidFill>
            <a:ln>
              <a:noFill/>
            </a:ln>
            <a:effectLst/>
            <a:sp3d/>
          </c:spPr>
          <c:invertIfNegative val="0"/>
          <c:dLbls>
            <c:dLbl>
              <c:idx val="0"/>
              <c:layout>
                <c:manualLayout>
                  <c:x val="8.6419753086419606E-3"/>
                  <c:y val="-2.1650879566982424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F9CF-4D20-9DE3-5FCED4D6D7CD}"/>
                </c:ext>
              </c:extLst>
            </c:dLbl>
            <c:dLbl>
              <c:idx val="1"/>
              <c:layout>
                <c:manualLayout>
                  <c:x val="6.1728395061728392E-3"/>
                  <c:y val="-1.6238159675236806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4-F9CF-4D20-9DE3-5FCED4D6D7CD}"/>
                </c:ext>
              </c:extLst>
            </c:dLbl>
            <c:dLbl>
              <c:idx val="2"/>
              <c:layout>
                <c:manualLayout>
                  <c:x val="8.6419753086419745E-3"/>
                  <c:y val="-1.3531799729364006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F9CF-4D20-9DE3-5FCED4D6D7CD}"/>
                </c:ext>
              </c:extLst>
            </c:dLbl>
            <c:dLbl>
              <c:idx val="3"/>
              <c:layout>
                <c:manualLayout>
                  <c:x val="6.1728395061728392E-3"/>
                  <c:y val="-1.3531799729363988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F9CF-4D20-9DE3-5FCED4D6D7CD}"/>
                </c:ext>
              </c:extLst>
            </c:dLbl>
            <c:dLbl>
              <c:idx val="4"/>
              <c:layout>
                <c:manualLayout>
                  <c:x val="4.9382716049382715E-3"/>
                  <c:y val="-2.165087956698241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6-F9CF-4D20-9DE3-5FCED4D6D7CD}"/>
                </c:ext>
              </c:extLst>
            </c:dLbl>
            <c:dLbl>
              <c:idx val="5"/>
              <c:layout>
                <c:manualLayout>
                  <c:x val="6.1728395061728392E-3"/>
                  <c:y val="-1.6238159675236806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7-F9CF-4D20-9DE3-5FCED4D6D7CD}"/>
                </c:ext>
              </c:extLst>
            </c:dLbl>
            <c:dLbl>
              <c:idx val="6"/>
              <c:layout>
                <c:manualLayout>
                  <c:x val="7.4074074074074077E-3"/>
                  <c:y val="-1.8944519621109608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8-F9CF-4D20-9DE3-5FCED4D6D7CD}"/>
                </c:ext>
              </c:extLst>
            </c:dLbl>
            <c:spPr>
              <a:noFill/>
              <a:ln>
                <a:noFill/>
              </a:ln>
              <a:effectLst/>
            </c:spPr>
            <c:txPr>
              <a:bodyPr rot="0" spcFirstLastPara="1" vertOverflow="ellipsis" vert="horz" wrap="square" lIns="38100" tIns="19050" rIns="38100" bIns="19050" anchor="ctr" anchorCtr="1">
                <a:spAutoFit/>
              </a:bodyPr>
              <a:lstStyle/>
              <a:p>
                <a:pPr>
                  <a:defRPr sz="40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DEL PLAN DE DESARRO'!$B$3:$B$9</c:f>
              <c:strCache>
                <c:ptCount val="7"/>
                <c:pt idx="0">
                  <c:v>PLAN DE DESARROLLO CARTAGENA CIUDAD DE DERECHOS 2024 - 2027</c:v>
                </c:pt>
                <c:pt idx="1">
                  <c:v> SEGURIDAD HUMANA
</c:v>
                </c:pt>
                <c:pt idx="2">
                  <c:v> VIDA DIGNA
</c:v>
                </c:pt>
                <c:pt idx="3">
                  <c:v> DESARROLLO ECONÓMICO EQUITATIVO
</c:v>
                </c:pt>
                <c:pt idx="4">
                  <c:v>CARTAGENA CIUDAD CONECTADA Y SOSTENIBLE
</c:v>
                </c:pt>
                <c:pt idx="5">
                  <c:v> INNOVACIÓN PÚBLICA Y PARTICIPACIÓN CIUDADANA
</c:v>
                </c:pt>
                <c:pt idx="6">
                  <c:v>CAPÍTULO DE LOS PUEBLOS Y COMUNIDADES ÉTNICAS
</c:v>
                </c:pt>
              </c:strCache>
            </c:strRef>
          </c:cat>
          <c:val>
            <c:numRef>
              <c:f>'SEGUIMIENTO DEL PLAN DE DESARRO'!$G$3:$G$9</c:f>
              <c:numCache>
                <c:formatCode>0.0%</c:formatCode>
                <c:ptCount val="7"/>
                <c:pt idx="0">
                  <c:v>0.80188703981500575</c:v>
                </c:pt>
                <c:pt idx="1">
                  <c:v>0.79931262285361604</c:v>
                </c:pt>
                <c:pt idx="2">
                  <c:v>0.82276088820641258</c:v>
                </c:pt>
                <c:pt idx="3">
                  <c:v>0.81399807975980076</c:v>
                </c:pt>
                <c:pt idx="4">
                  <c:v>0.77462032338918174</c:v>
                </c:pt>
                <c:pt idx="5">
                  <c:v>0.83819641214294427</c:v>
                </c:pt>
                <c:pt idx="6">
                  <c:v>0.76243391253807924</c:v>
                </c:pt>
              </c:numCache>
            </c:numRef>
          </c:val>
          <c:extLst>
            <c:ext xmlns:c16="http://schemas.microsoft.com/office/drawing/2014/chart" uri="{C3380CC4-5D6E-409C-BE32-E72D297353CC}">
              <c16:uniqueId val="{00000000-F9CF-4D20-9DE3-5FCED4D6D7CD}"/>
            </c:ext>
          </c:extLst>
        </c:ser>
        <c:ser>
          <c:idx val="1"/>
          <c:order val="1"/>
          <c:tx>
            <c:strRef>
              <c:f>'SEGUIMIENTO DEL PLAN DE DESARRO'!$K$2</c:f>
              <c:strCache>
                <c:ptCount val="1"/>
                <c:pt idx="0">
                  <c:v>AVANCE ACUMULADO  CORTE  JUNIO 2026 RESPECTO AL CUATRIENIO</c:v>
                </c:pt>
              </c:strCache>
            </c:strRef>
          </c:tx>
          <c:spPr>
            <a:solidFill>
              <a:schemeClr val="accent6">
                <a:lumMod val="40000"/>
                <a:lumOff val="60000"/>
              </a:schemeClr>
            </a:solidFill>
            <a:ln>
              <a:noFill/>
            </a:ln>
            <a:effectLst/>
            <a:sp3d/>
          </c:spPr>
          <c:invertIfNegative val="0"/>
          <c:dPt>
            <c:idx val="1"/>
            <c:invertIfNegative val="0"/>
            <c:bubble3D val="0"/>
            <c:spPr>
              <a:solidFill>
                <a:schemeClr val="accent6">
                  <a:lumMod val="40000"/>
                  <a:lumOff val="60000"/>
                </a:schemeClr>
              </a:solidFill>
              <a:ln>
                <a:noFill/>
              </a:ln>
              <a:effectLst/>
              <a:sp3d/>
            </c:spPr>
            <c:extLst>
              <c:ext xmlns:c16="http://schemas.microsoft.com/office/drawing/2014/chart" uri="{C3380CC4-5D6E-409C-BE32-E72D297353CC}">
                <c16:uniqueId val="{0000000A-F9CF-4D20-9DE3-5FCED4D6D7CD}"/>
              </c:ext>
            </c:extLst>
          </c:dPt>
          <c:dPt>
            <c:idx val="2"/>
            <c:invertIfNegative val="0"/>
            <c:bubble3D val="0"/>
            <c:spPr>
              <a:solidFill>
                <a:schemeClr val="accent6">
                  <a:lumMod val="40000"/>
                  <a:lumOff val="60000"/>
                </a:schemeClr>
              </a:solidFill>
              <a:ln>
                <a:noFill/>
              </a:ln>
              <a:effectLst/>
              <a:sp3d/>
            </c:spPr>
            <c:extLst>
              <c:ext xmlns:c16="http://schemas.microsoft.com/office/drawing/2014/chart" uri="{C3380CC4-5D6E-409C-BE32-E72D297353CC}">
                <c16:uniqueId val="{0000000B-F9CF-4D20-9DE3-5FCED4D6D7CD}"/>
              </c:ext>
            </c:extLst>
          </c:dPt>
          <c:dPt>
            <c:idx val="5"/>
            <c:invertIfNegative val="0"/>
            <c:bubble3D val="0"/>
            <c:spPr>
              <a:solidFill>
                <a:schemeClr val="accent6">
                  <a:lumMod val="40000"/>
                  <a:lumOff val="60000"/>
                </a:schemeClr>
              </a:solidFill>
              <a:ln>
                <a:noFill/>
              </a:ln>
              <a:effectLst/>
              <a:sp3d/>
            </c:spPr>
            <c:extLst>
              <c:ext xmlns:c16="http://schemas.microsoft.com/office/drawing/2014/chart" uri="{C3380CC4-5D6E-409C-BE32-E72D297353CC}">
                <c16:uniqueId val="{0000000E-F9CF-4D20-9DE3-5FCED4D6D7CD}"/>
              </c:ext>
            </c:extLst>
          </c:dPt>
          <c:dPt>
            <c:idx val="6"/>
            <c:invertIfNegative val="0"/>
            <c:bubble3D val="0"/>
            <c:spPr>
              <a:solidFill>
                <a:srgbClr val="FFFF00"/>
              </a:solidFill>
              <a:ln>
                <a:noFill/>
              </a:ln>
              <a:effectLst/>
              <a:sp3d/>
            </c:spPr>
            <c:extLst>
              <c:ext xmlns:c16="http://schemas.microsoft.com/office/drawing/2014/chart" uri="{C3380CC4-5D6E-409C-BE32-E72D297353CC}">
                <c16:uniqueId val="{0000000F-F9CF-4D20-9DE3-5FCED4D6D7CD}"/>
              </c:ext>
            </c:extLst>
          </c:dPt>
          <c:dLbls>
            <c:dLbl>
              <c:idx val="0"/>
              <c:layout>
                <c:manualLayout>
                  <c:x val="1.9525561682910891E-2"/>
                  <c:y val="-2.9798915697786772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9-F9CF-4D20-9DE3-5FCED4D6D7CD}"/>
                </c:ext>
              </c:extLst>
            </c:dLbl>
            <c:dLbl>
              <c:idx val="1"/>
              <c:layout>
                <c:manualLayout>
                  <c:x val="2.0987654320987655E-2"/>
                  <c:y val="-1.6238159675236806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A-F9CF-4D20-9DE3-5FCED4D6D7CD}"/>
                </c:ext>
              </c:extLst>
            </c:dLbl>
            <c:dLbl>
              <c:idx val="2"/>
              <c:layout>
                <c:manualLayout>
                  <c:x val="1.7283950617283949E-2"/>
                  <c:y val="-2.4357239512855209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B-F9CF-4D20-9DE3-5FCED4D6D7CD}"/>
                </c:ext>
              </c:extLst>
            </c:dLbl>
            <c:dLbl>
              <c:idx val="3"/>
              <c:layout>
                <c:manualLayout>
                  <c:x val="2.4691358024691298E-2"/>
                  <c:y val="-2.9769959404600813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C-F9CF-4D20-9DE3-5FCED4D6D7CD}"/>
                </c:ext>
              </c:extLst>
            </c:dLbl>
            <c:dLbl>
              <c:idx val="4"/>
              <c:layout>
                <c:manualLayout>
                  <c:x val="1.6049382716049384E-2"/>
                  <c:y val="-1.0825439783491271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D-F9CF-4D20-9DE3-5FCED4D6D7CD}"/>
                </c:ext>
              </c:extLst>
            </c:dLbl>
            <c:dLbl>
              <c:idx val="5"/>
              <c:layout>
                <c:manualLayout>
                  <c:x val="2.908354945524794E-2"/>
                  <c:y val="-1.8944509446359364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E-F9CF-4D20-9DE3-5FCED4D6D7CD}"/>
                </c:ext>
              </c:extLst>
            </c:dLbl>
            <c:dLbl>
              <c:idx val="6"/>
              <c:layout>
                <c:manualLayout>
                  <c:x val="1.8518518518518517E-2"/>
                  <c:y val="-3.7889039242219279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F-F9CF-4D20-9DE3-5FCED4D6D7CD}"/>
                </c:ext>
              </c:extLst>
            </c:dLbl>
            <c:spPr>
              <a:noFill/>
              <a:ln>
                <a:noFill/>
              </a:ln>
              <a:effectLst/>
            </c:spPr>
            <c:txPr>
              <a:bodyPr rot="0" spcFirstLastPara="1" vertOverflow="ellipsis" vert="horz" wrap="square" lIns="38100" tIns="19050" rIns="38100" bIns="19050" anchor="ctr" anchorCtr="1">
                <a:spAutoFit/>
              </a:bodyPr>
              <a:lstStyle/>
              <a:p>
                <a:pPr>
                  <a:defRPr sz="40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DEL PLAN DE DESARRO'!$B$3:$B$9</c:f>
              <c:strCache>
                <c:ptCount val="7"/>
                <c:pt idx="0">
                  <c:v>PLAN DE DESARROLLO CARTAGENA CIUDAD DE DERECHOS 2024 - 2027</c:v>
                </c:pt>
                <c:pt idx="1">
                  <c:v> SEGURIDAD HUMANA
</c:v>
                </c:pt>
                <c:pt idx="2">
                  <c:v> VIDA DIGNA
</c:v>
                </c:pt>
                <c:pt idx="3">
                  <c:v> DESARROLLO ECONÓMICO EQUITATIVO
</c:v>
                </c:pt>
                <c:pt idx="4">
                  <c:v>CARTAGENA CIUDAD CONECTADA Y SOSTENIBLE
</c:v>
                </c:pt>
                <c:pt idx="5">
                  <c:v> INNOVACIÓN PÚBLICA Y PARTICIPACIÓN CIUDADANA
</c:v>
                </c:pt>
                <c:pt idx="6">
                  <c:v>CAPÍTULO DE LOS PUEBLOS Y COMUNIDADES ÉTNICAS
</c:v>
                </c:pt>
              </c:strCache>
            </c:strRef>
          </c:cat>
          <c:val>
            <c:numRef>
              <c:f>'SEGUIMIENTO DEL PLAN DE DESARRO'!$K$3:$K$9</c:f>
              <c:numCache>
                <c:formatCode>0.0%</c:formatCode>
                <c:ptCount val="7"/>
                <c:pt idx="0" formatCode="0.00%">
                  <c:v>0.57644411772037973</c:v>
                </c:pt>
                <c:pt idx="1">
                  <c:v>0.60343480832577168</c:v>
                </c:pt>
                <c:pt idx="2">
                  <c:v>0.63168445247603899</c:v>
                </c:pt>
                <c:pt idx="3">
                  <c:v>0.58520124129298157</c:v>
                </c:pt>
                <c:pt idx="4">
                  <c:v>0.57466973513094477</c:v>
                </c:pt>
                <c:pt idx="5">
                  <c:v>0.63495673370693095</c:v>
                </c:pt>
                <c:pt idx="6">
                  <c:v>0.42871773538961033</c:v>
                </c:pt>
              </c:numCache>
            </c:numRef>
          </c:val>
          <c:extLst>
            <c:ext xmlns:c16="http://schemas.microsoft.com/office/drawing/2014/chart" uri="{C3380CC4-5D6E-409C-BE32-E72D297353CC}">
              <c16:uniqueId val="{00000001-F9CF-4D20-9DE3-5FCED4D6D7CD}"/>
            </c:ext>
          </c:extLst>
        </c:ser>
        <c:dLbls>
          <c:showLegendKey val="0"/>
          <c:showVal val="0"/>
          <c:showCatName val="0"/>
          <c:showSerName val="0"/>
          <c:showPercent val="0"/>
          <c:showBubbleSize val="0"/>
        </c:dLbls>
        <c:gapWidth val="150"/>
        <c:shape val="box"/>
        <c:axId val="2128545135"/>
        <c:axId val="2128544303"/>
        <c:axId val="0"/>
      </c:bar3DChart>
      <c:catAx>
        <c:axId val="2128545135"/>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3000" b="1" i="0" u="none" strike="noStrike" kern="1200" baseline="0">
                <a:solidFill>
                  <a:schemeClr val="tx1">
                    <a:lumMod val="65000"/>
                    <a:lumOff val="35000"/>
                  </a:schemeClr>
                </a:solidFill>
                <a:latin typeface="+mn-lt"/>
                <a:ea typeface="+mn-ea"/>
                <a:cs typeface="+mn-cs"/>
              </a:defRPr>
            </a:pPr>
            <a:endParaRPr lang="es-CO"/>
          </a:p>
        </c:txPr>
        <c:crossAx val="2128544303"/>
        <c:crosses val="autoZero"/>
        <c:auto val="1"/>
        <c:lblAlgn val="ctr"/>
        <c:lblOffset val="100"/>
        <c:noMultiLvlLbl val="0"/>
      </c:catAx>
      <c:valAx>
        <c:axId val="2128544303"/>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3000" b="1" i="0" u="none" strike="noStrike" kern="1200" baseline="0">
                <a:solidFill>
                  <a:schemeClr val="tx1">
                    <a:lumMod val="65000"/>
                    <a:lumOff val="35000"/>
                  </a:schemeClr>
                </a:solidFill>
                <a:latin typeface="+mn-lt"/>
                <a:ea typeface="+mn-ea"/>
                <a:cs typeface="+mn-cs"/>
              </a:defRPr>
            </a:pPr>
            <a:endParaRPr lang="es-CO"/>
          </a:p>
        </c:txPr>
        <c:crossAx val="2128545135"/>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30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3600" b="1" i="0" u="none" strike="noStrike" kern="1200" spc="0" baseline="0">
                <a:solidFill>
                  <a:schemeClr val="tx1">
                    <a:lumMod val="65000"/>
                    <a:lumOff val="35000"/>
                  </a:schemeClr>
                </a:solidFill>
                <a:latin typeface="+mn-lt"/>
                <a:ea typeface="+mn-ea"/>
                <a:cs typeface="+mn-cs"/>
              </a:defRPr>
            </a:pPr>
            <a:r>
              <a:rPr lang="en-US"/>
              <a:t>AVANCE ACUMULADO  CORTE  JUNIO 2026 RESPECTO AL CUATRIENIO</a:t>
            </a:r>
          </a:p>
        </c:rich>
      </c:tx>
      <c:layout/>
      <c:overlay val="0"/>
      <c:spPr>
        <a:noFill/>
        <a:ln>
          <a:noFill/>
        </a:ln>
        <a:effectLst/>
      </c:spPr>
      <c:txPr>
        <a:bodyPr rot="0" spcFirstLastPara="1" vertOverflow="ellipsis" vert="horz" wrap="square" anchor="ctr" anchorCtr="1"/>
        <a:lstStyle/>
        <a:p>
          <a:pPr>
            <a:defRPr sz="3600" b="1"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'SEGUIMIENTO DEL PLAN DE DESARRO'!$K$2</c:f>
              <c:strCache>
                <c:ptCount val="1"/>
                <c:pt idx="0">
                  <c:v>AVANCE ACUMULADO  CORTE  JUNIO 2026 RESPECTO AL CUATRIENIO</c:v>
                </c:pt>
              </c:strCache>
            </c:strRef>
          </c:tx>
          <c:spPr>
            <a:solidFill>
              <a:schemeClr val="accent6">
                <a:lumMod val="40000"/>
                <a:lumOff val="60000"/>
              </a:schemeClr>
            </a:solidFill>
            <a:ln>
              <a:noFill/>
            </a:ln>
            <a:effectLst/>
          </c:spPr>
          <c:invertIfNegative val="0"/>
          <c:dPt>
            <c:idx val="0"/>
            <c:invertIfNegative val="0"/>
            <c:bubble3D val="0"/>
            <c:spPr>
              <a:solidFill>
                <a:schemeClr val="accent6">
                  <a:lumMod val="40000"/>
                  <a:lumOff val="60000"/>
                </a:schemeClr>
              </a:solidFill>
              <a:ln>
                <a:noFill/>
              </a:ln>
              <a:effectLst/>
            </c:spPr>
            <c:extLst>
              <c:ext xmlns:c16="http://schemas.microsoft.com/office/drawing/2014/chart" uri="{C3380CC4-5D6E-409C-BE32-E72D297353CC}">
                <c16:uniqueId val="{00000003-93AC-454A-8F4B-57C3627DBB2B}"/>
              </c:ext>
            </c:extLst>
          </c:dPt>
          <c:dPt>
            <c:idx val="3"/>
            <c:invertIfNegative val="0"/>
            <c:bubble3D val="0"/>
            <c:spPr>
              <a:solidFill>
                <a:schemeClr val="accent6">
                  <a:lumMod val="40000"/>
                  <a:lumOff val="60000"/>
                </a:schemeClr>
              </a:solidFill>
              <a:ln>
                <a:noFill/>
              </a:ln>
              <a:effectLst/>
            </c:spPr>
            <c:extLst>
              <c:ext xmlns:c16="http://schemas.microsoft.com/office/drawing/2014/chart" uri="{C3380CC4-5D6E-409C-BE32-E72D297353CC}">
                <c16:uniqueId val="{00000004-93AC-454A-8F4B-57C3627DBB2B}"/>
              </c:ext>
            </c:extLst>
          </c:dPt>
          <c:dPt>
            <c:idx val="4"/>
            <c:invertIfNegative val="0"/>
            <c:bubble3D val="0"/>
            <c:spPr>
              <a:solidFill>
                <a:schemeClr val="accent6">
                  <a:lumMod val="40000"/>
                  <a:lumOff val="60000"/>
                </a:schemeClr>
              </a:solidFill>
              <a:ln>
                <a:noFill/>
              </a:ln>
              <a:effectLst/>
            </c:spPr>
            <c:extLst>
              <c:ext xmlns:c16="http://schemas.microsoft.com/office/drawing/2014/chart" uri="{C3380CC4-5D6E-409C-BE32-E72D297353CC}">
                <c16:uniqueId val="{00000005-93AC-454A-8F4B-57C3627DBB2B}"/>
              </c:ext>
            </c:extLst>
          </c:dPt>
          <c:dPt>
            <c:idx val="6"/>
            <c:invertIfNegative val="0"/>
            <c:bubble3D val="0"/>
            <c:spPr>
              <a:solidFill>
                <a:srgbClr val="FFFF00"/>
              </a:solidFill>
              <a:ln>
                <a:noFill/>
              </a:ln>
              <a:effectLst/>
            </c:spPr>
            <c:extLst>
              <c:ext xmlns:c16="http://schemas.microsoft.com/office/drawing/2014/chart" uri="{C3380CC4-5D6E-409C-BE32-E72D297353CC}">
                <c16:uniqueId val="{0000000E-93AC-454A-8F4B-57C3627DBB2B}"/>
              </c:ext>
            </c:extLst>
          </c:dPt>
          <c:dLbls>
            <c:spPr>
              <a:noFill/>
              <a:ln>
                <a:noFill/>
              </a:ln>
              <a:effectLst/>
            </c:spPr>
            <c:txPr>
              <a:bodyPr rot="0" spcFirstLastPara="1" vertOverflow="ellipsis" vert="horz" wrap="square" lIns="38100" tIns="19050" rIns="38100" bIns="19050" anchor="ctr" anchorCtr="1">
                <a:spAutoFit/>
              </a:bodyPr>
              <a:lstStyle/>
              <a:p>
                <a:pPr>
                  <a:defRPr sz="35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'SEGUIMIENTO DEL PLAN DE DESARRO'!$B$3:$B$9</c:f>
              <c:strCache>
                <c:ptCount val="7"/>
                <c:pt idx="0">
                  <c:v>PLAN DE DESARROLLO CARTAGENA CIUDAD DE DERECHOS 2024 - 2027</c:v>
                </c:pt>
                <c:pt idx="1">
                  <c:v> SEGURIDAD HUMANA
</c:v>
                </c:pt>
                <c:pt idx="2">
                  <c:v> VIDA DIGNA
</c:v>
                </c:pt>
                <c:pt idx="3">
                  <c:v> DESARROLLO ECONÓMICO EQUITATIVO
</c:v>
                </c:pt>
                <c:pt idx="4">
                  <c:v>CARTAGENA CIUDAD CONECTADA Y SOSTENIBLE
</c:v>
                </c:pt>
                <c:pt idx="5">
                  <c:v> INNOVACIÓN PÚBLICA Y PARTICIPACIÓN CIUDADANA
</c:v>
                </c:pt>
                <c:pt idx="6">
                  <c:v>CAPÍTULO DE LOS PUEBLOS Y COMUNIDADES ÉTNICAS
</c:v>
                </c:pt>
              </c:strCache>
            </c:strRef>
          </c:cat>
          <c:val>
            <c:numRef>
              <c:f>'SEGUIMIENTO DEL PLAN DE DESARRO'!$K$3:$K$9</c:f>
              <c:numCache>
                <c:formatCode>0.0%</c:formatCode>
                <c:ptCount val="7"/>
                <c:pt idx="0" formatCode="0.00%">
                  <c:v>0.57644411772037973</c:v>
                </c:pt>
                <c:pt idx="1">
                  <c:v>0.60343480832577168</c:v>
                </c:pt>
                <c:pt idx="2">
                  <c:v>0.63168445247603899</c:v>
                </c:pt>
                <c:pt idx="3">
                  <c:v>0.58520124129298157</c:v>
                </c:pt>
                <c:pt idx="4">
                  <c:v>0.57466973513094477</c:v>
                </c:pt>
                <c:pt idx="5">
                  <c:v>0.63495673370693095</c:v>
                </c:pt>
                <c:pt idx="6">
                  <c:v>0.42871773538961033</c:v>
                </c:pt>
              </c:numCache>
            </c:numRef>
          </c:val>
          <c:extLst>
            <c:ext xmlns:c16="http://schemas.microsoft.com/office/drawing/2014/chart" uri="{C3380CC4-5D6E-409C-BE32-E72D297353CC}">
              <c16:uniqueId val="{00000000-9099-497A-B757-335262F726FE}"/>
            </c:ext>
          </c:extLst>
        </c:ser>
        <c:dLbls>
          <c:showLegendKey val="0"/>
          <c:showVal val="0"/>
          <c:showCatName val="0"/>
          <c:showSerName val="0"/>
          <c:showPercent val="0"/>
          <c:showBubbleSize val="0"/>
        </c:dLbls>
        <c:gapWidth val="219"/>
        <c:overlap val="-27"/>
        <c:axId val="2128535151"/>
        <c:axId val="2128535983"/>
      </c:barChart>
      <c:catAx>
        <c:axId val="21285351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3000" b="0" i="0" u="none" strike="noStrike" kern="1200" baseline="0">
                <a:solidFill>
                  <a:schemeClr val="tx1">
                    <a:lumMod val="65000"/>
                    <a:lumOff val="35000"/>
                  </a:schemeClr>
                </a:solidFill>
                <a:latin typeface="+mn-lt"/>
                <a:ea typeface="+mn-ea"/>
                <a:cs typeface="+mn-cs"/>
              </a:defRPr>
            </a:pPr>
            <a:endParaRPr lang="es-CO"/>
          </a:p>
        </c:txPr>
        <c:crossAx val="2128535983"/>
        <c:crosses val="autoZero"/>
        <c:auto val="1"/>
        <c:lblAlgn val="ctr"/>
        <c:lblOffset val="100"/>
        <c:noMultiLvlLbl val="0"/>
      </c:catAx>
      <c:valAx>
        <c:axId val="2128535983"/>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3000" b="0" i="0" u="none" strike="noStrike" kern="1200" baseline="0">
                <a:solidFill>
                  <a:schemeClr val="tx1">
                    <a:lumMod val="65000"/>
                    <a:lumOff val="35000"/>
                  </a:schemeClr>
                </a:solidFill>
                <a:latin typeface="+mn-lt"/>
                <a:ea typeface="+mn-ea"/>
                <a:cs typeface="+mn-cs"/>
              </a:defRPr>
            </a:pPr>
            <a:endParaRPr lang="es-CO"/>
          </a:p>
        </c:txPr>
        <c:crossAx val="2128535151"/>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30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3600" b="1" i="0" u="none" strike="noStrike" kern="1200" spc="0" baseline="0">
                <a:solidFill>
                  <a:schemeClr val="tx1">
                    <a:lumMod val="65000"/>
                    <a:lumOff val="35000"/>
                  </a:schemeClr>
                </a:solidFill>
                <a:latin typeface="+mn-lt"/>
                <a:ea typeface="+mn-ea"/>
                <a:cs typeface="+mn-cs"/>
              </a:defRPr>
            </a:pPr>
            <a:r>
              <a:rPr lang="en-US" b="1"/>
              <a:t>LOGRO (%) RESPECTO AL PROGRAMADO PARA LA VIGENCIA 2026. CORTE  JUNIO.</a:t>
            </a:r>
          </a:p>
        </c:rich>
      </c:tx>
      <c:layout/>
      <c:overlay val="0"/>
      <c:spPr>
        <a:noFill/>
        <a:ln>
          <a:noFill/>
        </a:ln>
        <a:effectLst/>
      </c:spPr>
      <c:txPr>
        <a:bodyPr rot="0" spcFirstLastPara="1" vertOverflow="ellipsis" vert="horz" wrap="square" anchor="ctr" anchorCtr="1"/>
        <a:lstStyle/>
        <a:p>
          <a:pPr>
            <a:defRPr sz="3600" b="1" i="0" u="none" strike="noStrike" kern="1200" spc="0" baseline="0">
              <a:solidFill>
                <a:schemeClr val="tx1">
                  <a:lumMod val="65000"/>
                  <a:lumOff val="35000"/>
                </a:schemeClr>
              </a:solidFill>
              <a:latin typeface="+mn-lt"/>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4.3963959203086191E-2"/>
          <c:y val="0.16330747719035121"/>
          <c:w val="0.95584182746387469"/>
          <c:h val="0.69859623727699649"/>
        </c:manualLayout>
      </c:layout>
      <c:bar3DChart>
        <c:barDir val="col"/>
        <c:grouping val="clustered"/>
        <c:varyColors val="0"/>
        <c:ser>
          <c:idx val="0"/>
          <c:order val="0"/>
          <c:tx>
            <c:strRef>
              <c:f>'SEGUIMIENTO DEL PLAN DE DESARRO'!$O$2</c:f>
              <c:strCache>
                <c:ptCount val="1"/>
                <c:pt idx="0">
                  <c:v>LOGRO (%) RESPECTO AL PROGRAMADO PARA LA VIGENCIA 2026 CORTE  JUNIO</c:v>
                </c:pt>
              </c:strCache>
            </c:strRef>
          </c:tx>
          <c:spPr>
            <a:solidFill>
              <a:schemeClr val="accent6">
                <a:lumMod val="40000"/>
                <a:lumOff val="60000"/>
              </a:schemeClr>
            </a:solidFill>
            <a:ln>
              <a:noFill/>
            </a:ln>
            <a:effectLst/>
            <a:sp3d/>
          </c:spPr>
          <c:invertIfNegative val="0"/>
          <c:dPt>
            <c:idx val="0"/>
            <c:invertIfNegative val="0"/>
            <c:bubble3D val="0"/>
            <c:spPr>
              <a:solidFill>
                <a:schemeClr val="accent6">
                  <a:lumMod val="40000"/>
                  <a:lumOff val="60000"/>
                </a:schemeClr>
              </a:solidFill>
              <a:ln>
                <a:noFill/>
              </a:ln>
              <a:effectLst/>
              <a:sp3d/>
            </c:spPr>
            <c:extLst>
              <c:ext xmlns:c16="http://schemas.microsoft.com/office/drawing/2014/chart" uri="{C3380CC4-5D6E-409C-BE32-E72D297353CC}">
                <c16:uniqueId val="{00000001-F5D7-4F18-863A-DDDCE2CDA06F}"/>
              </c:ext>
            </c:extLst>
          </c:dPt>
          <c:dPt>
            <c:idx val="1"/>
            <c:invertIfNegative val="0"/>
            <c:bubble3D val="0"/>
            <c:spPr>
              <a:solidFill>
                <a:schemeClr val="accent6">
                  <a:lumMod val="40000"/>
                  <a:lumOff val="60000"/>
                </a:schemeClr>
              </a:solidFill>
              <a:ln>
                <a:noFill/>
              </a:ln>
              <a:effectLst/>
              <a:sp3d/>
            </c:spPr>
            <c:extLst>
              <c:ext xmlns:c16="http://schemas.microsoft.com/office/drawing/2014/chart" uri="{C3380CC4-5D6E-409C-BE32-E72D297353CC}">
                <c16:uniqueId val="{00000002-F5D7-4F18-863A-DDDCE2CDA06F}"/>
              </c:ext>
            </c:extLst>
          </c:dPt>
          <c:dPt>
            <c:idx val="2"/>
            <c:invertIfNegative val="0"/>
            <c:bubble3D val="0"/>
            <c:spPr>
              <a:solidFill>
                <a:srgbClr val="00B050"/>
              </a:solidFill>
              <a:ln>
                <a:noFill/>
              </a:ln>
              <a:effectLst/>
              <a:sp3d/>
            </c:spPr>
            <c:extLst>
              <c:ext xmlns:c16="http://schemas.microsoft.com/office/drawing/2014/chart" uri="{C3380CC4-5D6E-409C-BE32-E72D297353CC}">
                <c16:uniqueId val="{00000003-F5D7-4F18-863A-DDDCE2CDA06F}"/>
              </c:ext>
            </c:extLst>
          </c:dPt>
          <c:dPt>
            <c:idx val="3"/>
            <c:invertIfNegative val="0"/>
            <c:bubble3D val="0"/>
            <c:spPr>
              <a:solidFill>
                <a:srgbClr val="FFFF00"/>
              </a:solidFill>
              <a:ln>
                <a:noFill/>
              </a:ln>
              <a:effectLst/>
              <a:sp3d/>
            </c:spPr>
            <c:extLst>
              <c:ext xmlns:c16="http://schemas.microsoft.com/office/drawing/2014/chart" uri="{C3380CC4-5D6E-409C-BE32-E72D297353CC}">
                <c16:uniqueId val="{00000004-F5D7-4F18-863A-DDDCE2CDA06F}"/>
              </c:ext>
            </c:extLst>
          </c:dPt>
          <c:dPt>
            <c:idx val="4"/>
            <c:invertIfNegative val="0"/>
            <c:bubble3D val="0"/>
            <c:spPr>
              <a:solidFill>
                <a:schemeClr val="accent6">
                  <a:lumMod val="40000"/>
                  <a:lumOff val="60000"/>
                </a:schemeClr>
              </a:solidFill>
              <a:ln>
                <a:noFill/>
              </a:ln>
              <a:effectLst/>
              <a:sp3d/>
            </c:spPr>
            <c:extLst>
              <c:ext xmlns:c16="http://schemas.microsoft.com/office/drawing/2014/chart" uri="{C3380CC4-5D6E-409C-BE32-E72D297353CC}">
                <c16:uniqueId val="{00000005-F5D7-4F18-863A-DDDCE2CDA06F}"/>
              </c:ext>
            </c:extLst>
          </c:dPt>
          <c:dPt>
            <c:idx val="5"/>
            <c:invertIfNegative val="0"/>
            <c:bubble3D val="0"/>
            <c:spPr>
              <a:solidFill>
                <a:srgbClr val="00B050"/>
              </a:solidFill>
              <a:ln>
                <a:noFill/>
              </a:ln>
              <a:effectLst/>
              <a:sp3d/>
            </c:spPr>
            <c:extLst>
              <c:ext xmlns:c16="http://schemas.microsoft.com/office/drawing/2014/chart" uri="{C3380CC4-5D6E-409C-BE32-E72D297353CC}">
                <c16:uniqueId val="{00000006-F5D7-4F18-863A-DDDCE2CDA06F}"/>
              </c:ext>
            </c:extLst>
          </c:dPt>
          <c:dPt>
            <c:idx val="6"/>
            <c:invertIfNegative val="0"/>
            <c:bubble3D val="0"/>
            <c:spPr>
              <a:solidFill>
                <a:schemeClr val="accent2">
                  <a:lumMod val="40000"/>
                  <a:lumOff val="60000"/>
                </a:schemeClr>
              </a:solidFill>
              <a:ln>
                <a:noFill/>
              </a:ln>
              <a:effectLst/>
              <a:sp3d/>
            </c:spPr>
            <c:extLst>
              <c:ext xmlns:c16="http://schemas.microsoft.com/office/drawing/2014/chart" uri="{C3380CC4-5D6E-409C-BE32-E72D297353CC}">
                <c16:uniqueId val="{00000007-F5D7-4F18-863A-DDDCE2CDA06F}"/>
              </c:ext>
            </c:extLst>
          </c:dPt>
          <c:dLbls>
            <c:dLbl>
              <c:idx val="0"/>
              <c:layout>
                <c:manualLayout>
                  <c:x val="7.6923076923076927E-3"/>
                  <c:y val="-2.7662517289073374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F5D7-4F18-863A-DDDCE2CDA06F}"/>
                </c:ext>
              </c:extLst>
            </c:dLbl>
            <c:dLbl>
              <c:idx val="1"/>
              <c:layout>
                <c:manualLayout>
                  <c:x val="4.3956043956043956E-3"/>
                  <c:y val="-3.0428769017980636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F5D7-4F18-863A-DDDCE2CDA06F}"/>
                </c:ext>
              </c:extLst>
            </c:dLbl>
            <c:dLbl>
              <c:idx val="2"/>
              <c:layout>
                <c:manualLayout>
                  <c:x val="2.0514534159197274E-2"/>
                  <c:y val="-2.0413463942007267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F5D7-4F18-863A-DDDCE2CDA06F}"/>
                </c:ext>
              </c:extLst>
            </c:dLbl>
            <c:dLbl>
              <c:idx val="3"/>
              <c:layout>
                <c:manualLayout>
                  <c:x val="8.7912087912087912E-3"/>
                  <c:y val="-3.5961272475795295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4-F5D7-4F18-863A-DDDCE2CDA06F}"/>
                </c:ext>
              </c:extLst>
            </c:dLbl>
            <c:dLbl>
              <c:idx val="4"/>
              <c:layout>
                <c:manualLayout>
                  <c:x val="8.7912087912087912E-3"/>
                  <c:y val="-2.2130013831258611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F5D7-4F18-863A-DDDCE2CDA06F}"/>
                </c:ext>
              </c:extLst>
            </c:dLbl>
            <c:dLbl>
              <c:idx val="5"/>
              <c:layout>
                <c:manualLayout>
                  <c:x val="9.8901098901098897E-3"/>
                  <c:y val="-2.2130013831258646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6-F5D7-4F18-863A-DDDCE2CDA06F}"/>
                </c:ext>
              </c:extLst>
            </c:dLbl>
            <c:dLbl>
              <c:idx val="6"/>
              <c:layout>
                <c:manualLayout>
                  <c:x val="1.3186813186813187E-2"/>
                  <c:y val="-2.4896265560165973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7-F5D7-4F18-863A-DDDCE2CDA06F}"/>
                </c:ext>
              </c:extLst>
            </c:dLbl>
            <c:spPr>
              <a:noFill/>
              <a:ln>
                <a:noFill/>
              </a:ln>
              <a:effectLst/>
            </c:spPr>
            <c:txPr>
              <a:bodyPr rot="0" spcFirstLastPara="1" vertOverflow="ellipsis" vert="horz" wrap="square" lIns="38100" tIns="19050" rIns="38100" bIns="19050" anchor="ctr" anchorCtr="1">
                <a:spAutoFit/>
              </a:bodyPr>
              <a:lstStyle/>
              <a:p>
                <a:pPr>
                  <a:defRPr sz="40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DEL PLAN DE DESARRO'!$B$3:$B$9</c:f>
              <c:strCache>
                <c:ptCount val="7"/>
                <c:pt idx="0">
                  <c:v>PLAN DE DESARROLLO CARTAGENA CIUDAD DE DERECHOS 2024 - 2027</c:v>
                </c:pt>
                <c:pt idx="1">
                  <c:v> SEGURIDAD HUMANA
</c:v>
                </c:pt>
                <c:pt idx="2">
                  <c:v> VIDA DIGNA
</c:v>
                </c:pt>
                <c:pt idx="3">
                  <c:v> DESARROLLO ECONÓMICO EQUITATIVO
</c:v>
                </c:pt>
                <c:pt idx="4">
                  <c:v>CARTAGENA CIUDAD CONECTADA Y SOSTENIBLE
</c:v>
                </c:pt>
                <c:pt idx="5">
                  <c:v> INNOVACIÓN PÚBLICA Y PARTICIPACIÓN CIUDADANA
</c:v>
                </c:pt>
                <c:pt idx="6">
                  <c:v>CAPÍTULO DE LOS PUEBLOS Y COMUNIDADES ÉTNICAS
</c:v>
                </c:pt>
              </c:strCache>
            </c:strRef>
          </c:cat>
          <c:val>
            <c:numRef>
              <c:f>'SEGUIMIENTO DEL PLAN DE DESARRO'!$O$3:$O$9</c:f>
              <c:numCache>
                <c:formatCode>0.0%</c:formatCode>
                <c:ptCount val="7"/>
                <c:pt idx="0">
                  <c:v>0.38817788553052263</c:v>
                </c:pt>
                <c:pt idx="1">
                  <c:v>0.41726944081404749</c:v>
                </c:pt>
                <c:pt idx="2">
                  <c:v>0.53094458900377417</c:v>
                </c:pt>
                <c:pt idx="3">
                  <c:v>0.28538799521787417</c:v>
                </c:pt>
                <c:pt idx="4">
                  <c:v>0.38632016869631758</c:v>
                </c:pt>
                <c:pt idx="5">
                  <c:v>0.49872630262426565</c:v>
                </c:pt>
                <c:pt idx="6">
                  <c:v>0.21041881682685667</c:v>
                </c:pt>
              </c:numCache>
            </c:numRef>
          </c:val>
          <c:extLst>
            <c:ext xmlns:c16="http://schemas.microsoft.com/office/drawing/2014/chart" uri="{C3380CC4-5D6E-409C-BE32-E72D297353CC}">
              <c16:uniqueId val="{00000000-F5D7-4F18-863A-DDDCE2CDA06F}"/>
            </c:ext>
          </c:extLst>
        </c:ser>
        <c:dLbls>
          <c:showLegendKey val="0"/>
          <c:showVal val="0"/>
          <c:showCatName val="0"/>
          <c:showSerName val="0"/>
          <c:showPercent val="0"/>
          <c:showBubbleSize val="0"/>
        </c:dLbls>
        <c:gapWidth val="150"/>
        <c:shape val="box"/>
        <c:axId val="2128533487"/>
        <c:axId val="2128533903"/>
        <c:axId val="0"/>
      </c:bar3DChart>
      <c:catAx>
        <c:axId val="2128533487"/>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3200" b="1" i="0" u="none" strike="noStrike" kern="1200" baseline="0">
                <a:solidFill>
                  <a:schemeClr val="tx1">
                    <a:lumMod val="65000"/>
                    <a:lumOff val="35000"/>
                  </a:schemeClr>
                </a:solidFill>
                <a:latin typeface="+mn-lt"/>
                <a:ea typeface="+mn-ea"/>
                <a:cs typeface="+mn-cs"/>
              </a:defRPr>
            </a:pPr>
            <a:endParaRPr lang="es-CO"/>
          </a:p>
        </c:txPr>
        <c:crossAx val="2128533903"/>
        <c:crosses val="autoZero"/>
        <c:auto val="1"/>
        <c:lblAlgn val="ctr"/>
        <c:lblOffset val="100"/>
        <c:noMultiLvlLbl val="0"/>
      </c:catAx>
      <c:valAx>
        <c:axId val="2128533903"/>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3000" b="1" i="0" u="none" strike="noStrike" kern="1200" baseline="0">
                <a:solidFill>
                  <a:schemeClr val="tx1">
                    <a:lumMod val="65000"/>
                    <a:lumOff val="35000"/>
                  </a:schemeClr>
                </a:solidFill>
                <a:latin typeface="+mn-lt"/>
                <a:ea typeface="+mn-ea"/>
                <a:cs typeface="+mn-cs"/>
              </a:defRPr>
            </a:pPr>
            <a:endParaRPr lang="es-CO"/>
          </a:p>
        </c:txPr>
        <c:crossAx val="2128533487"/>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30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3600" b="1" i="0" u="none" strike="noStrike" kern="1200" spc="0" baseline="0">
                <a:solidFill>
                  <a:schemeClr val="tx1">
                    <a:lumMod val="65000"/>
                    <a:lumOff val="35000"/>
                  </a:schemeClr>
                </a:solidFill>
                <a:latin typeface="+mn-lt"/>
                <a:ea typeface="+mn-ea"/>
                <a:cs typeface="+mn-cs"/>
              </a:defRPr>
            </a:pPr>
            <a:r>
              <a:rPr lang="es-CO" b="1"/>
              <a:t>COMPARATIVO ENTRE EL ACUMUALDO CUATRIENIO Y SU</a:t>
            </a:r>
            <a:r>
              <a:rPr lang="es-CO" b="1" baseline="0"/>
              <a:t> VALOR PONDERADO A CORTE JUNIO 2026</a:t>
            </a:r>
            <a:endParaRPr lang="es-CO" b="1"/>
          </a:p>
        </c:rich>
      </c:tx>
      <c:layout/>
      <c:overlay val="0"/>
      <c:spPr>
        <a:noFill/>
        <a:ln>
          <a:noFill/>
        </a:ln>
        <a:effectLst/>
      </c:spPr>
      <c:txPr>
        <a:bodyPr rot="0" spcFirstLastPara="1" vertOverflow="ellipsis" vert="horz" wrap="square" anchor="ctr" anchorCtr="1"/>
        <a:lstStyle/>
        <a:p>
          <a:pPr>
            <a:defRPr sz="3600" b="1" i="0" u="none" strike="noStrike" kern="1200" spc="0" baseline="0">
              <a:solidFill>
                <a:schemeClr val="tx1">
                  <a:lumMod val="65000"/>
                  <a:lumOff val="35000"/>
                </a:schemeClr>
              </a:solidFill>
              <a:latin typeface="+mn-lt"/>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4.513877668876063E-2"/>
          <c:y val="9.4463385139684761E-2"/>
          <c:w val="0.9503288788530605"/>
          <c:h val="0.64158167401849642"/>
        </c:manualLayout>
      </c:layout>
      <c:bar3DChart>
        <c:barDir val="col"/>
        <c:grouping val="clustered"/>
        <c:varyColors val="0"/>
        <c:ser>
          <c:idx val="0"/>
          <c:order val="0"/>
          <c:tx>
            <c:strRef>
              <c:f>'SEGUIMIENTO DEL PLAN DE DESARRO'!$K$2</c:f>
              <c:strCache>
                <c:ptCount val="1"/>
                <c:pt idx="0">
                  <c:v>AVANCE ACUMULADO  CORTE  JUNIO 2026 RESPECTO AL CUATRIENIO</c:v>
                </c:pt>
              </c:strCache>
            </c:strRef>
          </c:tx>
          <c:spPr>
            <a:solidFill>
              <a:schemeClr val="accent1"/>
            </a:solidFill>
            <a:ln>
              <a:noFill/>
            </a:ln>
            <a:effectLst/>
            <a:sp3d/>
          </c:spPr>
          <c:invertIfNegative val="0"/>
          <c:dLbls>
            <c:dLbl>
              <c:idx val="0"/>
              <c:layout>
                <c:manualLayout>
                  <c:x val="4.9443757725586993E-3"/>
                  <c:y val="-1.5706806282722512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F01A-41AB-A686-7D45F18A7905}"/>
                </c:ext>
              </c:extLst>
            </c:dLbl>
            <c:dLbl>
              <c:idx val="1"/>
              <c:layout>
                <c:manualLayout>
                  <c:x val="-2.4721878862793874E-3"/>
                  <c:y val="-1.570680628272253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E-F01A-41AB-A686-7D45F18A7905}"/>
                </c:ext>
              </c:extLst>
            </c:dLbl>
            <c:dLbl>
              <c:idx val="2"/>
              <c:layout>
                <c:manualLayout>
                  <c:x val="7.4165636588380719E-3"/>
                  <c:y val="-1.3089005235602094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9-F01A-41AB-A686-7D45F18A7905}"/>
                </c:ext>
              </c:extLst>
            </c:dLbl>
            <c:dLbl>
              <c:idx val="3"/>
              <c:layout>
                <c:manualLayout>
                  <c:x val="7.4165636588380719E-3"/>
                  <c:y val="-1.8324607329842948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7-F01A-41AB-A686-7D45F18A7905}"/>
                </c:ext>
              </c:extLst>
            </c:dLbl>
            <c:dLbl>
              <c:idx val="4"/>
              <c:layout>
                <c:manualLayout>
                  <c:x val="4.944375772558714E-3"/>
                  <c:y val="-1.5706806282722512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F-F01A-41AB-A686-7D45F18A7905}"/>
                </c:ext>
              </c:extLst>
            </c:dLbl>
            <c:dLbl>
              <c:idx val="5"/>
              <c:layout>
                <c:manualLayout>
                  <c:x val="9.8887515451173084E-3"/>
                  <c:y val="-1.832460732984293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A-F01A-41AB-A686-7D45F18A7905}"/>
                </c:ext>
              </c:extLst>
            </c:dLbl>
            <c:dLbl>
              <c:idx val="6"/>
              <c:layout>
                <c:manualLayout>
                  <c:x val="1.2360939431396785E-3"/>
                  <c:y val="-2.356020942408377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C-F01A-41AB-A686-7D45F18A7905}"/>
                </c:ext>
              </c:extLst>
            </c:dLbl>
            <c:spPr>
              <a:noFill/>
              <a:ln>
                <a:noFill/>
              </a:ln>
              <a:effectLst/>
            </c:spPr>
            <c:txPr>
              <a:bodyPr rot="0" spcFirstLastPara="1" vertOverflow="ellipsis" vert="horz" wrap="square" lIns="38100" tIns="19050" rIns="38100" bIns="19050" anchor="ctr" anchorCtr="1">
                <a:spAutoFit/>
              </a:bodyPr>
              <a:lstStyle/>
              <a:p>
                <a:pPr>
                  <a:defRPr sz="38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DEL PLAN DE DESARRO'!$B$3:$B$9</c:f>
              <c:strCache>
                <c:ptCount val="7"/>
                <c:pt idx="0">
                  <c:v>PLAN DE DESARROLLO CARTAGENA CIUDAD DE DERECHOS 2024 - 2027</c:v>
                </c:pt>
                <c:pt idx="1">
                  <c:v> SEGURIDAD HUMANA
</c:v>
                </c:pt>
                <c:pt idx="2">
                  <c:v> VIDA DIGNA
</c:v>
                </c:pt>
                <c:pt idx="3">
                  <c:v> DESARROLLO ECONÓMICO EQUITATIVO
</c:v>
                </c:pt>
                <c:pt idx="4">
                  <c:v>CARTAGENA CIUDAD CONECTADA Y SOSTENIBLE
</c:v>
                </c:pt>
                <c:pt idx="5">
                  <c:v> INNOVACIÓN PÚBLICA Y PARTICIPACIÓN CIUDADANA
</c:v>
                </c:pt>
                <c:pt idx="6">
                  <c:v>CAPÍTULO DE LOS PUEBLOS Y COMUNIDADES ÉTNICAS
</c:v>
                </c:pt>
              </c:strCache>
            </c:strRef>
          </c:cat>
          <c:val>
            <c:numRef>
              <c:f>'SEGUIMIENTO DEL PLAN DE DESARRO'!$K$3:$K$9</c:f>
              <c:numCache>
                <c:formatCode>0.0%</c:formatCode>
                <c:ptCount val="7"/>
                <c:pt idx="0" formatCode="0.00%">
                  <c:v>0.57644411772037973</c:v>
                </c:pt>
                <c:pt idx="1">
                  <c:v>0.60343480832577168</c:v>
                </c:pt>
                <c:pt idx="2">
                  <c:v>0.63168445247603899</c:v>
                </c:pt>
                <c:pt idx="3">
                  <c:v>0.58520124129298157</c:v>
                </c:pt>
                <c:pt idx="4">
                  <c:v>0.57466973513094477</c:v>
                </c:pt>
                <c:pt idx="5">
                  <c:v>0.63495673370693095</c:v>
                </c:pt>
                <c:pt idx="6">
                  <c:v>0.42871773538961033</c:v>
                </c:pt>
              </c:numCache>
            </c:numRef>
          </c:val>
          <c:extLst>
            <c:ext xmlns:c16="http://schemas.microsoft.com/office/drawing/2014/chart" uri="{C3380CC4-5D6E-409C-BE32-E72D297353CC}">
              <c16:uniqueId val="{00000000-F01A-41AB-A686-7D45F18A7905}"/>
            </c:ext>
          </c:extLst>
        </c:ser>
        <c:ser>
          <c:idx val="1"/>
          <c:order val="1"/>
          <c:tx>
            <c:strRef>
              <c:f>'SEGUIMIENTO DEL PLAN DE DESARRO'!$V$2</c:f>
              <c:strCache>
                <c:ptCount val="1"/>
                <c:pt idx="0">
                  <c:v>AVANCE ACUMULADO  CORTE  JUNIO 2026 RESPECTO AL CUATRIENIO (PONDERADOR)</c:v>
                </c:pt>
              </c:strCache>
            </c:strRef>
          </c:tx>
          <c:spPr>
            <a:solidFill>
              <a:schemeClr val="accent2"/>
            </a:solidFill>
            <a:ln>
              <a:noFill/>
            </a:ln>
            <a:effectLst/>
            <a:sp3d/>
          </c:spPr>
          <c:invertIfNegative val="0"/>
          <c:dLbls>
            <c:dLbl>
              <c:idx val="0"/>
              <c:layout>
                <c:manualLayout>
                  <c:x val="2.2249690976514216E-2"/>
                  <c:y val="-1.0471204188481707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F01A-41AB-A686-7D45F18A7905}"/>
                </c:ext>
              </c:extLst>
            </c:dLbl>
            <c:dLbl>
              <c:idx val="1"/>
              <c:layout>
                <c:manualLayout>
                  <c:x val="1.73053152039555E-2"/>
                  <c:y val="-1.3089005235602094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4-F01A-41AB-A686-7D45F18A7905}"/>
                </c:ext>
              </c:extLst>
            </c:dLbl>
            <c:dLbl>
              <c:idx val="2"/>
              <c:layout>
                <c:manualLayout>
                  <c:x val="1.73053152039555E-2"/>
                  <c:y val="-1.3089005235602094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F01A-41AB-A686-7D45F18A7905}"/>
                </c:ext>
              </c:extLst>
            </c:dLbl>
            <c:dLbl>
              <c:idx val="3"/>
              <c:layout>
                <c:manualLayout>
                  <c:x val="1.6069221260815822E-2"/>
                  <c:y val="-1.3089005235602094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6-F01A-41AB-A686-7D45F18A7905}"/>
                </c:ext>
              </c:extLst>
            </c:dLbl>
            <c:dLbl>
              <c:idx val="4"/>
              <c:layout>
                <c:manualLayout>
                  <c:x val="1.73053152039555E-2"/>
                  <c:y val="-2.617801047120422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8-F01A-41AB-A686-7D45F18A7905}"/>
                </c:ext>
              </c:extLst>
            </c:dLbl>
            <c:dLbl>
              <c:idx val="5"/>
              <c:layout>
                <c:manualLayout>
                  <c:x val="1.6069221260815822E-2"/>
                  <c:y val="-1.3089005235602094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B-F01A-41AB-A686-7D45F18A7905}"/>
                </c:ext>
              </c:extLst>
            </c:dLbl>
            <c:dLbl>
              <c:idx val="6"/>
              <c:layout>
                <c:manualLayout>
                  <c:x val="1.4833127317676144E-2"/>
                  <c:y val="-1.0471204188481676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D-F01A-41AB-A686-7D45F18A7905}"/>
                </c:ext>
              </c:extLst>
            </c:dLbl>
            <c:spPr>
              <a:noFill/>
              <a:ln>
                <a:noFill/>
              </a:ln>
              <a:effectLst/>
            </c:spPr>
            <c:txPr>
              <a:bodyPr rot="0" spcFirstLastPara="1" vertOverflow="ellipsis" vert="horz" wrap="square" lIns="38100" tIns="19050" rIns="38100" bIns="19050" anchor="ctr" anchorCtr="1">
                <a:spAutoFit/>
              </a:bodyPr>
              <a:lstStyle/>
              <a:p>
                <a:pPr>
                  <a:defRPr sz="38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DEL PLAN DE DESARRO'!$B$3:$B$9</c:f>
              <c:strCache>
                <c:ptCount val="7"/>
                <c:pt idx="0">
                  <c:v>PLAN DE DESARROLLO CARTAGENA CIUDAD DE DERECHOS 2024 - 2027</c:v>
                </c:pt>
                <c:pt idx="1">
                  <c:v> SEGURIDAD HUMANA
</c:v>
                </c:pt>
                <c:pt idx="2">
                  <c:v> VIDA DIGNA
</c:v>
                </c:pt>
                <c:pt idx="3">
                  <c:v> DESARROLLO ECONÓMICO EQUITATIVO
</c:v>
                </c:pt>
                <c:pt idx="4">
                  <c:v>CARTAGENA CIUDAD CONECTADA Y SOSTENIBLE
</c:v>
                </c:pt>
                <c:pt idx="5">
                  <c:v> INNOVACIÓN PÚBLICA Y PARTICIPACIÓN CIUDADANA
</c:v>
                </c:pt>
                <c:pt idx="6">
                  <c:v>CAPÍTULO DE LOS PUEBLOS Y COMUNIDADES ÉTNICAS
</c:v>
                </c:pt>
              </c:strCache>
            </c:strRef>
          </c:cat>
          <c:val>
            <c:numRef>
              <c:f>'SEGUIMIENTO DEL PLAN DE DESARRO'!$V$3:$V$9</c:f>
              <c:numCache>
                <c:formatCode>0.0%</c:formatCode>
                <c:ptCount val="7"/>
                <c:pt idx="0">
                  <c:v>0.54241429185691348</c:v>
                </c:pt>
                <c:pt idx="1">
                  <c:v>0.56928056589821929</c:v>
                </c:pt>
                <c:pt idx="2">
                  <c:v>0.58988272717320955</c:v>
                </c:pt>
                <c:pt idx="3">
                  <c:v>0.53129158872265736</c:v>
                </c:pt>
                <c:pt idx="4">
                  <c:v>0.46213758781001518</c:v>
                </c:pt>
                <c:pt idx="5">
                  <c:v>0.61640078657492781</c:v>
                </c:pt>
                <c:pt idx="6">
                  <c:v>0.45566892329545455</c:v>
                </c:pt>
              </c:numCache>
            </c:numRef>
          </c:val>
          <c:extLst>
            <c:ext xmlns:c16="http://schemas.microsoft.com/office/drawing/2014/chart" uri="{C3380CC4-5D6E-409C-BE32-E72D297353CC}">
              <c16:uniqueId val="{00000001-F01A-41AB-A686-7D45F18A7905}"/>
            </c:ext>
          </c:extLst>
        </c:ser>
        <c:dLbls>
          <c:showLegendKey val="0"/>
          <c:showVal val="0"/>
          <c:showCatName val="0"/>
          <c:showSerName val="0"/>
          <c:showPercent val="0"/>
          <c:showBubbleSize val="0"/>
        </c:dLbls>
        <c:gapWidth val="150"/>
        <c:shape val="box"/>
        <c:axId val="1913729583"/>
        <c:axId val="1913738735"/>
        <c:axId val="0"/>
      </c:bar3DChart>
      <c:catAx>
        <c:axId val="191372958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3000" b="1" i="0" u="none" strike="noStrike" kern="1200" baseline="0">
                <a:solidFill>
                  <a:schemeClr val="tx1">
                    <a:lumMod val="65000"/>
                    <a:lumOff val="35000"/>
                  </a:schemeClr>
                </a:solidFill>
                <a:latin typeface="+mn-lt"/>
                <a:ea typeface="+mn-ea"/>
                <a:cs typeface="+mn-cs"/>
              </a:defRPr>
            </a:pPr>
            <a:endParaRPr lang="es-CO"/>
          </a:p>
        </c:txPr>
        <c:crossAx val="1913738735"/>
        <c:crosses val="autoZero"/>
        <c:auto val="1"/>
        <c:lblAlgn val="ctr"/>
        <c:lblOffset val="100"/>
        <c:noMultiLvlLbl val="0"/>
      </c:catAx>
      <c:valAx>
        <c:axId val="1913738735"/>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3500" b="1" i="0" u="none" strike="noStrike" kern="1200" baseline="0">
                <a:solidFill>
                  <a:schemeClr val="tx1">
                    <a:lumMod val="65000"/>
                    <a:lumOff val="35000"/>
                  </a:schemeClr>
                </a:solidFill>
                <a:latin typeface="+mn-lt"/>
                <a:ea typeface="+mn-ea"/>
                <a:cs typeface="+mn-cs"/>
              </a:defRPr>
            </a:pPr>
            <a:endParaRPr lang="es-CO"/>
          </a:p>
        </c:txPr>
        <c:crossAx val="1913729583"/>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3200" b="1"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3000"/>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3600" b="1" i="0" u="none" strike="noStrike" kern="1200" spc="0" baseline="0">
                <a:solidFill>
                  <a:schemeClr val="tx1">
                    <a:lumMod val="65000"/>
                    <a:lumOff val="35000"/>
                  </a:schemeClr>
                </a:solidFill>
                <a:latin typeface="+mn-lt"/>
                <a:ea typeface="+mn-ea"/>
                <a:cs typeface="+mn-cs"/>
              </a:defRPr>
            </a:pPr>
            <a:r>
              <a:rPr lang="en-US"/>
              <a:t>AVANCE ACUMULADO  CORTE  JUNIO 2026 RESPECTO AL CUATRIENIO (PONDERADOR)</a:t>
            </a:r>
          </a:p>
        </c:rich>
      </c:tx>
      <c:layout>
        <c:manualLayout>
          <c:xMode val="edge"/>
          <c:yMode val="edge"/>
          <c:x val="0.21449615862794474"/>
          <c:y val="7.4906367041198503E-3"/>
        </c:manualLayout>
      </c:layout>
      <c:overlay val="0"/>
      <c:spPr>
        <a:noFill/>
        <a:ln>
          <a:noFill/>
        </a:ln>
        <a:effectLst/>
      </c:spPr>
      <c:txPr>
        <a:bodyPr rot="0" spcFirstLastPara="1" vertOverflow="ellipsis" vert="horz" wrap="square" anchor="ctr" anchorCtr="1"/>
        <a:lstStyle/>
        <a:p>
          <a:pPr>
            <a:defRPr sz="3600" b="1" i="0" u="none" strike="noStrike" kern="1200" spc="0" baseline="0">
              <a:solidFill>
                <a:schemeClr val="tx1">
                  <a:lumMod val="65000"/>
                  <a:lumOff val="35000"/>
                </a:schemeClr>
              </a:solidFill>
              <a:latin typeface="+mn-lt"/>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'SEGUIMIENTO DEL PLAN DE DESARRO'!$V$2</c:f>
              <c:strCache>
                <c:ptCount val="1"/>
                <c:pt idx="0">
                  <c:v>AVANCE ACUMULADO  CORTE  JUNIO 2026 RESPECTO AL CUATRIENIO (PONDERADOR)</c:v>
                </c:pt>
              </c:strCache>
            </c:strRef>
          </c:tx>
          <c:spPr>
            <a:solidFill>
              <a:schemeClr val="accent1"/>
            </a:solidFill>
            <a:ln>
              <a:noFill/>
            </a:ln>
            <a:effectLst/>
            <a:sp3d/>
          </c:spPr>
          <c:invertIfNegative val="0"/>
          <c:dLbls>
            <c:dLbl>
              <c:idx val="0"/>
              <c:layout>
                <c:manualLayout>
                  <c:x val="6.7476383265856954E-3"/>
                  <c:y val="6.741573033707865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7092-4A82-8C59-FEEF7907FB2C}"/>
                </c:ext>
              </c:extLst>
            </c:dLbl>
            <c:dLbl>
              <c:idx val="1"/>
              <c:layout>
                <c:manualLayout>
                  <c:x val="-1.3495276653171719E-3"/>
                  <c:y val="5.992509363295883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7092-4A82-8C59-FEEF7907FB2C}"/>
                </c:ext>
              </c:extLst>
            </c:dLbl>
            <c:dLbl>
              <c:idx val="2"/>
              <c:layout>
                <c:manualLayout>
                  <c:x val="-4.048582995951417E-3"/>
                  <c:y val="7.4906367041198477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7092-4A82-8C59-FEEF7907FB2C}"/>
                </c:ext>
              </c:extLst>
            </c:dLbl>
            <c:dLbl>
              <c:idx val="3"/>
              <c:layout>
                <c:manualLayout>
                  <c:x val="0"/>
                  <c:y val="3.2459425717852687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4-7092-4A82-8C59-FEEF7907FB2C}"/>
                </c:ext>
              </c:extLst>
            </c:dLbl>
            <c:dLbl>
              <c:idx val="4"/>
              <c:layout>
                <c:manualLayout>
                  <c:x val="-1.3495276653171389E-3"/>
                  <c:y val="3.7453183520599252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7092-4A82-8C59-FEEF7907FB2C}"/>
                </c:ext>
              </c:extLst>
            </c:dLbl>
            <c:dLbl>
              <c:idx val="5"/>
              <c:layout>
                <c:manualLayout>
                  <c:x val="1.3495276653171389E-3"/>
                  <c:y val="3.2459425717852687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6-7092-4A82-8C59-FEEF7907FB2C}"/>
                </c:ext>
              </c:extLst>
            </c:dLbl>
            <c:dLbl>
              <c:idx val="6"/>
              <c:layout>
                <c:manualLayout>
                  <c:x val="4.048582995951417E-3"/>
                  <c:y val="4.4943820224719037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7-7092-4A82-8C59-FEEF7907FB2C}"/>
                </c:ext>
              </c:extLst>
            </c:dLbl>
            <c:spPr>
              <a:noFill/>
              <a:ln>
                <a:noFill/>
              </a:ln>
              <a:effectLst/>
            </c:spPr>
            <c:txPr>
              <a:bodyPr rot="0" spcFirstLastPara="1" vertOverflow="ellipsis" vert="horz" wrap="square" lIns="38100" tIns="19050" rIns="38100" bIns="19050" anchor="ctr" anchorCtr="1">
                <a:spAutoFit/>
              </a:bodyPr>
              <a:lstStyle/>
              <a:p>
                <a:pPr>
                  <a:defRPr sz="36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'SEGUIMIENTO DEL PLAN DE DESARRO'!$B$3:$B$9</c:f>
              <c:strCache>
                <c:ptCount val="7"/>
                <c:pt idx="0">
                  <c:v>PLAN DE DESARROLLO CARTAGENA CIUDAD DE DERECHOS 2024 - 2027</c:v>
                </c:pt>
                <c:pt idx="1">
                  <c:v> SEGURIDAD HUMANA
</c:v>
                </c:pt>
                <c:pt idx="2">
                  <c:v> VIDA DIGNA
</c:v>
                </c:pt>
                <c:pt idx="3">
                  <c:v> DESARROLLO ECONÓMICO EQUITATIVO
</c:v>
                </c:pt>
                <c:pt idx="4">
                  <c:v>CARTAGENA CIUDAD CONECTADA Y SOSTENIBLE
</c:v>
                </c:pt>
                <c:pt idx="5">
                  <c:v> INNOVACIÓN PÚBLICA Y PARTICIPACIÓN CIUDADANA
</c:v>
                </c:pt>
                <c:pt idx="6">
                  <c:v>CAPÍTULO DE LOS PUEBLOS Y COMUNIDADES ÉTNICAS
</c:v>
                </c:pt>
              </c:strCache>
            </c:strRef>
          </c:cat>
          <c:val>
            <c:numRef>
              <c:f>'SEGUIMIENTO DEL PLAN DE DESARRO'!$V$3:$V$9</c:f>
              <c:numCache>
                <c:formatCode>0.0%</c:formatCode>
                <c:ptCount val="7"/>
                <c:pt idx="0">
                  <c:v>0.54241429185691348</c:v>
                </c:pt>
                <c:pt idx="1">
                  <c:v>0.56928056589821929</c:v>
                </c:pt>
                <c:pt idx="2">
                  <c:v>0.58988272717320955</c:v>
                </c:pt>
                <c:pt idx="3">
                  <c:v>0.53129158872265736</c:v>
                </c:pt>
                <c:pt idx="4">
                  <c:v>0.46213758781001518</c:v>
                </c:pt>
                <c:pt idx="5">
                  <c:v>0.61640078657492781</c:v>
                </c:pt>
                <c:pt idx="6">
                  <c:v>0.45566892329545455</c:v>
                </c:pt>
              </c:numCache>
            </c:numRef>
          </c:val>
          <c:extLst>
            <c:ext xmlns:c16="http://schemas.microsoft.com/office/drawing/2014/chart" uri="{C3380CC4-5D6E-409C-BE32-E72D297353CC}">
              <c16:uniqueId val="{00000000-7092-4A82-8C59-FEEF7907FB2C}"/>
            </c:ext>
          </c:extLst>
        </c:ser>
        <c:dLbls>
          <c:showLegendKey val="0"/>
          <c:showVal val="0"/>
          <c:showCatName val="0"/>
          <c:showSerName val="0"/>
          <c:showPercent val="0"/>
          <c:showBubbleSize val="0"/>
        </c:dLbls>
        <c:gapWidth val="150"/>
        <c:shape val="box"/>
        <c:axId val="28244431"/>
        <c:axId val="28241935"/>
        <c:axId val="0"/>
      </c:bar3DChart>
      <c:catAx>
        <c:axId val="28244431"/>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3000" b="1" i="0" u="none" strike="noStrike" kern="1200" baseline="0">
                <a:solidFill>
                  <a:schemeClr val="tx1">
                    <a:lumMod val="65000"/>
                    <a:lumOff val="35000"/>
                  </a:schemeClr>
                </a:solidFill>
                <a:latin typeface="+mn-lt"/>
                <a:ea typeface="+mn-ea"/>
                <a:cs typeface="+mn-cs"/>
              </a:defRPr>
            </a:pPr>
            <a:endParaRPr lang="es-CO"/>
          </a:p>
        </c:txPr>
        <c:crossAx val="28241935"/>
        <c:crosses val="autoZero"/>
        <c:auto val="1"/>
        <c:lblAlgn val="ctr"/>
        <c:lblOffset val="100"/>
        <c:noMultiLvlLbl val="0"/>
      </c:catAx>
      <c:valAx>
        <c:axId val="28241935"/>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3000" b="1" i="0" u="none" strike="noStrike" kern="1200" baseline="0">
                <a:solidFill>
                  <a:schemeClr val="tx1">
                    <a:lumMod val="65000"/>
                    <a:lumOff val="35000"/>
                  </a:schemeClr>
                </a:solidFill>
                <a:latin typeface="+mn-lt"/>
                <a:ea typeface="+mn-ea"/>
                <a:cs typeface="+mn-cs"/>
              </a:defRPr>
            </a:pPr>
            <a:endParaRPr lang="es-CO"/>
          </a:p>
        </c:txPr>
        <c:crossAx val="28244431"/>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3000" b="1"/>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xdr:col>
      <xdr:colOff>3962400</xdr:colOff>
      <xdr:row>12</xdr:row>
      <xdr:rowOff>95250</xdr:rowOff>
    </xdr:from>
    <xdr:to>
      <xdr:col>11</xdr:col>
      <xdr:colOff>1905000</xdr:colOff>
      <xdr:row>86</xdr:row>
      <xdr:rowOff>76200</xdr:rowOff>
    </xdr:to>
    <xdr:graphicFrame macro="">
      <xdr:nvGraphicFramePr>
        <xdr:cNvPr id="7" name="Gráfico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2743200</xdr:colOff>
      <xdr:row>12</xdr:row>
      <xdr:rowOff>31750</xdr:rowOff>
    </xdr:from>
    <xdr:to>
      <xdr:col>31</xdr:col>
      <xdr:colOff>266700</xdr:colOff>
      <xdr:row>86</xdr:row>
      <xdr:rowOff>38100</xdr:rowOff>
    </xdr:to>
    <xdr:graphicFrame macro="">
      <xdr:nvGraphicFramePr>
        <xdr:cNvPr id="10" name="Gráfico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2590800</xdr:colOff>
      <xdr:row>99</xdr:row>
      <xdr:rowOff>76200</xdr:rowOff>
    </xdr:from>
    <xdr:to>
      <xdr:col>20</xdr:col>
      <xdr:colOff>685800</xdr:colOff>
      <xdr:row>166</xdr:row>
      <xdr:rowOff>114300</xdr:rowOff>
    </xdr:to>
    <xdr:graphicFrame macro="">
      <xdr:nvGraphicFramePr>
        <xdr:cNvPr id="11" name="Gráfico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32</xdr:col>
      <xdr:colOff>342900</xdr:colOff>
      <xdr:row>14</xdr:row>
      <xdr:rowOff>152400</xdr:rowOff>
    </xdr:from>
    <xdr:to>
      <xdr:col>65</xdr:col>
      <xdr:colOff>876300</xdr:colOff>
      <xdr:row>91</xdr:row>
      <xdr:rowOff>38100</xdr:rowOff>
    </xdr:to>
    <xdr:graphicFrame macro="">
      <xdr:nvGraphicFramePr>
        <xdr:cNvPr id="12" name="Gráfico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35</xdr:col>
      <xdr:colOff>381000</xdr:colOff>
      <xdr:row>1</xdr:row>
      <xdr:rowOff>19050</xdr:rowOff>
    </xdr:from>
    <xdr:to>
      <xdr:col>65</xdr:col>
      <xdr:colOff>495300</xdr:colOff>
      <xdr:row>8</xdr:row>
      <xdr:rowOff>2171700</xdr:rowOff>
    </xdr:to>
    <xdr:graphicFrame macro="">
      <xdr:nvGraphicFramePr>
        <xdr:cNvPr id="13" name="Gráfico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1001"/>
  <sheetViews>
    <sheetView zoomScale="30" zoomScaleNormal="30" workbookViewId="0">
      <pane xSplit="3" ySplit="2" topLeftCell="D3" activePane="bottomRight" state="frozen"/>
      <selection activeCell="K14" sqref="K14"/>
      <selection pane="topRight" activeCell="K14" sqref="K14"/>
      <selection pane="bottomLeft" activeCell="K14" sqref="K14"/>
      <selection pane="bottomRight" activeCell="L8" sqref="L8"/>
    </sheetView>
  </sheetViews>
  <sheetFormatPr baseColWidth="10" defaultColWidth="14.44140625" defaultRowHeight="15" customHeight="1" x14ac:dyDescent="0.4"/>
  <cols>
    <col min="1" max="1" width="3.5546875" style="118" customWidth="1"/>
    <col min="2" max="2" width="55.77734375" style="1300" customWidth="1"/>
    <col min="3" max="3" width="72.44140625" style="1300" customWidth="1"/>
    <col min="4" max="4" width="60.44140625" style="118" customWidth="1"/>
    <col min="5" max="5" width="30.33203125" style="252" customWidth="1"/>
    <col min="6" max="6" width="39.6640625" style="252" customWidth="1"/>
    <col min="7" max="7" width="0.33203125" style="252" hidden="1" customWidth="1"/>
    <col min="8" max="8" width="34.77734375" style="252" customWidth="1"/>
    <col min="9" max="9" width="35.88671875" style="252" customWidth="1"/>
    <col min="10" max="10" width="37.33203125" style="252" customWidth="1"/>
    <col min="11" max="12" width="38.88671875" style="252" customWidth="1"/>
    <col min="13" max="13" width="36.6640625" style="252" hidden="1" customWidth="1"/>
    <col min="14" max="15" width="43.33203125" style="252" hidden="1" customWidth="1"/>
    <col min="16" max="16" width="36.21875" style="252" customWidth="1"/>
    <col min="17" max="17" width="33.6640625" style="252" hidden="1" customWidth="1"/>
    <col min="18" max="18" width="35.5546875" style="252" hidden="1" customWidth="1"/>
    <col min="19" max="19" width="37.21875" style="252" hidden="1" customWidth="1"/>
    <col min="20" max="20" width="36.6640625" style="252" hidden="1" customWidth="1"/>
    <col min="21" max="21" width="35.5546875" style="252" customWidth="1"/>
    <col min="22" max="22" width="39.6640625" style="252" customWidth="1"/>
    <col min="23" max="23" width="37.21875" style="252" customWidth="1"/>
    <col min="24" max="24" width="41.33203125" style="252" customWidth="1"/>
    <col min="25" max="25" width="38.109375" style="252" customWidth="1"/>
    <col min="26" max="26" width="38.109375" style="252" hidden="1" customWidth="1"/>
    <col min="27" max="27" width="38.88671875" style="252" hidden="1" customWidth="1"/>
    <col min="28" max="28" width="33.109375" style="252" customWidth="1"/>
    <col min="29" max="29" width="38.77734375" style="252" hidden="1" customWidth="1"/>
    <col min="30" max="30" width="36.5546875" style="252" hidden="1" customWidth="1"/>
    <col min="31" max="31" width="36.5546875" style="252" customWidth="1"/>
    <col min="32" max="32" width="35.5546875" style="252" hidden="1" customWidth="1"/>
    <col min="33" max="34" width="38.77734375" style="252" hidden="1" customWidth="1"/>
    <col min="35" max="35" width="37.5546875" style="252" customWidth="1"/>
    <col min="36" max="37" width="38.109375" style="252" customWidth="1"/>
    <col min="38" max="39" width="37.109375" style="252" customWidth="1"/>
    <col min="40" max="40" width="39.6640625" style="252" customWidth="1"/>
    <col min="41" max="41" width="54.88671875" style="216" hidden="1" customWidth="1"/>
    <col min="42" max="42" width="54.77734375" style="118" hidden="1" customWidth="1"/>
    <col min="43" max="43" width="42.21875" style="118" hidden="1" customWidth="1"/>
    <col min="44" max="44" width="68.109375" style="118" hidden="1" customWidth="1"/>
    <col min="45" max="45" width="58.5546875" style="118" hidden="1" customWidth="1"/>
    <col min="46" max="46" width="49.21875" style="118" hidden="1" customWidth="1"/>
    <col min="47" max="47" width="47.44140625" style="118" hidden="1" customWidth="1"/>
    <col min="48" max="48" width="60.6640625" style="118" hidden="1" customWidth="1"/>
    <col min="49" max="49" width="58.44140625" style="118" hidden="1" customWidth="1"/>
    <col min="50" max="55" width="10.6640625" style="118" customWidth="1"/>
    <col min="56" max="16384" width="14.44140625" style="118"/>
  </cols>
  <sheetData>
    <row r="1" spans="1:49" ht="21" customHeight="1" thickBot="1" x14ac:dyDescent="0.45">
      <c r="A1" s="353"/>
      <c r="B1" s="1286"/>
      <c r="C1" s="1286"/>
      <c r="D1" s="354"/>
      <c r="E1" s="366"/>
      <c r="F1" s="366"/>
      <c r="G1" s="250"/>
      <c r="H1" s="250"/>
      <c r="I1" s="250"/>
      <c r="J1" s="250"/>
      <c r="K1" s="250"/>
      <c r="L1" s="250"/>
      <c r="M1" s="250"/>
      <c r="N1" s="250"/>
      <c r="O1" s="250"/>
      <c r="P1" s="367"/>
      <c r="Q1" s="367"/>
      <c r="R1" s="367"/>
      <c r="S1" s="367"/>
      <c r="T1" s="367"/>
      <c r="U1" s="367"/>
      <c r="V1" s="367"/>
      <c r="W1" s="367"/>
      <c r="X1" s="367"/>
      <c r="Y1" s="367"/>
      <c r="Z1" s="367"/>
      <c r="AA1" s="367"/>
      <c r="AB1" s="367"/>
      <c r="AC1" s="436"/>
      <c r="AD1" s="436"/>
      <c r="AE1" s="436"/>
      <c r="AF1" s="250"/>
      <c r="AG1" s="250"/>
      <c r="AH1" s="250"/>
      <c r="AI1" s="250"/>
      <c r="AJ1" s="450"/>
      <c r="AK1" s="450"/>
      <c r="AL1" s="450"/>
      <c r="AM1" s="548"/>
      <c r="AN1" s="548"/>
      <c r="AO1" s="355"/>
      <c r="AP1" s="356"/>
      <c r="AQ1" s="116"/>
      <c r="AR1" s="116"/>
      <c r="AS1" s="116"/>
      <c r="AT1" s="116"/>
      <c r="AU1" s="115"/>
      <c r="AV1" s="116"/>
    </row>
    <row r="2" spans="1:49" ht="223.2" customHeight="1" thickBot="1" x14ac:dyDescent="0.45">
      <c r="A2" s="119"/>
      <c r="B2" s="1287" t="s">
        <v>0</v>
      </c>
      <c r="C2" s="1288"/>
      <c r="D2" s="254" t="s">
        <v>1</v>
      </c>
      <c r="E2" s="255" t="s">
        <v>2</v>
      </c>
      <c r="F2" s="256" t="s">
        <v>3</v>
      </c>
      <c r="G2" s="256" t="s">
        <v>4</v>
      </c>
      <c r="H2" s="256" t="s">
        <v>1867</v>
      </c>
      <c r="I2" s="859" t="s">
        <v>2230</v>
      </c>
      <c r="J2" s="256" t="s">
        <v>5</v>
      </c>
      <c r="K2" s="256" t="s">
        <v>1868</v>
      </c>
      <c r="L2" s="859" t="s">
        <v>2229</v>
      </c>
      <c r="M2" s="865" t="s">
        <v>6</v>
      </c>
      <c r="N2" s="949" t="s">
        <v>1869</v>
      </c>
      <c r="O2" s="1304" t="s">
        <v>2249</v>
      </c>
      <c r="P2" s="954" t="s">
        <v>1841</v>
      </c>
      <c r="Q2" s="867" t="s">
        <v>1870</v>
      </c>
      <c r="R2" s="867" t="s">
        <v>1872</v>
      </c>
      <c r="S2" s="867" t="s">
        <v>1871</v>
      </c>
      <c r="T2" s="867" t="s">
        <v>2134</v>
      </c>
      <c r="U2" s="867" t="s">
        <v>2176</v>
      </c>
      <c r="V2" s="867" t="s">
        <v>1873</v>
      </c>
      <c r="W2" s="1305" t="s">
        <v>2232</v>
      </c>
      <c r="X2" s="859" t="s">
        <v>2231</v>
      </c>
      <c r="Y2" s="859" t="s">
        <v>2233</v>
      </c>
      <c r="Z2" s="859" t="s">
        <v>2234</v>
      </c>
      <c r="AA2" s="868" t="s">
        <v>2235</v>
      </c>
      <c r="AB2" s="1306" t="s">
        <v>2236</v>
      </c>
      <c r="AC2" s="437" t="s">
        <v>7</v>
      </c>
      <c r="AD2" s="857" t="s">
        <v>2237</v>
      </c>
      <c r="AE2" s="1306" t="s">
        <v>2299</v>
      </c>
      <c r="AF2" s="811" t="s">
        <v>8</v>
      </c>
      <c r="AG2" s="871" t="s">
        <v>2238</v>
      </c>
      <c r="AH2" s="1304" t="s">
        <v>2247</v>
      </c>
      <c r="AI2" s="873" t="s">
        <v>1875</v>
      </c>
      <c r="AJ2" s="368" t="s">
        <v>2239</v>
      </c>
      <c r="AK2" s="1307" t="s">
        <v>2300</v>
      </c>
      <c r="AL2" s="879" t="s">
        <v>2240</v>
      </c>
      <c r="AM2" s="811" t="s">
        <v>2241</v>
      </c>
      <c r="AN2" s="1304" t="s">
        <v>2301</v>
      </c>
      <c r="AO2" s="880" t="s">
        <v>2177</v>
      </c>
      <c r="AP2" s="488" t="s">
        <v>1876</v>
      </c>
      <c r="AQ2" s="489" t="s">
        <v>2012</v>
      </c>
      <c r="AR2" s="749" t="s">
        <v>2013</v>
      </c>
      <c r="AS2" s="750" t="s">
        <v>2059</v>
      </c>
      <c r="AT2" s="750" t="s">
        <v>2135</v>
      </c>
      <c r="AU2" s="750" t="s">
        <v>1874</v>
      </c>
      <c r="AV2" s="883" t="s">
        <v>2242</v>
      </c>
      <c r="AW2" s="883" t="s">
        <v>2293</v>
      </c>
    </row>
    <row r="3" spans="1:49" ht="96.6" customHeight="1" thickBot="1" x14ac:dyDescent="0.45">
      <c r="A3" s="223"/>
      <c r="B3" s="1289" t="s">
        <v>1589</v>
      </c>
      <c r="C3" s="1290"/>
      <c r="D3" s="357"/>
      <c r="E3" s="369">
        <v>0.3</v>
      </c>
      <c r="F3" s="370"/>
      <c r="G3" s="371"/>
      <c r="H3" s="371"/>
      <c r="I3" s="863"/>
      <c r="J3" s="1050">
        <f>+(J4+J31+J91+J130+J171)/5</f>
        <v>0.27144914611233045</v>
      </c>
      <c r="K3" s="1050">
        <f>+(K4+K31+K91+K130+K171)/5</f>
        <v>0.37391117816579211</v>
      </c>
      <c r="L3" s="1050">
        <f>+(L4+L31+L91+L130+L171)/5</f>
        <v>0.27891300774404798</v>
      </c>
      <c r="M3" s="372">
        <f>+(M4+M31+M91+M130+M171)/5</f>
        <v>0.1963447624265218</v>
      </c>
      <c r="N3" s="953">
        <f>+(N4+N31+N91+N130+N171)/5</f>
        <v>0.2531166550657612</v>
      </c>
      <c r="O3" s="893"/>
      <c r="P3" s="373"/>
      <c r="Q3" s="373"/>
      <c r="R3" s="373"/>
      <c r="S3" s="373"/>
      <c r="T3" s="373"/>
      <c r="U3" s="373"/>
      <c r="V3" s="373"/>
      <c r="W3" s="373"/>
      <c r="X3" s="380"/>
      <c r="Y3" s="380"/>
      <c r="Z3" s="380"/>
      <c r="AA3" s="380"/>
      <c r="AB3" s="380"/>
      <c r="AC3" s="655">
        <f>+(AC4+AC31+AC91+AC130+AC171)/5</f>
        <v>0.84423613286457644</v>
      </c>
      <c r="AD3" s="655">
        <f>+(AD4+AD31+AD91+AD130+AD171)/5</f>
        <v>0.84734962769466726</v>
      </c>
      <c r="AE3" s="655">
        <f>+(AE4+AE31+AE91+AE130+AE171)/5</f>
        <v>0.41726944081404749</v>
      </c>
      <c r="AF3" s="656">
        <f>+F4+F31+F91+F130+F171</f>
        <v>0.66052564143691994</v>
      </c>
      <c r="AG3" s="657">
        <f>+H4+H31+H91+H130+H171</f>
        <v>0.69622572056095555</v>
      </c>
      <c r="AH3" s="1308">
        <f>+I4+I31+I91+I130+I171</f>
        <v>0.2948458590847034</v>
      </c>
      <c r="AI3" s="874">
        <f>+(AI4+AI31+AI91+AI130+AI171)/5</f>
        <v>0.25488092957220809</v>
      </c>
      <c r="AJ3" s="714">
        <v>0.52039961510956811</v>
      </c>
      <c r="AK3" s="714">
        <f>+(AK4+AK31+AK91+AK130+AK171)/5</f>
        <v>0.60343480832577168</v>
      </c>
      <c r="AL3" s="658">
        <f>+(AL4+AL31+AL91+AL130+AL171)/5</f>
        <v>0.21296825159703686</v>
      </c>
      <c r="AM3" s="661">
        <f>+(AM4*E4)+(AM31*E31)+(AM91*E91)+(AM130*E130)+(AM171*E171)</f>
        <v>0.47908249879234166</v>
      </c>
      <c r="AN3" s="661">
        <f>+(AN4*E4)+(AN31*E31)+(AN91*E91)+(AN130*E130)+(AN171*E171)</f>
        <v>0.56928056589821929</v>
      </c>
      <c r="AO3" s="549"/>
      <c r="AP3" s="357"/>
      <c r="AQ3" s="357"/>
      <c r="AR3" s="357"/>
      <c r="AS3" s="357"/>
      <c r="AT3" s="804"/>
      <c r="AU3" s="158"/>
      <c r="AV3" s="838"/>
    </row>
    <row r="4" spans="1:49" ht="64.5" customHeight="1" thickBot="1" x14ac:dyDescent="0.45">
      <c r="A4" s="223"/>
      <c r="B4" s="1291" t="s">
        <v>9</v>
      </c>
      <c r="C4" s="1292"/>
      <c r="D4" s="358"/>
      <c r="E4" s="374">
        <v>0.25</v>
      </c>
      <c r="F4" s="375">
        <f>+E4*AF4</f>
        <v>0.13864386792452829</v>
      </c>
      <c r="G4" s="371"/>
      <c r="H4" s="653">
        <f>E4*AG4</f>
        <v>0.1292260512324746</v>
      </c>
      <c r="I4" s="653">
        <f>+AH4*E4</f>
        <v>1.937789619638345E-2</v>
      </c>
      <c r="J4" s="892">
        <f>+(J5+J12+J16+J23+J26)/5</f>
        <v>0.40844696306703598</v>
      </c>
      <c r="K4" s="892">
        <f>+(K5+K12+K16+K23+K26)/5</f>
        <v>0.48443538520711044</v>
      </c>
      <c r="L4" s="376">
        <f>+(L5+L12+L16+L23+L26)/5</f>
        <v>0.24186410221274723</v>
      </c>
      <c r="M4" s="377">
        <f>+(M5+M12+M16+M23+M26)/5</f>
        <v>0.35458117744760276</v>
      </c>
      <c r="N4" s="451">
        <f>+(N5+N12+N16+N23+N26)/5</f>
        <v>0.27871913155614692</v>
      </c>
      <c r="O4" s="955"/>
      <c r="P4" s="378"/>
      <c r="Q4" s="378"/>
      <c r="R4" s="438"/>
      <c r="S4" s="438"/>
      <c r="T4" s="438"/>
      <c r="U4" s="438"/>
      <c r="V4" s="438"/>
      <c r="W4" s="438"/>
      <c r="X4" s="380"/>
      <c r="Y4" s="380"/>
      <c r="Z4" s="380"/>
      <c r="AA4" s="380"/>
      <c r="AB4" s="380"/>
      <c r="AC4" s="376">
        <f>+(AC5+AC12+AC16+AC23+AC26)/5</f>
        <v>0.82393081761006282</v>
      </c>
      <c r="AD4" s="376">
        <f>+(AD5+AD12+AD16+AD23+AD26)/5</f>
        <v>0.77851983833052174</v>
      </c>
      <c r="AE4" s="376">
        <f>+(AE5+AE12+AE16+AE23+AE26)/5</f>
        <v>0.21202316957106757</v>
      </c>
      <c r="AF4" s="377">
        <f>+AF5+AF12+AF16+AF23+AF26</f>
        <v>0.55457547169811316</v>
      </c>
      <c r="AG4" s="451">
        <f>+AG5+AG12+AG16+AG23+AG26</f>
        <v>0.51690420492989841</v>
      </c>
      <c r="AH4" s="881">
        <f>+AH5+AH12+AH16+AH23+AH26</f>
        <v>7.7511584785533799E-2</v>
      </c>
      <c r="AI4" s="875">
        <f>+(AI5+AI12+AI16+AI23+AI26)/5</f>
        <v>0.40033301822466277</v>
      </c>
      <c r="AJ4" s="452">
        <v>0.64063194152581171</v>
      </c>
      <c r="AK4" s="452">
        <f>+(AK5+AK12+AK16+AK23+AK26)/5</f>
        <v>0.67428194152581178</v>
      </c>
      <c r="AL4" s="451">
        <f>+AL5+AL12+AL16+AL23+AL26</f>
        <v>0.34369348640612268</v>
      </c>
      <c r="AM4" s="555">
        <f>+(AM5*E5)+(AM12*E12)+(AM16*E16)+(AM23*E23)+(AM26*E26)</f>
        <v>0.56618942768161484</v>
      </c>
      <c r="AN4" s="555">
        <f>+(AN5*E5)+(AN12*E12)+(AN16*E16)+(AN23*E23)+(AN26*E26)</f>
        <v>0.61677484434828145</v>
      </c>
      <c r="AO4" s="128"/>
      <c r="AP4" s="359"/>
      <c r="AQ4" s="359"/>
      <c r="AR4" s="359"/>
      <c r="AS4" s="359"/>
      <c r="AT4" s="359"/>
      <c r="AU4" s="158"/>
      <c r="AV4" s="116"/>
    </row>
    <row r="5" spans="1:49" ht="123.6" customHeight="1" thickBot="1" x14ac:dyDescent="0.4">
      <c r="A5" s="223"/>
      <c r="B5" s="1293" t="s">
        <v>1590</v>
      </c>
      <c r="C5" s="1294"/>
      <c r="D5" s="360"/>
      <c r="E5" s="379">
        <v>0.35</v>
      </c>
      <c r="F5" s="380"/>
      <c r="G5" s="380"/>
      <c r="H5" s="380"/>
      <c r="I5" s="380"/>
      <c r="J5" s="381">
        <f>+AVERAGE(J6:J11)</f>
        <v>0.37666666666666665</v>
      </c>
      <c r="K5" s="381">
        <f>+AVERAGE(K6:K11)</f>
        <v>0.38750000000000001</v>
      </c>
      <c r="L5" s="381">
        <f>+AVERAGE(L6:L11)</f>
        <v>0.15625</v>
      </c>
      <c r="M5" s="381">
        <f>+M6+M7+M8+M9+M10+M11</f>
        <v>0.26083333333333331</v>
      </c>
      <c r="N5" s="401">
        <f>+N6+N7+N8+N9+N10+N11</f>
        <v>0.17749999999999999</v>
      </c>
      <c r="O5" s="453"/>
      <c r="P5" s="388"/>
      <c r="Q5" s="388"/>
      <c r="R5" s="388"/>
      <c r="S5" s="388"/>
      <c r="T5" s="388"/>
      <c r="U5" s="388"/>
      <c r="V5" s="388"/>
      <c r="W5" s="388"/>
      <c r="X5" s="380"/>
      <c r="Y5" s="380"/>
      <c r="Z5" s="380"/>
      <c r="AA5" s="380"/>
      <c r="AB5" s="380"/>
      <c r="AC5" s="441">
        <f>+AVERAGE(AC6:AC11)</f>
        <v>0.6</v>
      </c>
      <c r="AD5" s="441">
        <f>+AVERAGE(AD6:AD11)</f>
        <v>0.75</v>
      </c>
      <c r="AE5" s="441">
        <f>+AVERAGE(AE6:AE11)</f>
        <v>0.6</v>
      </c>
      <c r="AF5" s="441">
        <f>+(AF6+AF7+AF8+AF9+AF10+AF11)*E5</f>
        <v>0.17499999999999999</v>
      </c>
      <c r="AG5" s="460">
        <f>+(AG6+AG7+AG8+AG9+AG10+AG11)*E5</f>
        <v>0.1925</v>
      </c>
      <c r="AH5" s="882">
        <f>+(AH6+AH7+AH8+AH9+AH10+AH11)*E5</f>
        <v>3.15E-2</v>
      </c>
      <c r="AI5" s="876">
        <f>+AVERAGE(AI6:AI11)</f>
        <v>0.3</v>
      </c>
      <c r="AJ5" s="453">
        <v>0.41</v>
      </c>
      <c r="AK5" s="453">
        <f>+AVERAGE(AK6:AK11)</f>
        <v>0.4770833333333333</v>
      </c>
      <c r="AL5" s="401">
        <f>+(AL6+AL7+AL8+AL9+AL10+AL11)*E5</f>
        <v>0.109375</v>
      </c>
      <c r="AM5" s="453">
        <f>+(AM6+AM7+AM8+AM9+AM10+AM11)</f>
        <v>0.39</v>
      </c>
      <c r="AN5" s="453">
        <f>+(AN6+AN7+AN8+AN9+AN10+AN11)</f>
        <v>0.50562499999999999</v>
      </c>
      <c r="AO5" s="136"/>
      <c r="AP5" s="359"/>
      <c r="AQ5" s="359"/>
      <c r="AR5" s="359"/>
      <c r="AS5" s="359"/>
      <c r="AT5" s="359"/>
      <c r="AU5" s="158"/>
      <c r="AV5" s="158"/>
    </row>
    <row r="6" spans="1:49" ht="101.4" customHeight="1" thickBot="1" x14ac:dyDescent="0.4">
      <c r="A6" s="223"/>
      <c r="B6" s="1147" t="s">
        <v>10</v>
      </c>
      <c r="C6" s="1147" t="s">
        <v>11</v>
      </c>
      <c r="D6" s="361" t="s">
        <v>1554</v>
      </c>
      <c r="E6" s="269">
        <v>0.25</v>
      </c>
      <c r="F6" s="383">
        <v>3</v>
      </c>
      <c r="G6" s="384">
        <v>1</v>
      </c>
      <c r="H6" s="385"/>
      <c r="I6" s="385">
        <v>0</v>
      </c>
      <c r="J6" s="386">
        <f>+G6/F6</f>
        <v>0.33333333333333331</v>
      </c>
      <c r="K6" s="386"/>
      <c r="L6" s="389"/>
      <c r="M6" s="386">
        <f>+(G6/F6)*E6</f>
        <v>8.3333333333333329E-2</v>
      </c>
      <c r="N6" s="402"/>
      <c r="O6" s="403"/>
      <c r="P6" s="385">
        <v>3</v>
      </c>
      <c r="Q6" s="439">
        <v>0</v>
      </c>
      <c r="R6" s="439"/>
      <c r="S6" s="439"/>
      <c r="T6" s="439">
        <v>0</v>
      </c>
      <c r="U6" s="439">
        <v>0</v>
      </c>
      <c r="V6" s="440">
        <f>+Q6+R6+S6+T6+U6</f>
        <v>0</v>
      </c>
      <c r="W6" s="385">
        <f>+V6+P6+AB6</f>
        <v>3</v>
      </c>
      <c r="X6" s="439">
        <v>0</v>
      </c>
      <c r="Y6" s="385"/>
      <c r="Z6" s="385"/>
      <c r="AA6" s="385"/>
      <c r="AB6" s="385"/>
      <c r="AC6" s="386">
        <v>1</v>
      </c>
      <c r="AD6" s="734"/>
      <c r="AE6" s="734"/>
      <c r="AF6" s="735">
        <f>+AC6*E6</f>
        <v>0.25</v>
      </c>
      <c r="AG6" s="736"/>
      <c r="AH6" s="1309"/>
      <c r="AI6" s="1044">
        <f>+P6/F6</f>
        <v>1</v>
      </c>
      <c r="AJ6" s="1045">
        <v>1</v>
      </c>
      <c r="AK6" s="1045">
        <f>+W6/F6</f>
        <v>1</v>
      </c>
      <c r="AL6" s="457">
        <f>+AI6*E6</f>
        <v>0.25</v>
      </c>
      <c r="AM6" s="458">
        <f>+AJ6*E6</f>
        <v>0.25</v>
      </c>
      <c r="AN6" s="1310">
        <f>+AK6*E6</f>
        <v>0.25</v>
      </c>
      <c r="AO6" s="142" t="s">
        <v>1588</v>
      </c>
      <c r="AP6" s="628" t="s">
        <v>1956</v>
      </c>
      <c r="AQ6" s="527" t="s">
        <v>1986</v>
      </c>
      <c r="AR6" s="634" t="s">
        <v>2008</v>
      </c>
      <c r="AS6" s="634" t="s">
        <v>2106</v>
      </c>
      <c r="AT6" s="634" t="s">
        <v>2137</v>
      </c>
      <c r="AU6" s="634" t="s">
        <v>2190</v>
      </c>
      <c r="AV6" s="634" t="s">
        <v>1887</v>
      </c>
    </row>
    <row r="7" spans="1:49" ht="125.4" customHeight="1" thickBot="1" x14ac:dyDescent="0.4">
      <c r="A7" s="362"/>
      <c r="B7" s="1147" t="s">
        <v>13</v>
      </c>
      <c r="C7" s="1147" t="s">
        <v>14</v>
      </c>
      <c r="D7" s="361" t="s">
        <v>1557</v>
      </c>
      <c r="E7" s="269">
        <v>0.05</v>
      </c>
      <c r="F7" s="383">
        <v>4</v>
      </c>
      <c r="G7" s="384">
        <v>1</v>
      </c>
      <c r="H7" s="385">
        <v>1</v>
      </c>
      <c r="I7" s="385">
        <v>0.25</v>
      </c>
      <c r="J7" s="386">
        <f>+G7/F7</f>
        <v>0.25</v>
      </c>
      <c r="K7" s="386">
        <f>+H7/F7</f>
        <v>0.25</v>
      </c>
      <c r="L7" s="389">
        <f>+I7/F7</f>
        <v>6.25E-2</v>
      </c>
      <c r="M7" s="386">
        <f>+(G7/F7)*E7</f>
        <v>1.2500000000000001E-2</v>
      </c>
      <c r="N7" s="402">
        <f>+(H7/F7)*E7</f>
        <v>1.2500000000000001E-2</v>
      </c>
      <c r="O7" s="403"/>
      <c r="P7" s="385">
        <v>1</v>
      </c>
      <c r="Q7" s="439">
        <v>1</v>
      </c>
      <c r="R7" s="439">
        <v>0</v>
      </c>
      <c r="S7" s="439">
        <v>0</v>
      </c>
      <c r="T7" s="439">
        <v>0</v>
      </c>
      <c r="U7" s="439">
        <v>0</v>
      </c>
      <c r="V7" s="440">
        <f t="shared" ref="V7:V11" si="0">+Q7+R7+S7+T7+U7</f>
        <v>1</v>
      </c>
      <c r="W7" s="385">
        <f>+V7+P7+AB7</f>
        <v>3.25</v>
      </c>
      <c r="X7" s="439">
        <v>0.25</v>
      </c>
      <c r="Y7" s="439">
        <v>1</v>
      </c>
      <c r="Z7" s="385"/>
      <c r="AA7" s="385"/>
      <c r="AB7" s="385">
        <f>+X7+Y7+Z7+AA7</f>
        <v>1.25</v>
      </c>
      <c r="AC7" s="386">
        <f>+(P7/G7)</f>
        <v>1</v>
      </c>
      <c r="AD7" s="734">
        <f>+V7/H7</f>
        <v>1</v>
      </c>
      <c r="AE7" s="734">
        <v>1</v>
      </c>
      <c r="AF7" s="735">
        <f>+AC7*E7</f>
        <v>0.05</v>
      </c>
      <c r="AG7" s="736">
        <f>+AD7*E7</f>
        <v>0.05</v>
      </c>
      <c r="AH7" s="884">
        <f>+AE7*E7</f>
        <v>0.05</v>
      </c>
      <c r="AI7" s="1044">
        <f>+P7/F7</f>
        <v>0.25</v>
      </c>
      <c r="AJ7" s="1045">
        <v>0.5</v>
      </c>
      <c r="AK7" s="1045">
        <f>+W7/F7</f>
        <v>0.8125</v>
      </c>
      <c r="AL7" s="457">
        <f>+AI7*E7</f>
        <v>1.2500000000000001E-2</v>
      </c>
      <c r="AM7" s="458">
        <f>+AJ7*E7</f>
        <v>2.5000000000000001E-2</v>
      </c>
      <c r="AN7" s="1310">
        <f>+AK7*E7</f>
        <v>4.0625000000000001E-2</v>
      </c>
      <c r="AO7" s="142" t="s">
        <v>1844</v>
      </c>
      <c r="AP7" s="527" t="s">
        <v>1886</v>
      </c>
      <c r="AQ7" s="527" t="s">
        <v>1986</v>
      </c>
      <c r="AR7" s="634" t="s">
        <v>2008</v>
      </c>
      <c r="AS7" s="634" t="s">
        <v>2106</v>
      </c>
      <c r="AT7" s="634" t="s">
        <v>2137</v>
      </c>
      <c r="AU7" s="885" t="s">
        <v>2221</v>
      </c>
      <c r="AV7" s="543" t="s">
        <v>2261</v>
      </c>
      <c r="AW7" s="543" t="s">
        <v>1969</v>
      </c>
    </row>
    <row r="8" spans="1:49" ht="101.4" customHeight="1" thickBot="1" x14ac:dyDescent="0.4">
      <c r="A8" s="223"/>
      <c r="B8" s="1147" t="s">
        <v>15</v>
      </c>
      <c r="C8" s="1147" t="s">
        <v>16</v>
      </c>
      <c r="D8" s="361" t="s">
        <v>12</v>
      </c>
      <c r="E8" s="269">
        <v>0.2</v>
      </c>
      <c r="F8" s="383">
        <v>20</v>
      </c>
      <c r="G8" s="384">
        <v>5</v>
      </c>
      <c r="H8" s="385">
        <v>5</v>
      </c>
      <c r="I8" s="385">
        <v>5</v>
      </c>
      <c r="J8" s="386">
        <f>+G8/F8</f>
        <v>0.25</v>
      </c>
      <c r="K8" s="386">
        <f t="shared" ref="K8:K11" si="1">+H8/F8</f>
        <v>0.25</v>
      </c>
      <c r="L8" s="389">
        <f t="shared" ref="L8:L24" si="2">+I8/F8</f>
        <v>0.25</v>
      </c>
      <c r="M8" s="386">
        <f>+(G8/F8)*E8</f>
        <v>0.05</v>
      </c>
      <c r="N8" s="402">
        <f>+(H8/F8)*E8</f>
        <v>0.05</v>
      </c>
      <c r="O8" s="403"/>
      <c r="P8" s="385">
        <v>5</v>
      </c>
      <c r="Q8" s="439">
        <v>0</v>
      </c>
      <c r="R8" s="439">
        <v>2</v>
      </c>
      <c r="S8" s="439">
        <v>1</v>
      </c>
      <c r="T8" s="439">
        <v>2</v>
      </c>
      <c r="U8" s="439">
        <v>0</v>
      </c>
      <c r="V8" s="440">
        <f t="shared" si="0"/>
        <v>5</v>
      </c>
      <c r="W8" s="385">
        <f t="shared" ref="W8:W10" si="3">+V8+P8+AB8</f>
        <v>11</v>
      </c>
      <c r="X8" s="439">
        <v>1</v>
      </c>
      <c r="Y8" s="439">
        <v>0</v>
      </c>
      <c r="Z8" s="385"/>
      <c r="AA8" s="385"/>
      <c r="AB8" s="385">
        <f t="shared" ref="AB8:AB30" si="4">+X8+Y8+Z8+AA8</f>
        <v>1</v>
      </c>
      <c r="AC8" s="386">
        <f>+(P8/G8)</f>
        <v>1</v>
      </c>
      <c r="AD8" s="734">
        <f>+V8/H8</f>
        <v>1</v>
      </c>
      <c r="AE8" s="734">
        <f t="shared" ref="AE8:AE30" si="5">+AB8/I8</f>
        <v>0.2</v>
      </c>
      <c r="AF8" s="735">
        <f>+AC8*E8</f>
        <v>0.2</v>
      </c>
      <c r="AG8" s="736">
        <f t="shared" ref="AG8" si="6">+AD8*E8</f>
        <v>0.2</v>
      </c>
      <c r="AH8" s="884">
        <f t="shared" ref="AH8" si="7">+AE8*E8</f>
        <v>4.0000000000000008E-2</v>
      </c>
      <c r="AI8" s="1044">
        <f>+P8/F8</f>
        <v>0.25</v>
      </c>
      <c r="AJ8" s="1045">
        <v>0.5</v>
      </c>
      <c r="AK8" s="1045">
        <v>1</v>
      </c>
      <c r="AL8" s="457">
        <f>+AI8*E8</f>
        <v>0.05</v>
      </c>
      <c r="AM8" s="458">
        <f>+AJ8*E8</f>
        <v>0.1</v>
      </c>
      <c r="AN8" s="1310">
        <f>+AK8*E8</f>
        <v>0.2</v>
      </c>
      <c r="AO8" s="142" t="s">
        <v>1844</v>
      </c>
      <c r="AP8" s="538" t="s">
        <v>1908</v>
      </c>
      <c r="AQ8" s="527" t="s">
        <v>1986</v>
      </c>
      <c r="AR8" s="634" t="s">
        <v>2008</v>
      </c>
      <c r="AS8" s="538" t="s">
        <v>1859</v>
      </c>
      <c r="AT8" s="634" t="s">
        <v>2137</v>
      </c>
      <c r="AU8" s="886" t="s">
        <v>2190</v>
      </c>
      <c r="AV8" s="543" t="s">
        <v>2261</v>
      </c>
      <c r="AW8" s="634" t="s">
        <v>2294</v>
      </c>
    </row>
    <row r="9" spans="1:49" ht="101.4" customHeight="1" thickBot="1" x14ac:dyDescent="0.4">
      <c r="A9" s="223"/>
      <c r="B9" s="1147" t="s">
        <v>17</v>
      </c>
      <c r="C9" s="1147" t="s">
        <v>18</v>
      </c>
      <c r="D9" s="361" t="s">
        <v>1554</v>
      </c>
      <c r="E9" s="269">
        <v>0.1</v>
      </c>
      <c r="F9" s="383">
        <v>1</v>
      </c>
      <c r="G9" s="384">
        <v>1</v>
      </c>
      <c r="H9" s="385">
        <v>1</v>
      </c>
      <c r="I9" s="385">
        <v>0</v>
      </c>
      <c r="J9" s="386">
        <f>+G9/F9</f>
        <v>1</v>
      </c>
      <c r="K9" s="386">
        <f t="shared" si="1"/>
        <v>1</v>
      </c>
      <c r="L9" s="389"/>
      <c r="M9" s="386">
        <f>+(G9/F9)*E9</f>
        <v>0.1</v>
      </c>
      <c r="N9" s="402">
        <f>+(H9/F9)*E9</f>
        <v>0.1</v>
      </c>
      <c r="O9" s="403"/>
      <c r="P9" s="385">
        <v>0</v>
      </c>
      <c r="Q9" s="439">
        <v>0</v>
      </c>
      <c r="R9" s="439">
        <v>0</v>
      </c>
      <c r="S9" s="439">
        <v>0</v>
      </c>
      <c r="T9" s="439">
        <v>0</v>
      </c>
      <c r="U9" s="439">
        <v>0</v>
      </c>
      <c r="V9" s="440">
        <f t="shared" si="0"/>
        <v>0</v>
      </c>
      <c r="W9" s="385">
        <f t="shared" si="3"/>
        <v>0</v>
      </c>
      <c r="X9" s="439">
        <v>0</v>
      </c>
      <c r="Y9" s="385"/>
      <c r="Z9" s="385"/>
      <c r="AA9" s="385"/>
      <c r="AB9" s="385">
        <f t="shared" si="4"/>
        <v>0</v>
      </c>
      <c r="AC9" s="386">
        <f>+(P9/G9)</f>
        <v>0</v>
      </c>
      <c r="AD9" s="734">
        <f>+V9/H9</f>
        <v>0</v>
      </c>
      <c r="AE9" s="734"/>
      <c r="AF9" s="735">
        <f>+AC9*E9</f>
        <v>0</v>
      </c>
      <c r="AG9" s="736">
        <f>+AD9*E9</f>
        <v>0</v>
      </c>
      <c r="AH9" s="884"/>
      <c r="AI9" s="1044">
        <f>+P9/F9</f>
        <v>0</v>
      </c>
      <c r="AJ9" s="1045">
        <v>0</v>
      </c>
      <c r="AK9" s="1045">
        <f t="shared" ref="AK9" si="8">+W9/F9</f>
        <v>0</v>
      </c>
      <c r="AL9" s="457">
        <f>+AI9*E9</f>
        <v>0</v>
      </c>
      <c r="AM9" s="458">
        <f>+AJ9*E9</f>
        <v>0</v>
      </c>
      <c r="AN9" s="1310">
        <f>+AK9*E9</f>
        <v>0</v>
      </c>
      <c r="AO9" s="142" t="s">
        <v>1844</v>
      </c>
      <c r="AP9" s="527" t="s">
        <v>1886</v>
      </c>
      <c r="AQ9" s="527" t="s">
        <v>1986</v>
      </c>
      <c r="AR9" s="634" t="s">
        <v>2008</v>
      </c>
      <c r="AS9" s="634" t="s">
        <v>2106</v>
      </c>
      <c r="AT9" s="359"/>
      <c r="AU9" s="886" t="s">
        <v>2190</v>
      </c>
      <c r="AV9" s="634" t="s">
        <v>1887</v>
      </c>
    </row>
    <row r="10" spans="1:49" ht="121.2" customHeight="1" thickBot="1" x14ac:dyDescent="0.4">
      <c r="A10" s="223"/>
      <c r="B10" s="1147" t="s">
        <v>19</v>
      </c>
      <c r="C10" s="1147" t="s">
        <v>20</v>
      </c>
      <c r="D10" s="361" t="s">
        <v>12</v>
      </c>
      <c r="E10" s="269">
        <v>0.1</v>
      </c>
      <c r="F10" s="383">
        <v>1</v>
      </c>
      <c r="G10" s="384">
        <v>0</v>
      </c>
      <c r="H10" s="385">
        <v>0</v>
      </c>
      <c r="I10" s="385">
        <v>0</v>
      </c>
      <c r="J10" s="386"/>
      <c r="K10" s="386"/>
      <c r="L10" s="389"/>
      <c r="M10" s="386"/>
      <c r="N10" s="402"/>
      <c r="O10" s="403"/>
      <c r="P10" s="385"/>
      <c r="Q10" s="439"/>
      <c r="R10" s="439"/>
      <c r="S10" s="439"/>
      <c r="T10" s="439"/>
      <c r="U10" s="439"/>
      <c r="V10" s="440">
        <f t="shared" si="0"/>
        <v>0</v>
      </c>
      <c r="W10" s="385">
        <f t="shared" si="3"/>
        <v>0</v>
      </c>
      <c r="X10" s="439"/>
      <c r="Y10" s="439">
        <v>0</v>
      </c>
      <c r="Z10" s="385"/>
      <c r="AA10" s="385"/>
      <c r="AB10" s="385">
        <f t="shared" si="4"/>
        <v>0</v>
      </c>
      <c r="AC10" s="386"/>
      <c r="AD10" s="734"/>
      <c r="AE10" s="734"/>
      <c r="AF10" s="735"/>
      <c r="AG10" s="736">
        <f t="shared" ref="AG10:AG11" si="9">+AD10*E10</f>
        <v>0</v>
      </c>
      <c r="AH10" s="884"/>
      <c r="AI10" s="1044"/>
      <c r="AJ10" s="1045"/>
      <c r="AK10" s="1045">
        <v>0</v>
      </c>
      <c r="AL10" s="457">
        <v>0</v>
      </c>
      <c r="AM10" s="458">
        <v>0</v>
      </c>
      <c r="AN10" s="1310">
        <v>0</v>
      </c>
      <c r="AO10" s="142" t="s">
        <v>1844</v>
      </c>
      <c r="AP10" s="629" t="s">
        <v>1877</v>
      </c>
      <c r="AQ10" s="527" t="s">
        <v>1986</v>
      </c>
      <c r="AR10" s="634" t="s">
        <v>2008</v>
      </c>
      <c r="AS10" s="732" t="s">
        <v>2104</v>
      </c>
      <c r="AT10" s="634" t="s">
        <v>2137</v>
      </c>
      <c r="AU10" s="886" t="s">
        <v>2190</v>
      </c>
      <c r="AV10" s="634" t="s">
        <v>1887</v>
      </c>
      <c r="AW10" s="634" t="s">
        <v>2294</v>
      </c>
    </row>
    <row r="11" spans="1:49" ht="162.6" customHeight="1" thickBot="1" x14ac:dyDescent="0.4">
      <c r="A11" s="223"/>
      <c r="B11" s="1147" t="s">
        <v>21</v>
      </c>
      <c r="C11" s="1147" t="s">
        <v>22</v>
      </c>
      <c r="D11" s="361" t="s">
        <v>1864</v>
      </c>
      <c r="E11" s="269">
        <v>0.3</v>
      </c>
      <c r="F11" s="383">
        <v>40</v>
      </c>
      <c r="G11" s="384">
        <v>2</v>
      </c>
      <c r="H11" s="385">
        <v>2</v>
      </c>
      <c r="I11" s="385">
        <v>0</v>
      </c>
      <c r="J11" s="386">
        <f>+G11/F11</f>
        <v>0.05</v>
      </c>
      <c r="K11" s="386">
        <f t="shared" si="1"/>
        <v>0.05</v>
      </c>
      <c r="L11" s="389"/>
      <c r="M11" s="386">
        <f>+(G11/F11)*E11</f>
        <v>1.4999999999999999E-2</v>
      </c>
      <c r="N11" s="402">
        <f>+(H11/F11)*E11</f>
        <v>1.4999999999999999E-2</v>
      </c>
      <c r="O11" s="408"/>
      <c r="P11" s="385">
        <v>0</v>
      </c>
      <c r="Q11" s="439">
        <v>0</v>
      </c>
      <c r="R11" s="439">
        <v>0</v>
      </c>
      <c r="S11" s="439">
        <v>2</v>
      </c>
      <c r="T11" s="439">
        <v>0</v>
      </c>
      <c r="U11" s="439">
        <v>0</v>
      </c>
      <c r="V11" s="440">
        <f t="shared" si="0"/>
        <v>2</v>
      </c>
      <c r="W11" s="385">
        <f>+V11+P11+AB11</f>
        <v>2</v>
      </c>
      <c r="X11" s="439">
        <v>0</v>
      </c>
      <c r="Y11" s="385"/>
      <c r="Z11" s="385"/>
      <c r="AA11" s="385"/>
      <c r="AB11" s="385">
        <f t="shared" si="4"/>
        <v>0</v>
      </c>
      <c r="AC11" s="386">
        <f>+(P11/G11)</f>
        <v>0</v>
      </c>
      <c r="AD11" s="734">
        <f>+V11/H11</f>
        <v>1</v>
      </c>
      <c r="AE11" s="734"/>
      <c r="AF11" s="735">
        <f>+AC11*E11</f>
        <v>0</v>
      </c>
      <c r="AG11" s="736">
        <f t="shared" si="9"/>
        <v>0.3</v>
      </c>
      <c r="AH11" s="1311"/>
      <c r="AI11" s="1046">
        <f>+P11/F11</f>
        <v>0</v>
      </c>
      <c r="AJ11" s="1312">
        <v>0.05</v>
      </c>
      <c r="AK11" s="1045">
        <f>+W11/F11</f>
        <v>0.05</v>
      </c>
      <c r="AL11" s="457">
        <f>+AI11*E11</f>
        <v>0</v>
      </c>
      <c r="AM11" s="458">
        <f>+AJ11*E11</f>
        <v>1.4999999999999999E-2</v>
      </c>
      <c r="AN11" s="1310">
        <f>+AK11*E11</f>
        <v>1.4999999999999999E-2</v>
      </c>
      <c r="AO11" s="553" t="s">
        <v>1844</v>
      </c>
      <c r="AP11" s="540" t="s">
        <v>1886</v>
      </c>
      <c r="AQ11" s="527" t="s">
        <v>1986</v>
      </c>
      <c r="AR11" s="634" t="s">
        <v>2050</v>
      </c>
      <c r="AS11" s="538" t="s">
        <v>1859</v>
      </c>
      <c r="AT11" s="634" t="s">
        <v>2137</v>
      </c>
      <c r="AU11" s="886" t="s">
        <v>2190</v>
      </c>
      <c r="AV11" s="557" t="s">
        <v>2260</v>
      </c>
    </row>
    <row r="12" spans="1:49" ht="144" customHeight="1" thickBot="1" x14ac:dyDescent="0.45">
      <c r="A12" s="223"/>
      <c r="B12" s="1295" t="s">
        <v>1591</v>
      </c>
      <c r="C12" s="1292"/>
      <c r="D12" s="361"/>
      <c r="E12" s="387">
        <v>0.15</v>
      </c>
      <c r="F12" s="382"/>
      <c r="G12" s="382"/>
      <c r="H12" s="388"/>
      <c r="I12" s="388"/>
      <c r="J12" s="381">
        <v>0.66600000000000004</v>
      </c>
      <c r="K12" s="381">
        <f>+AVERAGE(K13:K15)</f>
        <v>1</v>
      </c>
      <c r="L12" s="381">
        <f>+AVERAGE(L13:L15)/3</f>
        <v>0.33333333333333331</v>
      </c>
      <c r="M12" s="381">
        <f>+M13+M14+M15</f>
        <v>0.35</v>
      </c>
      <c r="N12" s="381">
        <f>+N13+N14+N15</f>
        <v>0.35</v>
      </c>
      <c r="O12" s="410"/>
      <c r="P12" s="382"/>
      <c r="Q12" s="388"/>
      <c r="R12" s="388"/>
      <c r="S12" s="388"/>
      <c r="T12" s="388"/>
      <c r="U12" s="833"/>
      <c r="V12" s="388"/>
      <c r="W12" s="388"/>
      <c r="X12" s="388"/>
      <c r="Y12" s="388"/>
      <c r="Z12" s="388"/>
      <c r="AA12" s="388"/>
      <c r="AB12" s="388"/>
      <c r="AC12" s="441">
        <f>+AVERAGE(AC13:AC15)</f>
        <v>1</v>
      </c>
      <c r="AD12" s="441">
        <f>+AVERAGE(AD13:AD15)</f>
        <v>0.5</v>
      </c>
      <c r="AE12" s="441">
        <f>+AVERAGE(AE13:AE15)</f>
        <v>0</v>
      </c>
      <c r="AF12" s="441">
        <f>+(AF13+AF14+AF15)*E12</f>
        <v>5.2499999999999998E-2</v>
      </c>
      <c r="AG12" s="460">
        <f>+(AG13+AG14+AG15)*E12</f>
        <v>0</v>
      </c>
      <c r="AH12" s="882">
        <f>+(AH13+AH14+AH15)*E12</f>
        <v>0</v>
      </c>
      <c r="AI12" s="454">
        <v>0.66600000000000004</v>
      </c>
      <c r="AJ12" s="455">
        <v>0.66666666666666663</v>
      </c>
      <c r="AK12" s="455">
        <f>+AVERAGE(AK13:AK15)</f>
        <v>0.66666666666666663</v>
      </c>
      <c r="AL12" s="401">
        <f>+(AL13+AL14+AL15)*E12</f>
        <v>9.7499999999999989E-2</v>
      </c>
      <c r="AM12" s="453">
        <f>+(AM13+AM14+AM15)</f>
        <v>0.64999999999999991</v>
      </c>
      <c r="AN12" s="890">
        <f>+(AN13+AN14+AN15)</f>
        <v>0.64999999999999991</v>
      </c>
      <c r="AO12" s="550"/>
      <c r="AP12" s="630" t="s">
        <v>1909</v>
      </c>
      <c r="AQ12" s="359"/>
      <c r="AR12" s="359"/>
      <c r="AS12" s="359"/>
      <c r="AT12" s="359"/>
      <c r="AU12" s="158"/>
      <c r="AV12" s="887"/>
    </row>
    <row r="13" spans="1:49" ht="118.2" customHeight="1" thickBot="1" x14ac:dyDescent="0.4">
      <c r="A13" s="223"/>
      <c r="B13" s="1147" t="s">
        <v>23</v>
      </c>
      <c r="C13" s="1147" t="s">
        <v>24</v>
      </c>
      <c r="D13" s="361" t="s">
        <v>12</v>
      </c>
      <c r="E13" s="269">
        <v>0.35</v>
      </c>
      <c r="F13" s="383">
        <v>1</v>
      </c>
      <c r="G13" s="384">
        <v>0</v>
      </c>
      <c r="H13" s="385">
        <v>0</v>
      </c>
      <c r="I13" s="385">
        <v>1</v>
      </c>
      <c r="J13" s="386"/>
      <c r="K13" s="389"/>
      <c r="L13" s="389">
        <f>+I13/F13</f>
        <v>1</v>
      </c>
      <c r="M13" s="386"/>
      <c r="N13" s="389"/>
      <c r="O13" s="389"/>
      <c r="P13" s="384"/>
      <c r="Q13" s="439"/>
      <c r="R13" s="439">
        <v>0</v>
      </c>
      <c r="S13" s="439"/>
      <c r="T13" s="439"/>
      <c r="U13" s="439"/>
      <c r="V13" s="385">
        <f>+Q13+R13+S13+T13+U13</f>
        <v>0</v>
      </c>
      <c r="W13" s="385">
        <f>+V13+P13+AB13</f>
        <v>0</v>
      </c>
      <c r="X13" s="439">
        <v>0</v>
      </c>
      <c r="Y13" s="439">
        <v>0</v>
      </c>
      <c r="Z13" s="385"/>
      <c r="AA13" s="385"/>
      <c r="AB13" s="385">
        <f>+X13+Y13+Z13+AA13</f>
        <v>0</v>
      </c>
      <c r="AC13" s="386"/>
      <c r="AD13" s="389"/>
      <c r="AE13" s="389">
        <f>+AB13/I13</f>
        <v>0</v>
      </c>
      <c r="AF13" s="386"/>
      <c r="AG13" s="402"/>
      <c r="AH13" s="462">
        <f>+AE13*E13</f>
        <v>0</v>
      </c>
      <c r="AI13" s="402">
        <v>0</v>
      </c>
      <c r="AJ13" s="403">
        <v>0</v>
      </c>
      <c r="AK13" s="403">
        <f>+W13/F13</f>
        <v>0</v>
      </c>
      <c r="AL13" s="457">
        <f>+AI13*E13</f>
        <v>0</v>
      </c>
      <c r="AM13" s="458">
        <f>+AJ13*E13</f>
        <v>0</v>
      </c>
      <c r="AN13" s="1310">
        <f>+AK13*E13</f>
        <v>0</v>
      </c>
      <c r="AO13" s="553" t="s">
        <v>1844</v>
      </c>
      <c r="AP13" s="634" t="s">
        <v>1886</v>
      </c>
      <c r="AQ13" s="527" t="s">
        <v>1986</v>
      </c>
      <c r="AR13" s="634" t="s">
        <v>2008</v>
      </c>
      <c r="AS13" s="634" t="s">
        <v>2106</v>
      </c>
      <c r="AT13" s="634" t="s">
        <v>2137</v>
      </c>
      <c r="AU13" s="634" t="s">
        <v>2190</v>
      </c>
      <c r="AV13" s="634" t="s">
        <v>1887</v>
      </c>
    </row>
    <row r="14" spans="1:49" ht="91.95" customHeight="1" thickBot="1" x14ac:dyDescent="0.4">
      <c r="A14" s="223"/>
      <c r="B14" s="1147" t="s">
        <v>25</v>
      </c>
      <c r="C14" s="1147" t="s">
        <v>26</v>
      </c>
      <c r="D14" s="361" t="s">
        <v>12</v>
      </c>
      <c r="E14" s="269">
        <v>0.35</v>
      </c>
      <c r="F14" s="383">
        <v>1</v>
      </c>
      <c r="G14" s="384">
        <v>1</v>
      </c>
      <c r="H14" s="385">
        <v>1</v>
      </c>
      <c r="I14" s="385">
        <v>1</v>
      </c>
      <c r="J14" s="386">
        <f>+G14/F14</f>
        <v>1</v>
      </c>
      <c r="K14" s="389">
        <f>+H14/F14</f>
        <v>1</v>
      </c>
      <c r="L14" s="389"/>
      <c r="M14" s="386">
        <f>+(G14/F14)*E14</f>
        <v>0.35</v>
      </c>
      <c r="N14" s="389">
        <f t="shared" ref="N14" si="10">+(H14/F14)*E14</f>
        <v>0.35</v>
      </c>
      <c r="O14" s="389"/>
      <c r="P14" s="384">
        <v>1</v>
      </c>
      <c r="Q14" s="439">
        <v>0</v>
      </c>
      <c r="R14" s="439">
        <v>0</v>
      </c>
      <c r="S14" s="439">
        <v>0</v>
      </c>
      <c r="T14" s="439">
        <v>0</v>
      </c>
      <c r="U14" s="439">
        <v>0</v>
      </c>
      <c r="V14" s="385">
        <f t="shared" ref="V14:V15" si="11">+Q14+R14+S14+T14+U14</f>
        <v>0</v>
      </c>
      <c r="W14" s="385">
        <f>+V14+P14+AB14</f>
        <v>1</v>
      </c>
      <c r="X14" s="439">
        <v>0</v>
      </c>
      <c r="Y14" s="439">
        <v>0</v>
      </c>
      <c r="Z14" s="385"/>
      <c r="AA14" s="385"/>
      <c r="AB14" s="385">
        <f t="shared" si="4"/>
        <v>0</v>
      </c>
      <c r="AC14" s="386">
        <f>+(P14/G14)</f>
        <v>1</v>
      </c>
      <c r="AD14" s="389">
        <f t="shared" ref="AD14:AD22" si="12">+V14/H14</f>
        <v>0</v>
      </c>
      <c r="AE14" s="389">
        <f t="shared" si="5"/>
        <v>0</v>
      </c>
      <c r="AF14" s="386">
        <f>+AC14*E14</f>
        <v>0.35</v>
      </c>
      <c r="AG14" s="402">
        <f t="shared" ref="AG14:AG21" si="13">+AD14*E14</f>
        <v>0</v>
      </c>
      <c r="AH14" s="462">
        <f t="shared" ref="AH14" si="14">+AE14*E14</f>
        <v>0</v>
      </c>
      <c r="AI14" s="402">
        <f>+P14/F14</f>
        <v>1</v>
      </c>
      <c r="AJ14" s="403">
        <v>1</v>
      </c>
      <c r="AK14" s="403">
        <f t="shared" ref="AK14" si="15">+W14/F14</f>
        <v>1</v>
      </c>
      <c r="AL14" s="457">
        <f>+AI14*E14</f>
        <v>0.35</v>
      </c>
      <c r="AM14" s="458">
        <f>+AJ14*E14</f>
        <v>0.35</v>
      </c>
      <c r="AN14" s="1310">
        <f t="shared" ref="AN14:AN30" si="16">+AK14*E14</f>
        <v>0.35</v>
      </c>
      <c r="AO14" s="553" t="s">
        <v>1844</v>
      </c>
      <c r="AP14" s="634" t="s">
        <v>1588</v>
      </c>
      <c r="AQ14" s="527" t="s">
        <v>1986</v>
      </c>
      <c r="AR14" s="634" t="s">
        <v>2008</v>
      </c>
      <c r="AS14" s="634" t="s">
        <v>2106</v>
      </c>
      <c r="AT14" s="634" t="s">
        <v>2137</v>
      </c>
      <c r="AU14" s="634" t="s">
        <v>2190</v>
      </c>
      <c r="AV14" s="634" t="s">
        <v>1887</v>
      </c>
    </row>
    <row r="15" spans="1:49" ht="74.400000000000006" customHeight="1" thickBot="1" x14ac:dyDescent="0.4">
      <c r="A15" s="223"/>
      <c r="B15" s="1147" t="s">
        <v>27</v>
      </c>
      <c r="C15" s="1147" t="s">
        <v>28</v>
      </c>
      <c r="D15" s="361" t="s">
        <v>12</v>
      </c>
      <c r="E15" s="269">
        <v>0.3</v>
      </c>
      <c r="F15" s="383">
        <v>2</v>
      </c>
      <c r="G15" s="384">
        <v>2</v>
      </c>
      <c r="H15" s="385">
        <v>2</v>
      </c>
      <c r="I15" s="385">
        <v>1</v>
      </c>
      <c r="J15" s="386">
        <f>+G15/F15</f>
        <v>1</v>
      </c>
      <c r="K15" s="389"/>
      <c r="L15" s="389"/>
      <c r="M15" s="386"/>
      <c r="N15" s="389"/>
      <c r="O15" s="389"/>
      <c r="P15" s="384">
        <v>2</v>
      </c>
      <c r="Q15" s="439">
        <v>0</v>
      </c>
      <c r="R15" s="439">
        <v>0</v>
      </c>
      <c r="S15" s="439">
        <v>2</v>
      </c>
      <c r="T15" s="439">
        <v>0</v>
      </c>
      <c r="U15" s="439">
        <v>2</v>
      </c>
      <c r="V15" s="385">
        <f t="shared" si="11"/>
        <v>4</v>
      </c>
      <c r="W15" s="385">
        <f>+V15+P15+AB15</f>
        <v>6</v>
      </c>
      <c r="X15" s="439">
        <v>0</v>
      </c>
      <c r="Y15" s="439">
        <v>0</v>
      </c>
      <c r="Z15" s="385"/>
      <c r="AA15" s="385"/>
      <c r="AB15" s="385">
        <f t="shared" si="4"/>
        <v>0</v>
      </c>
      <c r="AC15" s="386">
        <f>+(P15/G15)</f>
        <v>1</v>
      </c>
      <c r="AD15" s="389">
        <v>1</v>
      </c>
      <c r="AE15" s="389">
        <f t="shared" si="5"/>
        <v>0</v>
      </c>
      <c r="AF15" s="386"/>
      <c r="AG15" s="402"/>
      <c r="AH15" s="468">
        <f>+AE15*E15</f>
        <v>0</v>
      </c>
      <c r="AI15" s="402">
        <f>+P15/F15</f>
        <v>1</v>
      </c>
      <c r="AJ15" s="403">
        <v>1</v>
      </c>
      <c r="AK15" s="403">
        <v>1</v>
      </c>
      <c r="AL15" s="457">
        <f>+AI15*E15</f>
        <v>0.3</v>
      </c>
      <c r="AM15" s="458">
        <f>+AJ15*E15</f>
        <v>0.3</v>
      </c>
      <c r="AN15" s="1313">
        <f t="shared" si="16"/>
        <v>0.3</v>
      </c>
      <c r="AO15" s="553" t="s">
        <v>1588</v>
      </c>
      <c r="AP15" s="634" t="s">
        <v>1588</v>
      </c>
      <c r="AQ15" s="527" t="s">
        <v>1986</v>
      </c>
      <c r="AR15" s="634" t="s">
        <v>1588</v>
      </c>
      <c r="AS15" s="634" t="s">
        <v>2106</v>
      </c>
      <c r="AT15" s="634" t="s">
        <v>2137</v>
      </c>
      <c r="AU15" s="634" t="s">
        <v>2190</v>
      </c>
      <c r="AV15" s="634" t="s">
        <v>1887</v>
      </c>
    </row>
    <row r="16" spans="1:49" ht="103.95" customHeight="1" thickBot="1" x14ac:dyDescent="0.45">
      <c r="A16" s="223"/>
      <c r="B16" s="1295" t="s">
        <v>1592</v>
      </c>
      <c r="C16" s="1292"/>
      <c r="D16" s="361"/>
      <c r="E16" s="379">
        <v>0.3</v>
      </c>
      <c r="F16" s="382"/>
      <c r="G16" s="382"/>
      <c r="H16" s="388"/>
      <c r="I16" s="388"/>
      <c r="J16" s="381">
        <f>+AVERAGE(J17:J22)</f>
        <v>0.21866537089073543</v>
      </c>
      <c r="K16" s="381">
        <f>+AVERAGE(K17:K22)</f>
        <v>0.52361748159110777</v>
      </c>
      <c r="L16" s="381">
        <f>+AVERAGE(L17:L22)</f>
        <v>0.27343801106373616</v>
      </c>
      <c r="M16" s="381">
        <f>+M17+M18+M19+M20+M21+M22</f>
        <v>0.23116977612690295</v>
      </c>
      <c r="N16" s="381">
        <f>+N17+N18+N19+N20+N21+N22</f>
        <v>0.53003621333629014</v>
      </c>
      <c r="O16" s="381"/>
      <c r="P16" s="382"/>
      <c r="Q16" s="388"/>
      <c r="R16" s="388"/>
      <c r="S16" s="388"/>
      <c r="T16" s="388"/>
      <c r="U16" s="833"/>
      <c r="V16" s="388"/>
      <c r="W16" s="388"/>
      <c r="X16" s="388"/>
      <c r="Y16" s="388"/>
      <c r="Z16" s="388"/>
      <c r="AA16" s="388"/>
      <c r="AB16" s="388"/>
      <c r="AC16" s="441">
        <f>+AVERAGE(AC17:AC22)</f>
        <v>0.51965408805031454</v>
      </c>
      <c r="AD16" s="441">
        <f>+AVERAGE(AD17:AD22)</f>
        <v>0.76968252498594181</v>
      </c>
      <c r="AE16" s="441">
        <f>+AVERAGE(AE17:AE22)</f>
        <v>0</v>
      </c>
      <c r="AF16" s="441">
        <f>+(AF17+AF18+AF19+AF20+AF21+AF22)*E16</f>
        <v>0.1270754716981132</v>
      </c>
      <c r="AG16" s="460">
        <f>+(AG17+AG18+AG19+AG20+AG21+AG22)*E16</f>
        <v>0.2071125382632317</v>
      </c>
      <c r="AH16" s="882">
        <f>+(AH17+AH18+AH19+AH20+AH21+AH22)*E16</f>
        <v>0</v>
      </c>
      <c r="AI16" s="401">
        <f>+AVERAGE(AI17:AI22)</f>
        <v>0.18898231334553608</v>
      </c>
      <c r="AJ16" s="453">
        <v>0.70675054096239232</v>
      </c>
      <c r="AK16" s="453">
        <f>+AVERAGE(AK17:AK22)</f>
        <v>0.70675054096239232</v>
      </c>
      <c r="AL16" s="401">
        <f>+(AL17+AL18+AL19+AL20+AL21+AL22)*E16</f>
        <v>3.7150208628344908E-2</v>
      </c>
      <c r="AM16" s="453">
        <f>+(AM17+AM18+AM19+AM20+AM21+AM22)</f>
        <v>0.60071725893871608</v>
      </c>
      <c r="AN16" s="890">
        <f>+(AN17+AN18+AN19+AN20+AN21+AN22)</f>
        <v>0.60071725893871608</v>
      </c>
      <c r="AO16" s="136"/>
      <c r="AP16" s="633"/>
      <c r="AQ16" s="359"/>
      <c r="AR16" s="359"/>
      <c r="AS16" s="359"/>
      <c r="AT16" s="359"/>
      <c r="AU16" s="158"/>
      <c r="AV16" s="887"/>
    </row>
    <row r="17" spans="1:49" ht="96" customHeight="1" thickBot="1" x14ac:dyDescent="0.4">
      <c r="A17" s="362"/>
      <c r="B17" s="1147" t="s">
        <v>29</v>
      </c>
      <c r="C17" s="1147" t="s">
        <v>30</v>
      </c>
      <c r="D17" s="365" t="s">
        <v>31</v>
      </c>
      <c r="E17" s="269">
        <v>0.1</v>
      </c>
      <c r="F17" s="383">
        <f>879*4</f>
        <v>3516</v>
      </c>
      <c r="G17" s="384">
        <v>219</v>
      </c>
      <c r="H17" s="440">
        <v>400</v>
      </c>
      <c r="I17" s="440">
        <v>700</v>
      </c>
      <c r="J17" s="386">
        <f t="shared" ref="J17:J22" si="17">+G17/F17</f>
        <v>6.2286689419795219E-2</v>
      </c>
      <c r="K17" s="389">
        <f>+H17/879</f>
        <v>0.45506257110352671</v>
      </c>
      <c r="L17" s="389">
        <f>+I17/F17</f>
        <v>0.19908987485779295</v>
      </c>
      <c r="M17" s="386">
        <f>+(G17/F17)*E17</f>
        <v>6.2286689419795219E-3</v>
      </c>
      <c r="N17" s="389">
        <f>+(H17/879)*E17</f>
        <v>4.5506257110352673E-2</v>
      </c>
      <c r="O17" s="389"/>
      <c r="P17" s="384">
        <v>484</v>
      </c>
      <c r="Q17" s="439">
        <v>0</v>
      </c>
      <c r="R17" s="439">
        <v>200</v>
      </c>
      <c r="S17" s="439">
        <v>172</v>
      </c>
      <c r="T17" s="439">
        <v>0</v>
      </c>
      <c r="U17" s="439">
        <v>0</v>
      </c>
      <c r="V17" s="385">
        <f>+Q17+R17+S17+T17+U17</f>
        <v>372</v>
      </c>
      <c r="W17" s="385">
        <f>+V17+P17+AB17</f>
        <v>856</v>
      </c>
      <c r="X17" s="439">
        <v>0</v>
      </c>
      <c r="Y17" s="385"/>
      <c r="Z17" s="385"/>
      <c r="AA17" s="385"/>
      <c r="AB17" s="385">
        <f>+X17+Y17+Z17+AA17</f>
        <v>0</v>
      </c>
      <c r="AC17" s="433">
        <v>1</v>
      </c>
      <c r="AD17" s="419">
        <f>+V17/H17</f>
        <v>0.93</v>
      </c>
      <c r="AE17" s="419">
        <f>+AB17/I17</f>
        <v>0</v>
      </c>
      <c r="AF17" s="433">
        <f>+AC17*E17</f>
        <v>0.1</v>
      </c>
      <c r="AG17" s="457">
        <f>+AD17*E17</f>
        <v>9.3000000000000013E-2</v>
      </c>
      <c r="AH17" s="464">
        <f>+AE17*E17</f>
        <v>0</v>
      </c>
      <c r="AI17" s="457">
        <f>+P17/F17</f>
        <v>0.13765642775881684</v>
      </c>
      <c r="AJ17" s="458">
        <v>0.97383390216154719</v>
      </c>
      <c r="AK17" s="458">
        <f>+W17/879</f>
        <v>0.97383390216154719</v>
      </c>
      <c r="AL17" s="457">
        <f>+AI17*E17</f>
        <v>1.3765642775881685E-2</v>
      </c>
      <c r="AM17" s="458">
        <f>+AJ17*E17</f>
        <v>9.7383390216154719E-2</v>
      </c>
      <c r="AN17" s="1310">
        <f t="shared" si="16"/>
        <v>9.7383390216154719E-2</v>
      </c>
      <c r="AO17" s="553" t="s">
        <v>1844</v>
      </c>
      <c r="AP17" s="635" t="s">
        <v>1955</v>
      </c>
      <c r="AQ17" s="628" t="s">
        <v>1859</v>
      </c>
      <c r="AR17" s="634" t="s">
        <v>2008</v>
      </c>
      <c r="AS17" s="732" t="s">
        <v>2066</v>
      </c>
      <c r="AT17" s="634" t="s">
        <v>2137</v>
      </c>
      <c r="AU17" s="634" t="s">
        <v>2190</v>
      </c>
      <c r="AV17" s="634" t="s">
        <v>1887</v>
      </c>
    </row>
    <row r="18" spans="1:49" ht="81" customHeight="1" thickBot="1" x14ac:dyDescent="0.4">
      <c r="A18" s="223"/>
      <c r="B18" s="1147" t="s">
        <v>32</v>
      </c>
      <c r="C18" s="1147" t="s">
        <v>33</v>
      </c>
      <c r="D18" s="361" t="s">
        <v>31</v>
      </c>
      <c r="E18" s="269">
        <v>0.2</v>
      </c>
      <c r="F18" s="383">
        <v>849</v>
      </c>
      <c r="G18" s="384">
        <v>212</v>
      </c>
      <c r="H18" s="440">
        <v>729</v>
      </c>
      <c r="I18" s="440">
        <v>200</v>
      </c>
      <c r="J18" s="386">
        <f t="shared" si="17"/>
        <v>0.24970553592461719</v>
      </c>
      <c r="K18" s="389">
        <f t="shared" ref="K18:K30" si="18">+H18/F18</f>
        <v>0.85865724381625441</v>
      </c>
      <c r="L18" s="389">
        <f t="shared" si="2"/>
        <v>0.23557126030624265</v>
      </c>
      <c r="M18" s="386">
        <f t="shared" ref="M18:M22" si="19">+(G18/F18)*E18</f>
        <v>4.9941107184923443E-2</v>
      </c>
      <c r="N18" s="389">
        <f t="shared" ref="N18:N20" si="20">+(H18/F18)*E18</f>
        <v>0.17173144876325089</v>
      </c>
      <c r="O18" s="389"/>
      <c r="P18" s="384">
        <v>25</v>
      </c>
      <c r="Q18" s="439">
        <v>0</v>
      </c>
      <c r="R18" s="439">
        <v>162</v>
      </c>
      <c r="S18" s="439">
        <v>478</v>
      </c>
      <c r="T18" s="439">
        <v>0</v>
      </c>
      <c r="U18" s="439">
        <v>38</v>
      </c>
      <c r="V18" s="385">
        <f t="shared" ref="V18:V20" si="21">+Q18+R18+S18+T18+U18</f>
        <v>678</v>
      </c>
      <c r="W18" s="385">
        <f t="shared" ref="W18:W22" si="22">+V18+P18+AB18</f>
        <v>703</v>
      </c>
      <c r="X18" s="439">
        <v>0</v>
      </c>
      <c r="Y18" s="385"/>
      <c r="Z18" s="385"/>
      <c r="AA18" s="385"/>
      <c r="AB18" s="385">
        <f t="shared" si="4"/>
        <v>0</v>
      </c>
      <c r="AC18" s="433">
        <f>+(P18/G18)</f>
        <v>0.11792452830188679</v>
      </c>
      <c r="AD18" s="419">
        <f t="shared" si="12"/>
        <v>0.93004115226337447</v>
      </c>
      <c r="AE18" s="419">
        <f>+AB18/I18</f>
        <v>0</v>
      </c>
      <c r="AF18" s="433">
        <f t="shared" ref="AF18:AF22" si="23">+AC18*E18</f>
        <v>2.358490566037736E-2</v>
      </c>
      <c r="AG18" s="457">
        <f t="shared" si="13"/>
        <v>0.18600823045267489</v>
      </c>
      <c r="AH18" s="458">
        <f t="shared" ref="AH18:AH30" si="24">+AE18*E18</f>
        <v>0</v>
      </c>
      <c r="AI18" s="457">
        <f>+P18/F18</f>
        <v>2.9446407538280331E-2</v>
      </c>
      <c r="AJ18" s="458">
        <v>0.82803297997644287</v>
      </c>
      <c r="AK18" s="458">
        <f t="shared" ref="AK18:AK21" si="25">+W18/F18</f>
        <v>0.82803297997644287</v>
      </c>
      <c r="AL18" s="457">
        <f t="shared" ref="AL18:AL22" si="26">+AI18*E18</f>
        <v>5.8892815076560662E-3</v>
      </c>
      <c r="AM18" s="458">
        <f t="shared" ref="AM18:AM22" si="27">+AJ18*E18</f>
        <v>0.1656065959952886</v>
      </c>
      <c r="AN18" s="1310">
        <f t="shared" si="16"/>
        <v>0.1656065959952886</v>
      </c>
      <c r="AO18" s="553" t="s">
        <v>1844</v>
      </c>
      <c r="AP18" s="634" t="s">
        <v>1886</v>
      </c>
      <c r="AQ18" s="628" t="s">
        <v>1859</v>
      </c>
      <c r="AR18" s="634" t="s">
        <v>2008</v>
      </c>
      <c r="AS18" s="732" t="s">
        <v>2067</v>
      </c>
      <c r="AT18" s="634" t="s">
        <v>2137</v>
      </c>
      <c r="AU18" s="634" t="s">
        <v>2190</v>
      </c>
      <c r="AV18" s="634" t="s">
        <v>1887</v>
      </c>
    </row>
    <row r="19" spans="1:49" ht="93" customHeight="1" thickBot="1" x14ac:dyDescent="0.4">
      <c r="A19" s="223"/>
      <c r="B19" s="1147" t="s">
        <v>34</v>
      </c>
      <c r="C19" s="1147" t="s">
        <v>1160</v>
      </c>
      <c r="D19" s="361" t="s">
        <v>31</v>
      </c>
      <c r="E19" s="269">
        <v>0.2</v>
      </c>
      <c r="F19" s="383">
        <v>440</v>
      </c>
      <c r="G19" s="384">
        <v>110</v>
      </c>
      <c r="H19" s="440">
        <v>187</v>
      </c>
      <c r="I19" s="440">
        <v>70</v>
      </c>
      <c r="J19" s="386">
        <f t="shared" si="17"/>
        <v>0.25</v>
      </c>
      <c r="K19" s="389">
        <f t="shared" si="18"/>
        <v>0.42499999999999999</v>
      </c>
      <c r="L19" s="389">
        <f t="shared" si="2"/>
        <v>0.15909090909090909</v>
      </c>
      <c r="M19" s="386">
        <f t="shared" si="19"/>
        <v>0.05</v>
      </c>
      <c r="N19" s="389">
        <f t="shared" si="20"/>
        <v>8.5000000000000006E-2</v>
      </c>
      <c r="O19" s="389"/>
      <c r="P19" s="384">
        <v>33</v>
      </c>
      <c r="Q19" s="439">
        <v>0</v>
      </c>
      <c r="R19" s="439">
        <v>0</v>
      </c>
      <c r="S19" s="439">
        <v>160</v>
      </c>
      <c r="T19" s="439">
        <v>0</v>
      </c>
      <c r="U19" s="439">
        <v>0</v>
      </c>
      <c r="V19" s="385">
        <f t="shared" si="21"/>
        <v>160</v>
      </c>
      <c r="W19" s="385">
        <f t="shared" si="22"/>
        <v>193</v>
      </c>
      <c r="X19" s="439">
        <v>0</v>
      </c>
      <c r="Y19" s="385"/>
      <c r="Z19" s="385"/>
      <c r="AA19" s="385"/>
      <c r="AB19" s="385">
        <f t="shared" si="4"/>
        <v>0</v>
      </c>
      <c r="AC19" s="433">
        <v>1</v>
      </c>
      <c r="AD19" s="419">
        <f t="shared" si="12"/>
        <v>0.85561497326203206</v>
      </c>
      <c r="AE19" s="419">
        <f t="shared" si="5"/>
        <v>0</v>
      </c>
      <c r="AF19" s="433">
        <f t="shared" si="23"/>
        <v>0.2</v>
      </c>
      <c r="AG19" s="457">
        <f t="shared" si="13"/>
        <v>0.17112299465240643</v>
      </c>
      <c r="AH19" s="458">
        <f t="shared" si="24"/>
        <v>0</v>
      </c>
      <c r="AI19" s="457">
        <f t="shared" ref="AI19:AI22" si="28">+P19/F19</f>
        <v>7.4999999999999997E-2</v>
      </c>
      <c r="AJ19" s="458">
        <v>0.43863636363636366</v>
      </c>
      <c r="AK19" s="458">
        <f>+W19/F19</f>
        <v>0.43863636363636366</v>
      </c>
      <c r="AL19" s="457">
        <f t="shared" si="26"/>
        <v>1.4999999999999999E-2</v>
      </c>
      <c r="AM19" s="458">
        <f t="shared" si="27"/>
        <v>8.7727272727272737E-2</v>
      </c>
      <c r="AN19" s="1310">
        <f t="shared" si="16"/>
        <v>8.7727272727272737E-2</v>
      </c>
      <c r="AO19" s="553" t="s">
        <v>1844</v>
      </c>
      <c r="AP19" s="634" t="s">
        <v>1886</v>
      </c>
      <c r="AQ19" s="628" t="s">
        <v>1859</v>
      </c>
      <c r="AR19" s="634" t="s">
        <v>2008</v>
      </c>
      <c r="AS19" s="634" t="s">
        <v>2106</v>
      </c>
      <c r="AT19" s="634" t="s">
        <v>2137</v>
      </c>
      <c r="AU19" s="634" t="s">
        <v>2190</v>
      </c>
      <c r="AV19" s="634" t="s">
        <v>1887</v>
      </c>
    </row>
    <row r="20" spans="1:49" ht="117" customHeight="1" thickBot="1" x14ac:dyDescent="0.4">
      <c r="A20" s="223"/>
      <c r="B20" s="1147" t="s">
        <v>35</v>
      </c>
      <c r="C20" s="1147" t="s">
        <v>36</v>
      </c>
      <c r="D20" s="361" t="s">
        <v>31</v>
      </c>
      <c r="E20" s="269">
        <v>0.15</v>
      </c>
      <c r="F20" s="383">
        <v>120</v>
      </c>
      <c r="G20" s="384">
        <v>30</v>
      </c>
      <c r="H20" s="440">
        <v>120</v>
      </c>
      <c r="I20" s="440">
        <v>0</v>
      </c>
      <c r="J20" s="386">
        <f t="shared" si="17"/>
        <v>0.25</v>
      </c>
      <c r="K20" s="389">
        <f t="shared" si="18"/>
        <v>1</v>
      </c>
      <c r="L20" s="389"/>
      <c r="M20" s="386">
        <f t="shared" si="19"/>
        <v>3.7499999999999999E-2</v>
      </c>
      <c r="N20" s="389">
        <f t="shared" si="20"/>
        <v>0.15</v>
      </c>
      <c r="O20" s="389"/>
      <c r="P20" s="384">
        <v>0</v>
      </c>
      <c r="Q20" s="439">
        <v>0</v>
      </c>
      <c r="R20" s="439">
        <v>0</v>
      </c>
      <c r="S20" s="439">
        <v>0</v>
      </c>
      <c r="T20" s="439">
        <v>0</v>
      </c>
      <c r="U20" s="439">
        <v>180</v>
      </c>
      <c r="V20" s="385">
        <f t="shared" si="21"/>
        <v>180</v>
      </c>
      <c r="W20" s="385">
        <f>+V20+P20+AB20</f>
        <v>180</v>
      </c>
      <c r="X20" s="439">
        <v>0</v>
      </c>
      <c r="Y20" s="385"/>
      <c r="Z20" s="385"/>
      <c r="AA20" s="385"/>
      <c r="AB20" s="385">
        <f t="shared" si="4"/>
        <v>0</v>
      </c>
      <c r="AC20" s="433">
        <f>+(P20/G20)</f>
        <v>0</v>
      </c>
      <c r="AD20" s="419">
        <v>1</v>
      </c>
      <c r="AE20" s="419"/>
      <c r="AF20" s="433">
        <f t="shared" si="23"/>
        <v>0</v>
      </c>
      <c r="AG20" s="457">
        <f t="shared" si="13"/>
        <v>0.15</v>
      </c>
      <c r="AH20" s="458">
        <f t="shared" si="24"/>
        <v>0</v>
      </c>
      <c r="AI20" s="457">
        <f t="shared" si="28"/>
        <v>0</v>
      </c>
      <c r="AJ20" s="458">
        <v>1</v>
      </c>
      <c r="AK20" s="458">
        <v>1</v>
      </c>
      <c r="AL20" s="457">
        <f t="shared" si="26"/>
        <v>0</v>
      </c>
      <c r="AM20" s="458">
        <f t="shared" si="27"/>
        <v>0.15</v>
      </c>
      <c r="AN20" s="1310">
        <f t="shared" si="16"/>
        <v>0.15</v>
      </c>
      <c r="AO20" s="142" t="s">
        <v>1844</v>
      </c>
      <c r="AP20" s="632" t="s">
        <v>1886</v>
      </c>
      <c r="AQ20" s="628" t="s">
        <v>1859</v>
      </c>
      <c r="AR20" s="634" t="s">
        <v>2008</v>
      </c>
      <c r="AS20" s="732" t="s">
        <v>2068</v>
      </c>
      <c r="AT20" s="634" t="s">
        <v>2137</v>
      </c>
      <c r="AU20" s="634" t="s">
        <v>2205</v>
      </c>
      <c r="AV20" s="634" t="s">
        <v>1887</v>
      </c>
    </row>
    <row r="21" spans="1:49" ht="117" customHeight="1" thickBot="1" x14ac:dyDescent="0.4">
      <c r="A21" s="362"/>
      <c r="B21" s="1147" t="s">
        <v>37</v>
      </c>
      <c r="C21" s="1147" t="s">
        <v>38</v>
      </c>
      <c r="D21" s="361" t="s">
        <v>31</v>
      </c>
      <c r="E21" s="269">
        <v>0.25</v>
      </c>
      <c r="F21" s="383">
        <v>4</v>
      </c>
      <c r="G21" s="384">
        <v>1</v>
      </c>
      <c r="H21" s="440">
        <v>1</v>
      </c>
      <c r="I21" s="440">
        <v>2</v>
      </c>
      <c r="J21" s="386">
        <f t="shared" si="17"/>
        <v>0.25</v>
      </c>
      <c r="K21" s="389">
        <f t="shared" si="18"/>
        <v>0.25</v>
      </c>
      <c r="L21" s="389">
        <f t="shared" si="2"/>
        <v>0.5</v>
      </c>
      <c r="M21" s="386">
        <f t="shared" si="19"/>
        <v>6.25E-2</v>
      </c>
      <c r="N21" s="389">
        <f>+(H21/F21)*E21</f>
        <v>6.25E-2</v>
      </c>
      <c r="O21" s="389"/>
      <c r="P21" s="384">
        <v>0</v>
      </c>
      <c r="Q21" s="439">
        <v>0</v>
      </c>
      <c r="R21" s="439">
        <v>0</v>
      </c>
      <c r="S21" s="439">
        <v>0</v>
      </c>
      <c r="T21" s="439">
        <v>0</v>
      </c>
      <c r="U21" s="439">
        <v>0</v>
      </c>
      <c r="V21" s="385">
        <f>+Q21+R21+S21+T21+U21</f>
        <v>0</v>
      </c>
      <c r="W21" s="385">
        <f>+V21+P21+AB21</f>
        <v>0</v>
      </c>
      <c r="X21" s="439">
        <v>0</v>
      </c>
      <c r="Y21" s="385"/>
      <c r="Z21" s="385"/>
      <c r="AA21" s="385"/>
      <c r="AB21" s="385">
        <f t="shared" si="4"/>
        <v>0</v>
      </c>
      <c r="AC21" s="433">
        <f>+(P21/G21)</f>
        <v>0</v>
      </c>
      <c r="AD21" s="419">
        <f t="shared" si="12"/>
        <v>0</v>
      </c>
      <c r="AE21" s="419">
        <f t="shared" si="5"/>
        <v>0</v>
      </c>
      <c r="AF21" s="433">
        <f t="shared" si="23"/>
        <v>0</v>
      </c>
      <c r="AG21" s="457">
        <f t="shared" si="13"/>
        <v>0</v>
      </c>
      <c r="AH21" s="458">
        <f t="shared" si="24"/>
        <v>0</v>
      </c>
      <c r="AI21" s="457">
        <f t="shared" si="28"/>
        <v>0</v>
      </c>
      <c r="AJ21" s="458">
        <v>0</v>
      </c>
      <c r="AK21" s="458">
        <f t="shared" si="25"/>
        <v>0</v>
      </c>
      <c r="AL21" s="457">
        <f t="shared" si="26"/>
        <v>0</v>
      </c>
      <c r="AM21" s="458">
        <f t="shared" si="27"/>
        <v>0</v>
      </c>
      <c r="AN21" s="1310">
        <f t="shared" si="16"/>
        <v>0</v>
      </c>
      <c r="AO21" s="142" t="s">
        <v>1844</v>
      </c>
      <c r="AP21" s="526" t="s">
        <v>1886</v>
      </c>
      <c r="AQ21" s="628" t="s">
        <v>1859</v>
      </c>
      <c r="AR21" s="634" t="s">
        <v>2008</v>
      </c>
      <c r="AS21" s="634" t="s">
        <v>2106</v>
      </c>
      <c r="AT21" s="634" t="s">
        <v>2137</v>
      </c>
      <c r="AU21" s="634" t="s">
        <v>2190</v>
      </c>
      <c r="AV21" s="628" t="s">
        <v>2259</v>
      </c>
    </row>
    <row r="22" spans="1:49" ht="117" customHeight="1" thickBot="1" x14ac:dyDescent="0.4">
      <c r="A22" s="223"/>
      <c r="B22" s="1147" t="s">
        <v>39</v>
      </c>
      <c r="C22" s="1147" t="s">
        <v>40</v>
      </c>
      <c r="D22" s="365" t="s">
        <v>31</v>
      </c>
      <c r="E22" s="269">
        <v>0.1</v>
      </c>
      <c r="F22" s="383">
        <v>268</v>
      </c>
      <c r="G22" s="384">
        <v>67</v>
      </c>
      <c r="H22" s="440">
        <v>41</v>
      </c>
      <c r="I22" s="440">
        <v>3</v>
      </c>
      <c r="J22" s="386">
        <f t="shared" si="17"/>
        <v>0.25</v>
      </c>
      <c r="K22" s="389">
        <f t="shared" si="18"/>
        <v>0.15298507462686567</v>
      </c>
      <c r="L22" s="389"/>
      <c r="M22" s="386">
        <f t="shared" si="19"/>
        <v>2.5000000000000001E-2</v>
      </c>
      <c r="N22" s="389">
        <f>+(H22/F22)*E22</f>
        <v>1.5298507462686567E-2</v>
      </c>
      <c r="O22" s="389"/>
      <c r="P22" s="384">
        <v>239</v>
      </c>
      <c r="Q22" s="439">
        <v>0</v>
      </c>
      <c r="R22" s="439">
        <v>16</v>
      </c>
      <c r="S22" s="439">
        <v>0</v>
      </c>
      <c r="T22" s="439">
        <v>18</v>
      </c>
      <c r="U22" s="439">
        <v>3</v>
      </c>
      <c r="V22" s="385">
        <f>+Q22+R22+S22+T22+U22</f>
        <v>37</v>
      </c>
      <c r="W22" s="385">
        <f t="shared" si="22"/>
        <v>276</v>
      </c>
      <c r="X22" s="439">
        <v>0</v>
      </c>
      <c r="Y22" s="385"/>
      <c r="Z22" s="385"/>
      <c r="AA22" s="385"/>
      <c r="AB22" s="385">
        <f t="shared" si="4"/>
        <v>0</v>
      </c>
      <c r="AC22" s="433">
        <v>1</v>
      </c>
      <c r="AD22" s="419">
        <f t="shared" si="12"/>
        <v>0.90243902439024393</v>
      </c>
      <c r="AE22" s="419">
        <f t="shared" si="5"/>
        <v>0</v>
      </c>
      <c r="AF22" s="433">
        <f t="shared" si="23"/>
        <v>0.1</v>
      </c>
      <c r="AG22" s="457">
        <f>+AD22*E22</f>
        <v>9.0243902439024401E-2</v>
      </c>
      <c r="AH22" s="459">
        <f t="shared" si="24"/>
        <v>0</v>
      </c>
      <c r="AI22" s="457">
        <f t="shared" si="28"/>
        <v>0.89179104477611937</v>
      </c>
      <c r="AJ22" s="458">
        <v>1</v>
      </c>
      <c r="AK22" s="458">
        <v>1</v>
      </c>
      <c r="AL22" s="457">
        <f t="shared" si="26"/>
        <v>8.9179104477611945E-2</v>
      </c>
      <c r="AM22" s="458">
        <f t="shared" si="27"/>
        <v>0.1</v>
      </c>
      <c r="AN22" s="1310">
        <f t="shared" si="16"/>
        <v>0.1</v>
      </c>
      <c r="AO22" s="142" t="s">
        <v>1844</v>
      </c>
      <c r="AP22" s="526" t="s">
        <v>1886</v>
      </c>
      <c r="AQ22" s="526" t="s">
        <v>1986</v>
      </c>
      <c r="AR22" s="634" t="s">
        <v>2008</v>
      </c>
      <c r="AS22" s="732" t="s">
        <v>2069</v>
      </c>
      <c r="AT22" s="634" t="s">
        <v>2137</v>
      </c>
      <c r="AU22" s="634" t="s">
        <v>2190</v>
      </c>
      <c r="AV22" s="634" t="s">
        <v>1887</v>
      </c>
    </row>
    <row r="23" spans="1:49" ht="62.25" customHeight="1" thickBot="1" x14ac:dyDescent="0.45">
      <c r="A23" s="223"/>
      <c r="B23" s="1295" t="s">
        <v>1593</v>
      </c>
      <c r="C23" s="1292"/>
      <c r="D23" s="361"/>
      <c r="E23" s="379">
        <v>0.1</v>
      </c>
      <c r="F23" s="382"/>
      <c r="G23" s="384"/>
      <c r="H23" s="385"/>
      <c r="I23" s="385"/>
      <c r="J23" s="381">
        <f>+AVERAGE(J24:J25)</f>
        <v>0.625</v>
      </c>
      <c r="K23" s="381">
        <f>+AVERAGE(K24:K25)</f>
        <v>0.25</v>
      </c>
      <c r="L23" s="381">
        <f>+AVERAGE(L24:L25)/2</f>
        <v>0.125</v>
      </c>
      <c r="M23" s="381">
        <f>+M24+M25</f>
        <v>0.77499999999999991</v>
      </c>
      <c r="N23" s="381">
        <f>+N24+N25</f>
        <v>7.4999999999999997E-2</v>
      </c>
      <c r="O23" s="381"/>
      <c r="P23" s="382"/>
      <c r="Q23" s="388"/>
      <c r="R23" s="388"/>
      <c r="S23" s="388"/>
      <c r="T23" s="388"/>
      <c r="U23" s="833"/>
      <c r="V23" s="388"/>
      <c r="W23" s="388"/>
      <c r="X23" s="388"/>
      <c r="Y23" s="388"/>
      <c r="Z23" s="388"/>
      <c r="AA23" s="388"/>
      <c r="AB23" s="388"/>
      <c r="AC23" s="441">
        <f>+AVERAGE(AC24:AC25)</f>
        <v>1</v>
      </c>
      <c r="AD23" s="441">
        <f>+AVERAGE(AD24:AD25)</f>
        <v>1</v>
      </c>
      <c r="AE23" s="441">
        <f>+AVERAGE(AE24:AE25)</f>
        <v>0</v>
      </c>
      <c r="AF23" s="441">
        <f>+(AF24+AF25)*E23</f>
        <v>0.1</v>
      </c>
      <c r="AG23" s="460">
        <f>+(AG24+AG25)*E23</f>
        <v>0.03</v>
      </c>
      <c r="AH23" s="882">
        <f>+(AH24+AH25)*E23</f>
        <v>0</v>
      </c>
      <c r="AI23" s="401">
        <f>+AVERAGE(AI24:AI25)</f>
        <v>0.625</v>
      </c>
      <c r="AJ23" s="453">
        <v>0.75</v>
      </c>
      <c r="AK23" s="453">
        <f>+AVERAGE(AK24:AK25)</f>
        <v>0.75</v>
      </c>
      <c r="AL23" s="401">
        <f>+(AL24+AL25)*E23</f>
        <v>7.7499999999999999E-2</v>
      </c>
      <c r="AM23" s="453">
        <f>+(AM24+AM25)</f>
        <v>0.85</v>
      </c>
      <c r="AN23" s="453">
        <f>+(AN24+AN25)</f>
        <v>0.85</v>
      </c>
      <c r="AO23" s="136"/>
      <c r="AP23" s="359"/>
      <c r="AQ23" s="359"/>
      <c r="AR23" s="359"/>
      <c r="AS23" s="359"/>
      <c r="AT23" s="359"/>
      <c r="AU23" s="158"/>
      <c r="AV23" s="158"/>
    </row>
    <row r="24" spans="1:49" ht="94.95" customHeight="1" thickBot="1" x14ac:dyDescent="0.4">
      <c r="A24" s="223"/>
      <c r="B24" s="1147" t="s">
        <v>41</v>
      </c>
      <c r="C24" s="1147" t="s">
        <v>42</v>
      </c>
      <c r="D24" s="361" t="s">
        <v>43</v>
      </c>
      <c r="E24" s="269">
        <v>0.3</v>
      </c>
      <c r="F24" s="383">
        <v>4</v>
      </c>
      <c r="G24" s="384">
        <v>1</v>
      </c>
      <c r="H24" s="385">
        <v>1</v>
      </c>
      <c r="I24" s="385">
        <v>1</v>
      </c>
      <c r="J24" s="386">
        <f>+G24/F24</f>
        <v>0.25</v>
      </c>
      <c r="K24" s="389">
        <f t="shared" si="18"/>
        <v>0.25</v>
      </c>
      <c r="L24" s="389">
        <f t="shared" si="2"/>
        <v>0.25</v>
      </c>
      <c r="M24" s="386">
        <f>+(G24/F24)*E24</f>
        <v>7.4999999999999997E-2</v>
      </c>
      <c r="N24" s="389">
        <f>+(H24/F24)*E24</f>
        <v>7.4999999999999997E-2</v>
      </c>
      <c r="O24" s="389"/>
      <c r="P24" s="384">
        <v>1</v>
      </c>
      <c r="Q24" s="439">
        <v>0</v>
      </c>
      <c r="R24" s="439">
        <v>0</v>
      </c>
      <c r="S24" s="439">
        <v>1</v>
      </c>
      <c r="T24" s="439">
        <v>0</v>
      </c>
      <c r="U24" s="439">
        <v>0</v>
      </c>
      <c r="V24" s="385">
        <f>+Q24+R24+S24+T24+U24</f>
        <v>1</v>
      </c>
      <c r="W24" s="385">
        <f>+V24+P24+AB24</f>
        <v>2</v>
      </c>
      <c r="X24" s="439">
        <v>0</v>
      </c>
      <c r="Y24" s="385"/>
      <c r="Z24" s="385"/>
      <c r="AA24" s="385"/>
      <c r="AB24" s="385">
        <f t="shared" si="4"/>
        <v>0</v>
      </c>
      <c r="AC24" s="386">
        <f>+(P24/G24)</f>
        <v>1</v>
      </c>
      <c r="AD24" s="419">
        <f>+V24/H24</f>
        <v>1</v>
      </c>
      <c r="AE24" s="419">
        <f t="shared" si="5"/>
        <v>0</v>
      </c>
      <c r="AF24" s="433">
        <f>+AC24*E24</f>
        <v>0.3</v>
      </c>
      <c r="AG24" s="457">
        <f>+AD24*E24</f>
        <v>0.3</v>
      </c>
      <c r="AH24" s="464">
        <f t="shared" si="24"/>
        <v>0</v>
      </c>
      <c r="AI24" s="457">
        <f>+P24/F24</f>
        <v>0.25</v>
      </c>
      <c r="AJ24" s="458">
        <v>0.5</v>
      </c>
      <c r="AK24" s="458">
        <f>+W24/F24</f>
        <v>0.5</v>
      </c>
      <c r="AL24" s="457">
        <f>+AI24*E24</f>
        <v>7.4999999999999997E-2</v>
      </c>
      <c r="AM24" s="458">
        <f>+AJ24*E24</f>
        <v>0.15</v>
      </c>
      <c r="AN24" s="1310">
        <f t="shared" si="16"/>
        <v>0.15</v>
      </c>
      <c r="AO24" s="142" t="s">
        <v>1844</v>
      </c>
      <c r="AP24" s="526" t="s">
        <v>1886</v>
      </c>
      <c r="AQ24" s="526" t="s">
        <v>1986</v>
      </c>
      <c r="AR24" s="634" t="s">
        <v>2008</v>
      </c>
      <c r="AS24" s="634" t="s">
        <v>2106</v>
      </c>
      <c r="AT24" s="634" t="s">
        <v>2137</v>
      </c>
      <c r="AU24" s="158"/>
      <c r="AV24" s="634" t="s">
        <v>1887</v>
      </c>
    </row>
    <row r="25" spans="1:49" ht="94.95" customHeight="1" thickBot="1" x14ac:dyDescent="0.4">
      <c r="A25" s="223"/>
      <c r="B25" s="1147" t="s">
        <v>44</v>
      </c>
      <c r="C25" s="1147" t="s">
        <v>45</v>
      </c>
      <c r="D25" s="361" t="s">
        <v>43</v>
      </c>
      <c r="E25" s="269">
        <v>0.7</v>
      </c>
      <c r="F25" s="383">
        <v>20</v>
      </c>
      <c r="G25" s="384">
        <v>20</v>
      </c>
      <c r="H25" s="385"/>
      <c r="I25" s="385">
        <v>0</v>
      </c>
      <c r="J25" s="386">
        <f>+G25/F25</f>
        <v>1</v>
      </c>
      <c r="K25" s="389"/>
      <c r="L25" s="389"/>
      <c r="M25" s="386">
        <f>+(G25/F25)*E25</f>
        <v>0.7</v>
      </c>
      <c r="N25" s="389"/>
      <c r="O25" s="389"/>
      <c r="P25" s="384">
        <v>23</v>
      </c>
      <c r="Q25" s="439"/>
      <c r="R25" s="439"/>
      <c r="S25" s="439"/>
      <c r="T25" s="439">
        <v>0</v>
      </c>
      <c r="U25" s="439">
        <v>0</v>
      </c>
      <c r="V25" s="385">
        <f>+Q25+R25+S25+T25+U25</f>
        <v>0</v>
      </c>
      <c r="W25" s="385">
        <f>+V25+P25+AB25</f>
        <v>23</v>
      </c>
      <c r="X25" s="439">
        <v>0</v>
      </c>
      <c r="Y25" s="385"/>
      <c r="Z25" s="385"/>
      <c r="AA25" s="385"/>
      <c r="AB25" s="385">
        <f t="shared" si="4"/>
        <v>0</v>
      </c>
      <c r="AC25" s="386">
        <v>1</v>
      </c>
      <c r="AD25" s="419"/>
      <c r="AE25" s="419"/>
      <c r="AF25" s="433">
        <f>+AC25*E25</f>
        <v>0.7</v>
      </c>
      <c r="AG25" s="457"/>
      <c r="AH25" s="459">
        <f t="shared" si="24"/>
        <v>0</v>
      </c>
      <c r="AI25" s="457">
        <v>1</v>
      </c>
      <c r="AJ25" s="458">
        <v>1</v>
      </c>
      <c r="AK25" s="458">
        <v>1</v>
      </c>
      <c r="AL25" s="457">
        <f>+AI25*E25</f>
        <v>0.7</v>
      </c>
      <c r="AM25" s="458">
        <f>+AJ25*E25</f>
        <v>0.7</v>
      </c>
      <c r="AN25" s="1310">
        <f t="shared" si="16"/>
        <v>0.7</v>
      </c>
      <c r="AO25" s="142" t="s">
        <v>1588</v>
      </c>
      <c r="AP25" s="628" t="s">
        <v>1957</v>
      </c>
      <c r="AQ25" s="526" t="s">
        <v>1986</v>
      </c>
      <c r="AR25" s="634" t="s">
        <v>2008</v>
      </c>
      <c r="AS25" s="634" t="s">
        <v>2106</v>
      </c>
      <c r="AT25" s="634" t="s">
        <v>2137</v>
      </c>
      <c r="AU25" s="158"/>
      <c r="AV25" s="634" t="s">
        <v>1887</v>
      </c>
    </row>
    <row r="26" spans="1:49" ht="94.95" customHeight="1" thickBot="1" x14ac:dyDescent="0.45">
      <c r="A26" s="223"/>
      <c r="B26" s="1295" t="s">
        <v>1594</v>
      </c>
      <c r="C26" s="1292"/>
      <c r="D26" s="361"/>
      <c r="E26" s="379">
        <v>0.1</v>
      </c>
      <c r="F26" s="382"/>
      <c r="G26" s="384"/>
      <c r="H26" s="385"/>
      <c r="I26" s="385"/>
      <c r="J26" s="381">
        <f>+AVERAGE(J27:J30)</f>
        <v>0.15590277777777778</v>
      </c>
      <c r="K26" s="381">
        <f>+AVERAGE(K27:K30)</f>
        <v>0.26105944444444446</v>
      </c>
      <c r="L26" s="381">
        <f>+AVERAGE(L27:L30)</f>
        <v>0.32129916666666669</v>
      </c>
      <c r="M26" s="381">
        <f>+M27+M28+M29+M30</f>
        <v>0.15590277777777778</v>
      </c>
      <c r="N26" s="381">
        <f>+N27+N28+N29+N30</f>
        <v>0.26105944444444446</v>
      </c>
      <c r="O26" s="381"/>
      <c r="P26" s="382"/>
      <c r="Q26" s="388"/>
      <c r="R26" s="388"/>
      <c r="S26" s="388"/>
      <c r="T26" s="388"/>
      <c r="U26" s="833"/>
      <c r="V26" s="388"/>
      <c r="W26" s="388"/>
      <c r="X26" s="388"/>
      <c r="Y26" s="388"/>
      <c r="Z26" s="388"/>
      <c r="AA26" s="388"/>
      <c r="AB26" s="388"/>
      <c r="AC26" s="441">
        <f>+AVERAGE(AC27:AC30)</f>
        <v>1</v>
      </c>
      <c r="AD26" s="441">
        <f>+AVERAGE(AD27:AD30)</f>
        <v>0.87291666666666667</v>
      </c>
      <c r="AE26" s="441">
        <f>+AVERAGE(AE27:AE30)</f>
        <v>0.46011584785533788</v>
      </c>
      <c r="AF26" s="441">
        <f>+(AF27+AF28+AF29+AF30)*E26</f>
        <v>0.1</v>
      </c>
      <c r="AG26" s="460">
        <f>+(AG27+AG28+AG29+AG30)*E26</f>
        <v>8.729166666666667E-2</v>
      </c>
      <c r="AH26" s="882">
        <f>+(AH27+AH28+AH29+AH30)*E26</f>
        <v>4.6011584785533792E-2</v>
      </c>
      <c r="AI26" s="401">
        <f>+AVERAGE(AI27:AI30)</f>
        <v>0.22168277777777778</v>
      </c>
      <c r="AJ26" s="453">
        <v>0.66974250000000002</v>
      </c>
      <c r="AK26" s="453">
        <f>+AVERAGE(AK27:AK30)</f>
        <v>0.77090916666666665</v>
      </c>
      <c r="AL26" s="401">
        <f>+(AL27+AL28+AL29+AL30)*E26</f>
        <v>2.216827777777778E-2</v>
      </c>
      <c r="AM26" s="453">
        <f>+(AM27+AM28+AM29+AM30)</f>
        <v>0.66974250000000002</v>
      </c>
      <c r="AN26" s="453">
        <f>+(AN27+AN28+AN29+AN30)</f>
        <v>0.77090916666666665</v>
      </c>
      <c r="AO26" s="136"/>
      <c r="AP26" s="359"/>
      <c r="AQ26" s="359"/>
      <c r="AR26" s="359"/>
      <c r="AS26" s="359"/>
      <c r="AT26" s="359"/>
      <c r="AU26" s="158"/>
      <c r="AV26" s="158"/>
    </row>
    <row r="27" spans="1:49" ht="94.95" customHeight="1" thickBot="1" x14ac:dyDescent="0.4">
      <c r="A27" s="223"/>
      <c r="B27" s="1147" t="s">
        <v>46</v>
      </c>
      <c r="C27" s="1147" t="s">
        <v>47</v>
      </c>
      <c r="D27" s="361" t="s">
        <v>48</v>
      </c>
      <c r="E27" s="269">
        <v>0.25</v>
      </c>
      <c r="F27" s="390">
        <v>100000</v>
      </c>
      <c r="G27" s="384">
        <v>20000</v>
      </c>
      <c r="H27" s="385">
        <v>21646</v>
      </c>
      <c r="I27" s="385">
        <v>4353</v>
      </c>
      <c r="J27" s="386">
        <f>+G27/F27</f>
        <v>0.2</v>
      </c>
      <c r="K27" s="389">
        <f t="shared" si="18"/>
        <v>0.21646000000000001</v>
      </c>
      <c r="L27" s="389">
        <f t="shared" ref="L27:L30" si="29">+I27/F27</f>
        <v>4.3529999999999999E-2</v>
      </c>
      <c r="M27" s="386">
        <f>+(G27/F27)*E27</f>
        <v>0.05</v>
      </c>
      <c r="N27" s="389">
        <f>+(H27/F27)*E27</f>
        <v>5.4115000000000003E-2</v>
      </c>
      <c r="O27" s="389"/>
      <c r="P27" s="384">
        <v>45062</v>
      </c>
      <c r="Q27" s="439">
        <v>5568</v>
      </c>
      <c r="R27" s="439">
        <v>20185</v>
      </c>
      <c r="S27" s="439">
        <v>8480</v>
      </c>
      <c r="T27" s="439">
        <v>7457</v>
      </c>
      <c r="U27" s="439">
        <v>5895</v>
      </c>
      <c r="V27" s="385">
        <f>+Q27+R27+S27+T27+U27</f>
        <v>47585</v>
      </c>
      <c r="W27" s="385">
        <f>+V27+P27+AB27</f>
        <v>94697</v>
      </c>
      <c r="X27" s="439">
        <v>888</v>
      </c>
      <c r="Y27" s="385">
        <v>1162</v>
      </c>
      <c r="Z27" s="385"/>
      <c r="AA27" s="385"/>
      <c r="AB27" s="385">
        <f>+X27+Y27+Z27+AA27</f>
        <v>2050</v>
      </c>
      <c r="AC27" s="386">
        <v>1</v>
      </c>
      <c r="AD27" s="419">
        <v>1</v>
      </c>
      <c r="AE27" s="419">
        <f>+AB27/I27</f>
        <v>0.47093958189754193</v>
      </c>
      <c r="AF27" s="433">
        <f>+AC27*E27</f>
        <v>0.25</v>
      </c>
      <c r="AG27" s="457">
        <f>+AD27*E27</f>
        <v>0.25</v>
      </c>
      <c r="AH27" s="464">
        <f t="shared" si="24"/>
        <v>0.11773489547438548</v>
      </c>
      <c r="AI27" s="457">
        <f>+P27/F27</f>
        <v>0.45062000000000002</v>
      </c>
      <c r="AJ27" s="458">
        <v>0.92647000000000002</v>
      </c>
      <c r="AK27" s="458">
        <f t="shared" ref="AK27:AK30" si="30">+W27/F27</f>
        <v>0.94696999999999998</v>
      </c>
      <c r="AL27" s="457">
        <f>+AI27*E27</f>
        <v>0.11265500000000001</v>
      </c>
      <c r="AM27" s="458">
        <f>+AJ27*E27</f>
        <v>0.2316175</v>
      </c>
      <c r="AN27" s="1310">
        <f>+AK27*E27</f>
        <v>0.23674249999999999</v>
      </c>
      <c r="AO27" s="142" t="s">
        <v>1844</v>
      </c>
      <c r="AP27" s="526" t="s">
        <v>1886</v>
      </c>
      <c r="AQ27" s="634" t="s">
        <v>1986</v>
      </c>
      <c r="AR27" s="634" t="s">
        <v>2008</v>
      </c>
      <c r="AS27" s="634" t="s">
        <v>2106</v>
      </c>
      <c r="AT27" s="634" t="s">
        <v>2137</v>
      </c>
      <c r="AU27" s="634" t="s">
        <v>2190</v>
      </c>
      <c r="AV27" s="634" t="s">
        <v>1887</v>
      </c>
      <c r="AW27" s="634" t="s">
        <v>2294</v>
      </c>
    </row>
    <row r="28" spans="1:49" ht="94.95" customHeight="1" thickBot="1" x14ac:dyDescent="0.4">
      <c r="A28" s="223"/>
      <c r="B28" s="1147" t="s">
        <v>49</v>
      </c>
      <c r="C28" s="1147" t="s">
        <v>50</v>
      </c>
      <c r="D28" s="361" t="s">
        <v>48</v>
      </c>
      <c r="E28" s="269">
        <v>0.25</v>
      </c>
      <c r="F28" s="383">
        <v>400</v>
      </c>
      <c r="G28" s="384">
        <v>25</v>
      </c>
      <c r="H28" s="385">
        <v>120</v>
      </c>
      <c r="I28" s="385">
        <v>150</v>
      </c>
      <c r="J28" s="386">
        <f>+G28/F28</f>
        <v>6.25E-2</v>
      </c>
      <c r="K28" s="389">
        <f t="shared" si="18"/>
        <v>0.3</v>
      </c>
      <c r="L28" s="389">
        <f t="shared" si="29"/>
        <v>0.375</v>
      </c>
      <c r="M28" s="386">
        <f>+(G28/F28)*E28</f>
        <v>1.5625E-2</v>
      </c>
      <c r="N28" s="389">
        <f t="shared" ref="N28:N29" si="31">+(H28/F28)*E28</f>
        <v>7.4999999999999997E-2</v>
      </c>
      <c r="O28" s="389"/>
      <c r="P28" s="384">
        <v>30</v>
      </c>
      <c r="Q28" s="439">
        <v>0</v>
      </c>
      <c r="R28" s="439">
        <v>45</v>
      </c>
      <c r="S28" s="439">
        <v>0</v>
      </c>
      <c r="T28" s="439">
        <v>0</v>
      </c>
      <c r="U28" s="439">
        <v>14</v>
      </c>
      <c r="V28" s="385">
        <f t="shared" ref="V28:V30" si="32">+Q28+R28+S28+T28+U28</f>
        <v>59</v>
      </c>
      <c r="W28" s="385">
        <f>+V28+P28+AB28</f>
        <v>108</v>
      </c>
      <c r="X28" s="439">
        <v>6</v>
      </c>
      <c r="Y28" s="385">
        <v>13</v>
      </c>
      <c r="Z28" s="385"/>
      <c r="AA28" s="385"/>
      <c r="AB28" s="385">
        <f t="shared" si="4"/>
        <v>19</v>
      </c>
      <c r="AC28" s="386">
        <v>1</v>
      </c>
      <c r="AD28" s="419">
        <f>+V28/H28</f>
        <v>0.49166666666666664</v>
      </c>
      <c r="AE28" s="419">
        <f t="shared" si="5"/>
        <v>0.12666666666666668</v>
      </c>
      <c r="AF28" s="433">
        <f>+AC28*E28</f>
        <v>0.25</v>
      </c>
      <c r="AG28" s="457">
        <f>+AD28*E28</f>
        <v>0.12291666666666666</v>
      </c>
      <c r="AH28" s="458">
        <f t="shared" si="24"/>
        <v>3.1666666666666669E-2</v>
      </c>
      <c r="AI28" s="457">
        <f>+P28/F28</f>
        <v>7.4999999999999997E-2</v>
      </c>
      <c r="AJ28" s="458">
        <v>0.2225</v>
      </c>
      <c r="AK28" s="458">
        <f t="shared" si="30"/>
        <v>0.27</v>
      </c>
      <c r="AL28" s="457">
        <f>+AI28*E28</f>
        <v>1.8749999999999999E-2</v>
      </c>
      <c r="AM28" s="458">
        <f>+AJ28*E28</f>
        <v>5.5625000000000001E-2</v>
      </c>
      <c r="AN28" s="1310">
        <f t="shared" si="16"/>
        <v>6.7500000000000004E-2</v>
      </c>
      <c r="AO28" s="142" t="s">
        <v>1844</v>
      </c>
      <c r="AP28" s="526" t="s">
        <v>1886</v>
      </c>
      <c r="AQ28" s="634" t="s">
        <v>1986</v>
      </c>
      <c r="AR28" s="634" t="s">
        <v>2008</v>
      </c>
      <c r="AS28" s="634" t="s">
        <v>2106</v>
      </c>
      <c r="AT28" s="634" t="s">
        <v>2137</v>
      </c>
      <c r="AU28" s="634" t="s">
        <v>2190</v>
      </c>
      <c r="AV28" s="634" t="s">
        <v>1887</v>
      </c>
      <c r="AW28" s="634" t="s">
        <v>2294</v>
      </c>
    </row>
    <row r="29" spans="1:49" ht="94.95" customHeight="1" thickBot="1" x14ac:dyDescent="0.4">
      <c r="A29" s="223"/>
      <c r="B29" s="1147" t="s">
        <v>51</v>
      </c>
      <c r="C29" s="1147" t="s">
        <v>52</v>
      </c>
      <c r="D29" s="361" t="s">
        <v>48</v>
      </c>
      <c r="E29" s="269">
        <v>0.25</v>
      </c>
      <c r="F29" s="383">
        <v>1</v>
      </c>
      <c r="G29" s="384">
        <v>0.25</v>
      </c>
      <c r="H29" s="385">
        <v>0.25</v>
      </c>
      <c r="I29" s="385">
        <v>0.7</v>
      </c>
      <c r="J29" s="386">
        <f>+G29/F29</f>
        <v>0.25</v>
      </c>
      <c r="K29" s="389">
        <f t="shared" si="18"/>
        <v>0.25</v>
      </c>
      <c r="L29" s="389">
        <f t="shared" si="29"/>
        <v>0.7</v>
      </c>
      <c r="M29" s="386">
        <f>+(G29/F29)*E29</f>
        <v>6.25E-2</v>
      </c>
      <c r="N29" s="389">
        <f t="shared" si="31"/>
        <v>6.25E-2</v>
      </c>
      <c r="O29" s="389"/>
      <c r="P29" s="384">
        <v>0.25</v>
      </c>
      <c r="Q29" s="439">
        <v>0.05</v>
      </c>
      <c r="R29" s="439">
        <v>0.1</v>
      </c>
      <c r="S29" s="439">
        <v>0.2</v>
      </c>
      <c r="T29" s="439">
        <v>0.23</v>
      </c>
      <c r="U29" s="439">
        <v>0</v>
      </c>
      <c r="V29" s="385">
        <f t="shared" si="32"/>
        <v>0.58000000000000007</v>
      </c>
      <c r="W29" s="418">
        <f>+V29+P29+AB29</f>
        <v>1</v>
      </c>
      <c r="X29" s="439">
        <v>0.17</v>
      </c>
      <c r="Y29" s="385">
        <v>0</v>
      </c>
      <c r="Z29" s="385"/>
      <c r="AA29" s="385"/>
      <c r="AB29" s="385">
        <f t="shared" si="4"/>
        <v>0.17</v>
      </c>
      <c r="AC29" s="386">
        <f>+(P29/G29)</f>
        <v>1</v>
      </c>
      <c r="AD29" s="419">
        <v>1</v>
      </c>
      <c r="AE29" s="419">
        <f>+AB29/I29</f>
        <v>0.24285714285714288</v>
      </c>
      <c r="AF29" s="433">
        <f>+AC29*E29</f>
        <v>0.25</v>
      </c>
      <c r="AG29" s="457">
        <f t="shared" ref="AG29" si="33">+AD29*E29</f>
        <v>0.25</v>
      </c>
      <c r="AH29" s="458">
        <f t="shared" si="24"/>
        <v>6.0714285714285721E-2</v>
      </c>
      <c r="AI29" s="457">
        <f>+P29/F29</f>
        <v>0.25</v>
      </c>
      <c r="AJ29" s="458">
        <v>0.83000000000000007</v>
      </c>
      <c r="AK29" s="458">
        <f t="shared" si="30"/>
        <v>1</v>
      </c>
      <c r="AL29" s="457">
        <f>+AI29*E29</f>
        <v>6.25E-2</v>
      </c>
      <c r="AM29" s="458">
        <f>+AJ29*E29</f>
        <v>0.20750000000000002</v>
      </c>
      <c r="AN29" s="1310">
        <f t="shared" si="16"/>
        <v>0.25</v>
      </c>
      <c r="AO29" s="142" t="s">
        <v>1844</v>
      </c>
      <c r="AP29" s="526" t="s">
        <v>1886</v>
      </c>
      <c r="AQ29" s="634" t="s">
        <v>1986</v>
      </c>
      <c r="AR29" s="634" t="s">
        <v>2008</v>
      </c>
      <c r="AS29" s="634" t="s">
        <v>2106</v>
      </c>
      <c r="AT29" s="634" t="s">
        <v>2137</v>
      </c>
      <c r="AU29" s="634" t="s">
        <v>2190</v>
      </c>
      <c r="AV29" s="634" t="s">
        <v>1887</v>
      </c>
      <c r="AW29" s="634" t="s">
        <v>2294</v>
      </c>
    </row>
    <row r="30" spans="1:49" ht="94.95" customHeight="1" thickBot="1" x14ac:dyDescent="0.4">
      <c r="A30" s="223"/>
      <c r="B30" s="1147" t="s">
        <v>53</v>
      </c>
      <c r="C30" s="1147" t="s">
        <v>54</v>
      </c>
      <c r="D30" s="361" t="s">
        <v>48</v>
      </c>
      <c r="E30" s="269">
        <v>0.25</v>
      </c>
      <c r="F30" s="383">
        <v>180</v>
      </c>
      <c r="G30" s="384">
        <v>20</v>
      </c>
      <c r="H30" s="385">
        <v>50</v>
      </c>
      <c r="I30" s="385">
        <v>30</v>
      </c>
      <c r="J30" s="386">
        <f>+G30/F30</f>
        <v>0.1111111111111111</v>
      </c>
      <c r="K30" s="389">
        <f t="shared" si="18"/>
        <v>0.27777777777777779</v>
      </c>
      <c r="L30" s="389">
        <f t="shared" si="29"/>
        <v>0.16666666666666666</v>
      </c>
      <c r="M30" s="386">
        <f>+(G30/F30)*E30</f>
        <v>2.7777777777777776E-2</v>
      </c>
      <c r="N30" s="389">
        <f>+(H30/F30)*E30</f>
        <v>6.9444444444444448E-2</v>
      </c>
      <c r="O30" s="389"/>
      <c r="P30" s="384">
        <v>20</v>
      </c>
      <c r="Q30" s="439">
        <v>8</v>
      </c>
      <c r="R30" s="439">
        <v>80</v>
      </c>
      <c r="S30" s="439">
        <v>2</v>
      </c>
      <c r="T30" s="439">
        <v>16</v>
      </c>
      <c r="U30" s="439">
        <v>0</v>
      </c>
      <c r="V30" s="385">
        <f t="shared" si="32"/>
        <v>106</v>
      </c>
      <c r="W30" s="385">
        <f>+V30+P30+AB30</f>
        <v>156</v>
      </c>
      <c r="X30" s="439">
        <v>1</v>
      </c>
      <c r="Y30" s="385">
        <v>29</v>
      </c>
      <c r="Z30" s="385"/>
      <c r="AA30" s="385"/>
      <c r="AB30" s="385">
        <f t="shared" si="4"/>
        <v>30</v>
      </c>
      <c r="AC30" s="386">
        <f>+(P30/G30)</f>
        <v>1</v>
      </c>
      <c r="AD30" s="419">
        <v>1</v>
      </c>
      <c r="AE30" s="419">
        <f t="shared" si="5"/>
        <v>1</v>
      </c>
      <c r="AF30" s="433">
        <f>+AC30*E30</f>
        <v>0.25</v>
      </c>
      <c r="AG30" s="457">
        <f>+AD30*E30</f>
        <v>0.25</v>
      </c>
      <c r="AH30" s="459">
        <f t="shared" si="24"/>
        <v>0.25</v>
      </c>
      <c r="AI30" s="457">
        <f>+P30/F30</f>
        <v>0.1111111111111111</v>
      </c>
      <c r="AJ30" s="458">
        <v>0.7</v>
      </c>
      <c r="AK30" s="458">
        <f t="shared" si="30"/>
        <v>0.8666666666666667</v>
      </c>
      <c r="AL30" s="457">
        <f>+AI30*E30</f>
        <v>2.7777777777777776E-2</v>
      </c>
      <c r="AM30" s="458">
        <f>+AJ30*E30</f>
        <v>0.17499999999999999</v>
      </c>
      <c r="AN30" s="793">
        <f t="shared" si="16"/>
        <v>0.21666666666666667</v>
      </c>
      <c r="AO30" s="142" t="s">
        <v>1844</v>
      </c>
      <c r="AP30" s="526" t="s">
        <v>1886</v>
      </c>
      <c r="AQ30" s="634" t="s">
        <v>1986</v>
      </c>
      <c r="AR30" s="634" t="s">
        <v>2008</v>
      </c>
      <c r="AS30" s="634" t="s">
        <v>2106</v>
      </c>
      <c r="AT30" s="634" t="s">
        <v>2137</v>
      </c>
      <c r="AU30" s="634" t="s">
        <v>2190</v>
      </c>
      <c r="AV30" s="634" t="s">
        <v>1887</v>
      </c>
      <c r="AW30" s="634" t="s">
        <v>2294</v>
      </c>
    </row>
    <row r="31" spans="1:49" ht="94.95" customHeight="1" thickBot="1" x14ac:dyDescent="0.45">
      <c r="A31" s="223"/>
      <c r="B31" s="1296" t="s">
        <v>55</v>
      </c>
      <c r="C31" s="1292"/>
      <c r="D31" s="358"/>
      <c r="E31" s="391">
        <v>0.1</v>
      </c>
      <c r="F31" s="391">
        <f>+E31*AF31</f>
        <v>6.4343375000000022E-2</v>
      </c>
      <c r="G31" s="382"/>
      <c r="H31" s="391">
        <f>E31*AG31</f>
        <v>6.9202413519813516E-2</v>
      </c>
      <c r="I31" s="391">
        <f>+E31*AH31</f>
        <v>3.5722964329416497E-2</v>
      </c>
      <c r="J31" s="376">
        <f>+(J32+J36+J39+J44+J52+J57+J77+J87)/8</f>
        <v>0.23923611111111112</v>
      </c>
      <c r="K31" s="376">
        <f>+(K32+K36+K39+K44+K52+K57+K77+K87)/8</f>
        <v>0.33642940083979328</v>
      </c>
      <c r="L31" s="376">
        <f>+(L32+L36+L39+L44+L52+L57+L77+L87)/8</f>
        <v>0.27502184415298797</v>
      </c>
      <c r="M31" s="377">
        <f>+(M32+M36+M39+M44+M52+M57+M77+M87)/8</f>
        <v>0.16062499999999999</v>
      </c>
      <c r="N31" s="377"/>
      <c r="O31" s="377"/>
      <c r="P31" s="382"/>
      <c r="Q31" s="388"/>
      <c r="R31" s="388"/>
      <c r="S31" s="388"/>
      <c r="T31" s="388"/>
      <c r="U31" s="388"/>
      <c r="V31" s="388"/>
      <c r="W31" s="388"/>
      <c r="X31" s="388"/>
      <c r="Y31" s="388"/>
      <c r="Z31" s="388"/>
      <c r="AA31" s="388"/>
      <c r="AB31" s="388"/>
      <c r="AC31" s="376">
        <f>+(AC32+AC36+AC39+AC44+AC52+AC57+AC77+AC87)/8</f>
        <v>0.90306155303030311</v>
      </c>
      <c r="AD31" s="376">
        <f>+(AD32+AD36+AD39+AD44+AD52+AD57+AD77+AD87)/8</f>
        <v>0.82692475233100227</v>
      </c>
      <c r="AE31" s="376">
        <f>+(AE32+AE36+AE39+AE44+AE52+AE57+AE77+AE87)/8</f>
        <v>0.42187737852780616</v>
      </c>
      <c r="AF31" s="377">
        <f>+AF32+AF36+AF39+AF44+AF52+AF57+AF77+AF87</f>
        <v>0.64343375000000014</v>
      </c>
      <c r="AG31" s="451">
        <f>+AG32+AG36+AG39+AG44+AG52+AG57+AG77+AG87</f>
        <v>0.6920241351981351</v>
      </c>
      <c r="AH31" s="376">
        <f>+AH32+AH36+AH39+AH44+AH52+AH57+AH77+AH87</f>
        <v>0.35722964329416496</v>
      </c>
      <c r="AI31" s="456">
        <f>+(AI32+AI36+AI39+AI44+AI52+AI57+AI77+AI87)/8</f>
        <v>0.25041408617424243</v>
      </c>
      <c r="AJ31" s="452">
        <v>0.51564037674127183</v>
      </c>
      <c r="AK31" s="452">
        <f>+(AK32+AK36+AK39+AK44+AK52+AK57+AK77+AK87)/8</f>
        <v>0.61272009138984607</v>
      </c>
      <c r="AL31" s="451">
        <f>+AL32+AL36+AL39+AL44+AL52+AL57+AL77+AL87</f>
        <v>0.19896443750000001</v>
      </c>
      <c r="AM31" s="555">
        <f>+(AM32*E32)+(AM36*E36)+(AM39*E39)+(AM44*E44)+(AM52*E52)+(AM57*E57)+(AM77*E77)+(AM87*E87)</f>
        <v>0.49297341860465116</v>
      </c>
      <c r="AN31" s="555">
        <f>+(AN32*E32)+(AN36*E36)+(AN39*E39)+(AN44*E44)+(AN52*E52)+(AN57*E57)+(AN77*E77)+(AN87*E87)</f>
        <v>0.58587473173596427</v>
      </c>
      <c r="AO31" s="128"/>
      <c r="AP31" s="359"/>
      <c r="AQ31" s="359"/>
      <c r="AR31" s="359"/>
      <c r="AS31" s="359"/>
      <c r="AT31" s="359"/>
      <c r="AU31" s="158"/>
      <c r="AV31" s="158"/>
    </row>
    <row r="32" spans="1:49" ht="94.95" customHeight="1" thickBot="1" x14ac:dyDescent="0.45">
      <c r="A32" s="223"/>
      <c r="B32" s="1295" t="s">
        <v>1595</v>
      </c>
      <c r="C32" s="1292"/>
      <c r="D32" s="360"/>
      <c r="E32" s="379">
        <v>0.15</v>
      </c>
      <c r="F32" s="382"/>
      <c r="G32" s="384"/>
      <c r="H32" s="385"/>
      <c r="I32" s="385"/>
      <c r="J32" s="381">
        <f>+AVERAGE(J33:J35)</f>
        <v>0.17500000000000002</v>
      </c>
      <c r="K32" s="381">
        <f>+AVERAGE(K33:K35)</f>
        <v>0.25</v>
      </c>
      <c r="L32" s="381">
        <f>+AVERAGE(L33:L35)</f>
        <v>0.28333333333333333</v>
      </c>
      <c r="M32" s="381">
        <f>+M33+M34+M35</f>
        <v>0.1525</v>
      </c>
      <c r="N32" s="381">
        <f>+N33+N34+N35</f>
        <v>0.245</v>
      </c>
      <c r="O32" s="381"/>
      <c r="P32" s="384"/>
      <c r="Q32" s="385"/>
      <c r="R32" s="385"/>
      <c r="S32" s="385"/>
      <c r="T32" s="385"/>
      <c r="U32" s="385"/>
      <c r="V32" s="385"/>
      <c r="W32" s="385"/>
      <c r="X32" s="385"/>
      <c r="Y32" s="385"/>
      <c r="Z32" s="385"/>
      <c r="AA32" s="385"/>
      <c r="AB32" s="385"/>
      <c r="AC32" s="441">
        <f>+AVERAGE(AC33:AC35)</f>
        <v>1</v>
      </c>
      <c r="AD32" s="441">
        <f>+AVERAGE(AD33:AD35)</f>
        <v>1</v>
      </c>
      <c r="AE32" s="441">
        <f>+AVERAGE(AE33:AE35)</f>
        <v>0.54133333333333333</v>
      </c>
      <c r="AF32" s="441">
        <f>+(AF33+AF34+AF35)*E32</f>
        <v>0.15</v>
      </c>
      <c r="AG32" s="460">
        <f>+(AG33+AG34+AG35)*E32</f>
        <v>0.15</v>
      </c>
      <c r="AH32" s="882">
        <f>+(AH33+AH34+AH35)*E32</f>
        <v>0.11244</v>
      </c>
      <c r="AI32" s="401">
        <f>+AVERAGE(AI33:AI35)</f>
        <v>0.36919999999999997</v>
      </c>
      <c r="AJ32" s="453">
        <v>0.84073333333333322</v>
      </c>
      <c r="AK32" s="453">
        <f>+AVERAGE(AK33:AK35)</f>
        <v>0.91646666666666665</v>
      </c>
      <c r="AL32" s="401">
        <f>+(AL33+AL34+AL35)*E32</f>
        <v>6.1731000000000001E-2</v>
      </c>
      <c r="AM32" s="453">
        <f>+(AM33+AM34+AM35)</f>
        <v>0.87988</v>
      </c>
      <c r="AN32" s="890">
        <f>+(AN33+AN34+AN35)</f>
        <v>0.97476000000000007</v>
      </c>
      <c r="AO32" s="136"/>
      <c r="AP32" s="359"/>
      <c r="AQ32" s="359"/>
      <c r="AR32" s="359"/>
      <c r="AS32" s="359"/>
      <c r="AT32" s="359"/>
      <c r="AU32" s="158"/>
      <c r="AV32" s="158"/>
    </row>
    <row r="33" spans="1:49" ht="94.95" customHeight="1" thickBot="1" x14ac:dyDescent="0.4">
      <c r="A33" s="223"/>
      <c r="B33" s="1147" t="s">
        <v>56</v>
      </c>
      <c r="C33" s="1147" t="s">
        <v>57</v>
      </c>
      <c r="D33" s="361" t="s">
        <v>58</v>
      </c>
      <c r="E33" s="392">
        <v>0.4</v>
      </c>
      <c r="F33" s="383">
        <v>5000</v>
      </c>
      <c r="G33" s="384">
        <v>500</v>
      </c>
      <c r="H33" s="385">
        <v>1500</v>
      </c>
      <c r="I33" s="385">
        <v>1500</v>
      </c>
      <c r="J33" s="386">
        <f>+G33/F33</f>
        <v>0.1</v>
      </c>
      <c r="K33" s="389">
        <f t="shared" ref="K33:K43" si="34">+H33/F33</f>
        <v>0.3</v>
      </c>
      <c r="L33" s="389">
        <f t="shared" ref="L33:L90" si="35">+I33/F33</f>
        <v>0.3</v>
      </c>
      <c r="M33" s="386">
        <f>+(G33/F33)*E33</f>
        <v>4.0000000000000008E-2</v>
      </c>
      <c r="N33" s="389">
        <f>+(H33/F33)*E33</f>
        <v>0.12</v>
      </c>
      <c r="O33" s="389"/>
      <c r="P33" s="384">
        <v>2113</v>
      </c>
      <c r="Q33" s="439">
        <v>950</v>
      </c>
      <c r="R33" s="439">
        <v>361</v>
      </c>
      <c r="S33" s="439">
        <v>356</v>
      </c>
      <c r="T33" s="439">
        <v>112</v>
      </c>
      <c r="U33" s="439">
        <v>169</v>
      </c>
      <c r="V33" s="440">
        <f>+Q33+R33+S33+T33+U33</f>
        <v>1948</v>
      </c>
      <c r="W33" s="900">
        <f>+V33+P33+AB33</f>
        <v>4997</v>
      </c>
      <c r="X33" s="900">
        <v>663</v>
      </c>
      <c r="Y33" s="439">
        <v>273</v>
      </c>
      <c r="Z33" s="900"/>
      <c r="AA33" s="900"/>
      <c r="AB33" s="900">
        <f t="shared" ref="AB33:AB90" si="36">+X33+Y33+Z33+AA33</f>
        <v>936</v>
      </c>
      <c r="AC33" s="386">
        <v>1</v>
      </c>
      <c r="AD33" s="419">
        <v>1</v>
      </c>
      <c r="AE33" s="419">
        <f t="shared" ref="AE33:AE90" si="37">+AB33/I33</f>
        <v>0.624</v>
      </c>
      <c r="AF33" s="433">
        <f>+AC33*E33</f>
        <v>0.4</v>
      </c>
      <c r="AG33" s="457">
        <f>+AD33*E33</f>
        <v>0.4</v>
      </c>
      <c r="AH33" s="464">
        <f t="shared" ref="AH33" si="38">+AE33*E33</f>
        <v>0.24960000000000002</v>
      </c>
      <c r="AI33" s="457">
        <f>+P33/F33</f>
        <v>0.42259999999999998</v>
      </c>
      <c r="AJ33" s="458">
        <v>0.81220000000000003</v>
      </c>
      <c r="AK33" s="458">
        <f t="shared" ref="AK33:AK90" si="39">+W33/F33</f>
        <v>0.99939999999999996</v>
      </c>
      <c r="AL33" s="457">
        <f>+AI33*E33</f>
        <v>0.16904</v>
      </c>
      <c r="AM33" s="458">
        <f>+AJ33*E33</f>
        <v>0.32488000000000006</v>
      </c>
      <c r="AN33" s="1313">
        <f t="shared" ref="AN33:AN90" si="40">+AK33*E33</f>
        <v>0.39976</v>
      </c>
      <c r="AO33" s="142" t="s">
        <v>1844</v>
      </c>
      <c r="AP33" s="526" t="s">
        <v>1886</v>
      </c>
      <c r="AQ33" s="634" t="s">
        <v>1986</v>
      </c>
      <c r="AR33" s="634" t="s">
        <v>2008</v>
      </c>
      <c r="AS33" s="634" t="s">
        <v>2106</v>
      </c>
      <c r="AT33" s="634" t="s">
        <v>2137</v>
      </c>
      <c r="AU33" s="634" t="s">
        <v>2190</v>
      </c>
      <c r="AV33" s="634" t="s">
        <v>1887</v>
      </c>
      <c r="AW33" s="634" t="s">
        <v>2294</v>
      </c>
    </row>
    <row r="34" spans="1:49" ht="94.95" customHeight="1" thickBot="1" x14ac:dyDescent="0.4">
      <c r="A34" s="223"/>
      <c r="B34" s="1147" t="s">
        <v>59</v>
      </c>
      <c r="C34" s="1147" t="s">
        <v>60</v>
      </c>
      <c r="D34" s="361" t="s">
        <v>58</v>
      </c>
      <c r="E34" s="392">
        <v>0.5</v>
      </c>
      <c r="F34" s="383">
        <v>200</v>
      </c>
      <c r="G34" s="384">
        <v>35</v>
      </c>
      <c r="H34" s="385">
        <v>40</v>
      </c>
      <c r="I34" s="385">
        <v>60</v>
      </c>
      <c r="J34" s="386">
        <f>+G34/F34</f>
        <v>0.17499999999999999</v>
      </c>
      <c r="K34" s="389">
        <f t="shared" si="34"/>
        <v>0.2</v>
      </c>
      <c r="L34" s="389">
        <f t="shared" si="35"/>
        <v>0.3</v>
      </c>
      <c r="M34" s="386">
        <f>+(G34/F34)*E34</f>
        <v>8.7499999999999994E-2</v>
      </c>
      <c r="N34" s="389">
        <f t="shared" ref="N34:N90" si="41">+(H34/F34)*E34</f>
        <v>0.1</v>
      </c>
      <c r="O34" s="389"/>
      <c r="P34" s="384">
        <v>87</v>
      </c>
      <c r="Q34" s="439">
        <v>27</v>
      </c>
      <c r="R34" s="439">
        <v>35</v>
      </c>
      <c r="S34" s="439">
        <v>0</v>
      </c>
      <c r="T34" s="439">
        <v>28</v>
      </c>
      <c r="U34" s="439">
        <v>15</v>
      </c>
      <c r="V34" s="440">
        <f t="shared" ref="V34" si="42">+Q34+R34+S34+T34+U34</f>
        <v>105</v>
      </c>
      <c r="W34" s="900">
        <f t="shared" ref="W34" si="43">+V34+P34+AB34</f>
        <v>257</v>
      </c>
      <c r="X34" s="900">
        <v>25</v>
      </c>
      <c r="Y34" s="439">
        <v>40</v>
      </c>
      <c r="Z34" s="900"/>
      <c r="AA34" s="900"/>
      <c r="AB34" s="900">
        <f>+X34+Y34+Z34+AA34</f>
        <v>65</v>
      </c>
      <c r="AC34" s="386">
        <v>1</v>
      </c>
      <c r="AD34" s="419">
        <v>1</v>
      </c>
      <c r="AE34" s="419">
        <v>1</v>
      </c>
      <c r="AF34" s="433">
        <f>+AC34*E34</f>
        <v>0.5</v>
      </c>
      <c r="AG34" s="457">
        <f t="shared" ref="AG34:AG35" si="44">+AD34*E34</f>
        <v>0.5</v>
      </c>
      <c r="AH34" s="458">
        <f>+AE34*E34</f>
        <v>0.5</v>
      </c>
      <c r="AI34" s="457">
        <f>+P34/F34</f>
        <v>0.435</v>
      </c>
      <c r="AJ34" s="458">
        <v>0.96</v>
      </c>
      <c r="AK34" s="459">
        <v>1</v>
      </c>
      <c r="AL34" s="457">
        <f>+AI34*E34</f>
        <v>0.2175</v>
      </c>
      <c r="AM34" s="458">
        <f>+AJ34*E34</f>
        <v>0.48</v>
      </c>
      <c r="AN34" s="1310">
        <f t="shared" si="40"/>
        <v>0.5</v>
      </c>
      <c r="AO34" s="142" t="s">
        <v>1844</v>
      </c>
      <c r="AP34" s="526" t="s">
        <v>1886</v>
      </c>
      <c r="AQ34" s="634" t="s">
        <v>1986</v>
      </c>
      <c r="AR34" s="634" t="s">
        <v>2008</v>
      </c>
      <c r="AS34" s="634" t="s">
        <v>2106</v>
      </c>
      <c r="AT34" s="634" t="s">
        <v>2137</v>
      </c>
      <c r="AU34" s="634" t="s">
        <v>2190</v>
      </c>
      <c r="AV34" s="634" t="s">
        <v>1887</v>
      </c>
      <c r="AW34" s="634" t="s">
        <v>2294</v>
      </c>
    </row>
    <row r="35" spans="1:49" ht="108.6" customHeight="1" thickBot="1" x14ac:dyDescent="0.4">
      <c r="A35" s="223"/>
      <c r="B35" s="1147" t="s">
        <v>61</v>
      </c>
      <c r="C35" s="1147" t="s">
        <v>62</v>
      </c>
      <c r="D35" s="361" t="s">
        <v>58</v>
      </c>
      <c r="E35" s="392">
        <v>0.1</v>
      </c>
      <c r="F35" s="383">
        <v>4</v>
      </c>
      <c r="G35" s="384">
        <v>1</v>
      </c>
      <c r="H35" s="385">
        <v>1</v>
      </c>
      <c r="I35" s="385">
        <v>1</v>
      </c>
      <c r="J35" s="386">
        <f>+G35/F35</f>
        <v>0.25</v>
      </c>
      <c r="K35" s="389">
        <f t="shared" si="34"/>
        <v>0.25</v>
      </c>
      <c r="L35" s="389">
        <f t="shared" si="35"/>
        <v>0.25</v>
      </c>
      <c r="M35" s="386">
        <f>+(G35/F35)*E35</f>
        <v>2.5000000000000001E-2</v>
      </c>
      <c r="N35" s="389">
        <f t="shared" si="41"/>
        <v>2.5000000000000001E-2</v>
      </c>
      <c r="O35" s="389"/>
      <c r="P35" s="384">
        <v>1</v>
      </c>
      <c r="Q35" s="439">
        <v>0</v>
      </c>
      <c r="R35" s="439">
        <v>0</v>
      </c>
      <c r="S35" s="439">
        <v>0</v>
      </c>
      <c r="T35" s="439">
        <v>2</v>
      </c>
      <c r="U35" s="439">
        <v>0</v>
      </c>
      <c r="V35" s="440">
        <f>+Q35+R35+S35+T35+U35</f>
        <v>2</v>
      </c>
      <c r="W35" s="900">
        <f>+V35+P35+AB35</f>
        <v>3</v>
      </c>
      <c r="X35" s="900">
        <v>0</v>
      </c>
      <c r="Y35" s="439">
        <v>0</v>
      </c>
      <c r="Z35" s="900"/>
      <c r="AA35" s="900"/>
      <c r="AB35" s="900">
        <f t="shared" si="36"/>
        <v>0</v>
      </c>
      <c r="AC35" s="386">
        <f>+(P35/G35)</f>
        <v>1</v>
      </c>
      <c r="AD35" s="419">
        <v>1</v>
      </c>
      <c r="AE35" s="419">
        <f t="shared" si="37"/>
        <v>0</v>
      </c>
      <c r="AF35" s="433">
        <f>+AC35*E35</f>
        <v>0.1</v>
      </c>
      <c r="AG35" s="457">
        <f t="shared" si="44"/>
        <v>0.1</v>
      </c>
      <c r="AH35" s="459">
        <f>+AE35*E35</f>
        <v>0</v>
      </c>
      <c r="AI35" s="457">
        <f>+P35/F35</f>
        <v>0.25</v>
      </c>
      <c r="AJ35" s="458">
        <v>0.75</v>
      </c>
      <c r="AK35" s="905">
        <f t="shared" si="39"/>
        <v>0.75</v>
      </c>
      <c r="AL35" s="457">
        <f>+AI35*E35</f>
        <v>2.5000000000000001E-2</v>
      </c>
      <c r="AM35" s="458">
        <f>+AJ35*E35</f>
        <v>7.5000000000000011E-2</v>
      </c>
      <c r="AN35" s="793">
        <f t="shared" si="40"/>
        <v>7.5000000000000011E-2</v>
      </c>
      <c r="AO35" s="142" t="s">
        <v>1844</v>
      </c>
      <c r="AP35" s="526" t="s">
        <v>1886</v>
      </c>
      <c r="AQ35" s="634" t="s">
        <v>1986</v>
      </c>
      <c r="AR35" s="634" t="s">
        <v>2008</v>
      </c>
      <c r="AS35" s="634" t="s">
        <v>2106</v>
      </c>
      <c r="AT35" s="634" t="s">
        <v>2137</v>
      </c>
      <c r="AU35" s="634" t="s">
        <v>2190</v>
      </c>
      <c r="AV35" s="634" t="s">
        <v>1887</v>
      </c>
      <c r="AW35" s="634" t="s">
        <v>2294</v>
      </c>
    </row>
    <row r="36" spans="1:49" ht="62.25" customHeight="1" thickBot="1" x14ac:dyDescent="0.45">
      <c r="A36" s="223"/>
      <c r="B36" s="1295" t="s">
        <v>1596</v>
      </c>
      <c r="C36" s="1292"/>
      <c r="D36" s="361"/>
      <c r="E36" s="379">
        <v>0.1</v>
      </c>
      <c r="F36" s="382"/>
      <c r="G36" s="382"/>
      <c r="H36" s="388"/>
      <c r="I36" s="388"/>
      <c r="J36" s="381">
        <f>+AVERAGE(J37:J38)</f>
        <v>0.25</v>
      </c>
      <c r="K36" s="381">
        <f>+AVERAGE(K37:K38)</f>
        <v>0.21249999999999999</v>
      </c>
      <c r="L36" s="381">
        <f>+AVERAGE(L37:L38)</f>
        <v>0.22500000000000001</v>
      </c>
      <c r="M36" s="381">
        <f>+M37+M38</f>
        <v>0.25</v>
      </c>
      <c r="N36" s="381">
        <f>+N37+N38</f>
        <v>0.19</v>
      </c>
      <c r="O36" s="381"/>
      <c r="P36" s="382"/>
      <c r="Q36" s="388"/>
      <c r="R36" s="388"/>
      <c r="S36" s="388"/>
      <c r="T36" s="388"/>
      <c r="U36" s="388"/>
      <c r="V36" s="833"/>
      <c r="W36" s="901"/>
      <c r="X36" s="901"/>
      <c r="Y36" s="901"/>
      <c r="Z36" s="901"/>
      <c r="AA36" s="901"/>
      <c r="AB36" s="901"/>
      <c r="AC36" s="441">
        <f>+AVERAGE(AC37:AC38)</f>
        <v>1</v>
      </c>
      <c r="AD36" s="441">
        <f>+AVERAGE(AD37:AD38)</f>
        <v>1</v>
      </c>
      <c r="AE36" s="441">
        <f>+AVERAGE(AE37:AE38)</f>
        <v>0.25</v>
      </c>
      <c r="AF36" s="441">
        <f>+(AF37+AF38)*E36</f>
        <v>0.1</v>
      </c>
      <c r="AG36" s="460">
        <f>+(AG37+AG38)*E36</f>
        <v>0.1</v>
      </c>
      <c r="AH36" s="882">
        <f>+(AH37+AH38)*E36</f>
        <v>1.0000000000000002E-2</v>
      </c>
      <c r="AI36" s="401">
        <f>+AVERAGE(AI37:AI38)</f>
        <v>0.33499999999999996</v>
      </c>
      <c r="AJ36" s="453">
        <v>0.54749999999999999</v>
      </c>
      <c r="AK36" s="453">
        <f>+AVERAGE(AK37:AK38)</f>
        <v>0.61</v>
      </c>
      <c r="AL36" s="401">
        <f>+(AL37+AL38)*E36</f>
        <v>3.8600000000000002E-2</v>
      </c>
      <c r="AM36" s="453">
        <f>+(AM37+AM38)</f>
        <v>0.57599999999999996</v>
      </c>
      <c r="AN36" s="453">
        <f>+(AN37+AN38)</f>
        <v>0.60099999999999998</v>
      </c>
      <c r="AO36" s="136"/>
      <c r="AP36" s="359"/>
      <c r="AQ36" s="359"/>
      <c r="AR36" s="359"/>
      <c r="AS36" s="359"/>
      <c r="AT36" s="359"/>
      <c r="AU36" s="158"/>
      <c r="AV36" s="158"/>
    </row>
    <row r="37" spans="1:49" ht="103.2" customHeight="1" thickBot="1" x14ac:dyDescent="0.4">
      <c r="A37" s="223"/>
      <c r="B37" s="1147" t="s">
        <v>63</v>
      </c>
      <c r="C37" s="1147" t="s">
        <v>64</v>
      </c>
      <c r="D37" s="361" t="s">
        <v>58</v>
      </c>
      <c r="E37" s="269">
        <v>0.8</v>
      </c>
      <c r="F37" s="383">
        <v>200</v>
      </c>
      <c r="G37" s="384">
        <v>50</v>
      </c>
      <c r="H37" s="385">
        <v>35</v>
      </c>
      <c r="I37" s="385">
        <v>40</v>
      </c>
      <c r="J37" s="386">
        <f>+G37/F37</f>
        <v>0.25</v>
      </c>
      <c r="K37" s="402">
        <f t="shared" si="34"/>
        <v>0.17499999999999999</v>
      </c>
      <c r="L37" s="1314">
        <f t="shared" si="35"/>
        <v>0.2</v>
      </c>
      <c r="M37" s="389">
        <f>+(G37/F37)*E37</f>
        <v>0.2</v>
      </c>
      <c r="N37" s="389">
        <f t="shared" si="41"/>
        <v>0.13999999999999999</v>
      </c>
      <c r="O37" s="389"/>
      <c r="P37" s="384">
        <v>84</v>
      </c>
      <c r="Q37" s="439">
        <v>0</v>
      </c>
      <c r="R37" s="439">
        <v>0</v>
      </c>
      <c r="S37" s="439">
        <v>35</v>
      </c>
      <c r="T37" s="439">
        <v>0</v>
      </c>
      <c r="U37" s="439">
        <v>0</v>
      </c>
      <c r="V37" s="440">
        <f>+Q37+R37+S37+T37+U37</f>
        <v>35</v>
      </c>
      <c r="W37" s="900">
        <f>+V37+P37+AB37</f>
        <v>119</v>
      </c>
      <c r="X37" s="439">
        <v>0</v>
      </c>
      <c r="Y37" s="439">
        <v>0</v>
      </c>
      <c r="Z37" s="900"/>
      <c r="AA37" s="900"/>
      <c r="AB37" s="900">
        <f t="shared" si="36"/>
        <v>0</v>
      </c>
      <c r="AC37" s="386">
        <v>1</v>
      </c>
      <c r="AD37" s="389">
        <f>+V37/H37</f>
        <v>1</v>
      </c>
      <c r="AE37" s="389">
        <f t="shared" si="37"/>
        <v>0</v>
      </c>
      <c r="AF37" s="386">
        <f>+AC37*E37</f>
        <v>0.8</v>
      </c>
      <c r="AG37" s="402">
        <f>+AD37*E37</f>
        <v>0.8</v>
      </c>
      <c r="AH37" s="462">
        <f t="shared" ref="AH37:AH90" si="45">+AE37*E37</f>
        <v>0</v>
      </c>
      <c r="AI37" s="457">
        <f>+P37/F37</f>
        <v>0.42</v>
      </c>
      <c r="AJ37" s="458">
        <v>0.59499999999999997</v>
      </c>
      <c r="AK37" s="458">
        <f t="shared" si="39"/>
        <v>0.59499999999999997</v>
      </c>
      <c r="AL37" s="457">
        <f>+AI37*E37</f>
        <v>0.33600000000000002</v>
      </c>
      <c r="AM37" s="458">
        <f>+AJ37*E37</f>
        <v>0.47599999999999998</v>
      </c>
      <c r="AN37" s="1310">
        <f t="shared" si="40"/>
        <v>0.47599999999999998</v>
      </c>
      <c r="AO37" s="142" t="s">
        <v>1844</v>
      </c>
      <c r="AP37" s="526" t="s">
        <v>1886</v>
      </c>
      <c r="AQ37" s="634" t="s">
        <v>1986</v>
      </c>
      <c r="AR37" s="634" t="s">
        <v>2008</v>
      </c>
      <c r="AS37" s="634" t="s">
        <v>2106</v>
      </c>
      <c r="AT37" s="634" t="s">
        <v>2137</v>
      </c>
      <c r="AU37" s="634" t="s">
        <v>2190</v>
      </c>
      <c r="AV37" s="634" t="s">
        <v>1887</v>
      </c>
      <c r="AW37" s="634" t="s">
        <v>2294</v>
      </c>
    </row>
    <row r="38" spans="1:49" ht="84.6" customHeight="1" thickBot="1" x14ac:dyDescent="0.4">
      <c r="A38" s="223"/>
      <c r="B38" s="1147" t="s">
        <v>65</v>
      </c>
      <c r="C38" s="1147" t="s">
        <v>66</v>
      </c>
      <c r="D38" s="361" t="s">
        <v>58</v>
      </c>
      <c r="E38" s="269">
        <v>0.2</v>
      </c>
      <c r="F38" s="383">
        <v>4</v>
      </c>
      <c r="G38" s="384">
        <v>1</v>
      </c>
      <c r="H38" s="385">
        <v>1</v>
      </c>
      <c r="I38" s="385">
        <v>1</v>
      </c>
      <c r="J38" s="386">
        <f>+G38/F38</f>
        <v>0.25</v>
      </c>
      <c r="K38" s="402">
        <f t="shared" si="34"/>
        <v>0.25</v>
      </c>
      <c r="L38" s="463">
        <f t="shared" si="35"/>
        <v>0.25</v>
      </c>
      <c r="M38" s="389">
        <f>+(G38/F38)*E38</f>
        <v>0.05</v>
      </c>
      <c r="N38" s="389">
        <f t="shared" si="41"/>
        <v>0.05</v>
      </c>
      <c r="O38" s="389"/>
      <c r="P38" s="384">
        <v>1</v>
      </c>
      <c r="Q38" s="439">
        <v>0</v>
      </c>
      <c r="R38" s="439">
        <v>0</v>
      </c>
      <c r="S38" s="439">
        <v>1</v>
      </c>
      <c r="T38" s="439">
        <v>0</v>
      </c>
      <c r="U38" s="439">
        <v>0</v>
      </c>
      <c r="V38" s="440">
        <f>+Q38+R38+S38+T38+U38</f>
        <v>1</v>
      </c>
      <c r="W38" s="900">
        <f>+V38+P38+AB38</f>
        <v>2.5</v>
      </c>
      <c r="X38" s="439">
        <v>0</v>
      </c>
      <c r="Y38" s="439">
        <v>0.5</v>
      </c>
      <c r="Z38" s="900"/>
      <c r="AA38" s="900"/>
      <c r="AB38" s="900">
        <f t="shared" si="36"/>
        <v>0.5</v>
      </c>
      <c r="AC38" s="386">
        <f>+(P38/G38)</f>
        <v>1</v>
      </c>
      <c r="AD38" s="389">
        <f>+V38/H38</f>
        <v>1</v>
      </c>
      <c r="AE38" s="389">
        <f t="shared" si="37"/>
        <v>0.5</v>
      </c>
      <c r="AF38" s="386">
        <f>+AC38*E38</f>
        <v>0.2</v>
      </c>
      <c r="AG38" s="858">
        <f>+AD38*E38</f>
        <v>0.2</v>
      </c>
      <c r="AH38" s="463">
        <f t="shared" si="45"/>
        <v>0.1</v>
      </c>
      <c r="AI38" s="457">
        <f>+P38/F38</f>
        <v>0.25</v>
      </c>
      <c r="AJ38" s="458">
        <v>0.5</v>
      </c>
      <c r="AK38" s="856">
        <f t="shared" si="39"/>
        <v>0.625</v>
      </c>
      <c r="AL38" s="457">
        <f>+AI38*E38</f>
        <v>0.05</v>
      </c>
      <c r="AM38" s="458">
        <f>+AJ38*E38</f>
        <v>0.1</v>
      </c>
      <c r="AN38" s="1310">
        <f t="shared" si="40"/>
        <v>0.125</v>
      </c>
      <c r="AO38" s="142" t="s">
        <v>1844</v>
      </c>
      <c r="AP38" s="526" t="s">
        <v>1886</v>
      </c>
      <c r="AQ38" s="634" t="s">
        <v>1986</v>
      </c>
      <c r="AR38" s="634" t="s">
        <v>2008</v>
      </c>
      <c r="AS38" s="634" t="s">
        <v>2106</v>
      </c>
      <c r="AT38" s="634" t="s">
        <v>2137</v>
      </c>
      <c r="AU38" s="634" t="s">
        <v>2190</v>
      </c>
      <c r="AV38" s="634" t="s">
        <v>1887</v>
      </c>
      <c r="AW38" s="634" t="s">
        <v>2294</v>
      </c>
    </row>
    <row r="39" spans="1:49" ht="46.5" customHeight="1" thickBot="1" x14ac:dyDescent="0.45">
      <c r="A39" s="223"/>
      <c r="B39" s="1295" t="s">
        <v>1597</v>
      </c>
      <c r="C39" s="1292"/>
      <c r="D39" s="361"/>
      <c r="E39" s="379">
        <v>0.15</v>
      </c>
      <c r="F39" s="382"/>
      <c r="G39" s="384"/>
      <c r="H39" s="385"/>
      <c r="I39" s="394"/>
      <c r="J39" s="381">
        <f>+AVERAGE(J40:J43)</f>
        <v>0.18333333333333335</v>
      </c>
      <c r="K39" s="401">
        <f>+AVERAGE(K40:K43)</f>
        <v>0.3520833333333333</v>
      </c>
      <c r="L39" s="461">
        <f>+AVERAGE(L40:L43)</f>
        <v>0.2722222222222222</v>
      </c>
      <c r="M39" s="381">
        <f>+M40+M41+M42+M43</f>
        <v>0.18333333333333335</v>
      </c>
      <c r="N39" s="381">
        <f>+N40+N41+N42+N43</f>
        <v>0.31458333333333333</v>
      </c>
      <c r="O39" s="381"/>
      <c r="P39" s="382"/>
      <c r="Q39" s="388"/>
      <c r="R39" s="388"/>
      <c r="S39" s="388"/>
      <c r="T39" s="388"/>
      <c r="U39" s="425"/>
      <c r="V39" s="388"/>
      <c r="W39" s="388"/>
      <c r="X39" s="388"/>
      <c r="Y39" s="388"/>
      <c r="Z39" s="388"/>
      <c r="AA39" s="388"/>
      <c r="AB39" s="388"/>
      <c r="AC39" s="441">
        <f>+AVERAGE(AC40:AC43)</f>
        <v>1</v>
      </c>
      <c r="AD39" s="441">
        <f>+AVERAGE(AD40:AD43)</f>
        <v>0.75</v>
      </c>
      <c r="AE39" s="441">
        <f>+AVERAGE(AE40:AE43)</f>
        <v>0.25</v>
      </c>
      <c r="AF39" s="460">
        <f>+(AF40+AF41+AF42+AF43)*E39</f>
        <v>0.15</v>
      </c>
      <c r="AG39" s="902">
        <f>+(AG40+AG41+AG42+AG43)*E39</f>
        <v>0.11249999999999999</v>
      </c>
      <c r="AH39" s="882">
        <f>+(AH40+AH41+AH42+AH43)*E39</f>
        <v>3.7499999999999999E-2</v>
      </c>
      <c r="AI39" s="401">
        <f>+AVERAGE(AI40:AI43)</f>
        <v>0.27083333333333337</v>
      </c>
      <c r="AJ39" s="453">
        <v>0.625</v>
      </c>
      <c r="AK39" s="453">
        <f>+AVERAGE(AK40:AK43)</f>
        <v>0.6875</v>
      </c>
      <c r="AL39" s="401">
        <f>+(AL40+AL41+AL42+AL43)*E39</f>
        <v>3.6874999999999998E-2</v>
      </c>
      <c r="AM39" s="453">
        <f>+(AM40+AM41+AM42+AM43)</f>
        <v>0.57499999999999996</v>
      </c>
      <c r="AN39" s="453">
        <f>+(AN40+AN41+AN42+AN43)</f>
        <v>0.63749999999999996</v>
      </c>
      <c r="AO39" s="136"/>
      <c r="AP39" s="359"/>
      <c r="AQ39" s="359"/>
      <c r="AR39" s="359"/>
      <c r="AS39" s="359"/>
      <c r="AT39" s="359"/>
      <c r="AU39" s="158"/>
      <c r="AV39" s="158"/>
    </row>
    <row r="40" spans="1:49" ht="89.4" customHeight="1" thickBot="1" x14ac:dyDescent="0.4">
      <c r="A40" s="223"/>
      <c r="B40" s="1147" t="s">
        <v>67</v>
      </c>
      <c r="C40" s="1147" t="s">
        <v>68</v>
      </c>
      <c r="D40" s="361" t="s">
        <v>12</v>
      </c>
      <c r="E40" s="269">
        <v>0.35</v>
      </c>
      <c r="F40" s="383">
        <v>4</v>
      </c>
      <c r="G40" s="384">
        <v>1</v>
      </c>
      <c r="H40" s="395">
        <v>1</v>
      </c>
      <c r="I40" s="444">
        <v>1</v>
      </c>
      <c r="J40" s="389">
        <f>+G40/F40</f>
        <v>0.25</v>
      </c>
      <c r="K40" s="402">
        <f t="shared" si="34"/>
        <v>0.25</v>
      </c>
      <c r="L40" s="468">
        <f>+I40/F40</f>
        <v>0.25</v>
      </c>
      <c r="M40" s="389">
        <f>+(G40/F40)*E40</f>
        <v>8.7499999999999994E-2</v>
      </c>
      <c r="N40" s="389">
        <f t="shared" si="41"/>
        <v>8.7499999999999994E-2</v>
      </c>
      <c r="O40" s="389"/>
      <c r="P40" s="384">
        <v>1</v>
      </c>
      <c r="Q40" s="439">
        <v>0</v>
      </c>
      <c r="R40" s="439">
        <v>1</v>
      </c>
      <c r="S40" s="439">
        <v>0</v>
      </c>
      <c r="T40" s="805">
        <v>0</v>
      </c>
      <c r="U40" s="443">
        <v>0</v>
      </c>
      <c r="V40" s="385">
        <f>+Q40+R40+S40+T40+U40</f>
        <v>1</v>
      </c>
      <c r="W40" s="385">
        <f>+V40+P40+AB40</f>
        <v>2</v>
      </c>
      <c r="X40" s="439">
        <v>0</v>
      </c>
      <c r="Y40" s="439">
        <v>0</v>
      </c>
      <c r="Z40" s="385"/>
      <c r="AA40" s="385"/>
      <c r="AB40" s="385">
        <f t="shared" si="36"/>
        <v>0</v>
      </c>
      <c r="AC40" s="386">
        <f>+(P40/G40)</f>
        <v>1</v>
      </c>
      <c r="AD40" s="389">
        <f>+V40/H40</f>
        <v>1</v>
      </c>
      <c r="AE40" s="389">
        <f t="shared" si="37"/>
        <v>0</v>
      </c>
      <c r="AF40" s="386">
        <f>+AC40*E40</f>
        <v>0.35</v>
      </c>
      <c r="AG40" s="869">
        <f>+AD40*E40</f>
        <v>0.35</v>
      </c>
      <c r="AH40" s="462">
        <f t="shared" si="45"/>
        <v>0</v>
      </c>
      <c r="AI40" s="457">
        <f>+P40/F40</f>
        <v>0.25</v>
      </c>
      <c r="AJ40" s="458">
        <v>0.5</v>
      </c>
      <c r="AK40" s="458">
        <f t="shared" si="39"/>
        <v>0.5</v>
      </c>
      <c r="AL40" s="457">
        <f>+AI40*E40</f>
        <v>8.7499999999999994E-2</v>
      </c>
      <c r="AM40" s="458">
        <f>+AJ40*E40</f>
        <v>0.17499999999999999</v>
      </c>
      <c r="AN40" s="1310">
        <f t="shared" si="40"/>
        <v>0.17499999999999999</v>
      </c>
      <c r="AO40" s="142" t="s">
        <v>1844</v>
      </c>
      <c r="AP40" s="526" t="s">
        <v>1886</v>
      </c>
      <c r="AQ40" s="634" t="s">
        <v>1986</v>
      </c>
      <c r="AR40" s="634" t="s">
        <v>2008</v>
      </c>
      <c r="AS40" s="538" t="s">
        <v>1859</v>
      </c>
      <c r="AT40" s="538" t="s">
        <v>1859</v>
      </c>
      <c r="AU40" s="538" t="s">
        <v>1859</v>
      </c>
      <c r="AV40" s="538" t="s">
        <v>1859</v>
      </c>
      <c r="AW40" s="538" t="s">
        <v>1859</v>
      </c>
    </row>
    <row r="41" spans="1:49" ht="64.2" customHeight="1" thickBot="1" x14ac:dyDescent="0.4">
      <c r="A41" s="223"/>
      <c r="B41" s="1147" t="s">
        <v>69</v>
      </c>
      <c r="C41" s="1147" t="s">
        <v>70</v>
      </c>
      <c r="D41" s="361" t="s">
        <v>12</v>
      </c>
      <c r="E41" s="269">
        <v>0.25</v>
      </c>
      <c r="F41" s="383">
        <v>20</v>
      </c>
      <c r="G41" s="384">
        <v>3</v>
      </c>
      <c r="H41" s="395">
        <v>4</v>
      </c>
      <c r="I41" s="444">
        <v>8</v>
      </c>
      <c r="J41" s="393">
        <f>+G41/F41</f>
        <v>0.15</v>
      </c>
      <c r="K41" s="402">
        <f t="shared" si="34"/>
        <v>0.2</v>
      </c>
      <c r="L41" s="404">
        <f t="shared" si="35"/>
        <v>0.4</v>
      </c>
      <c r="M41" s="393">
        <f>+(G41/F41)*E41</f>
        <v>3.7499999999999999E-2</v>
      </c>
      <c r="N41" s="389">
        <f t="shared" si="41"/>
        <v>0.05</v>
      </c>
      <c r="O41" s="393"/>
      <c r="P41" s="394">
        <v>5</v>
      </c>
      <c r="Q41" s="439">
        <v>0</v>
      </c>
      <c r="R41" s="442">
        <v>0</v>
      </c>
      <c r="S41" s="442">
        <v>0</v>
      </c>
      <c r="T41" s="803">
        <v>0</v>
      </c>
      <c r="U41" s="443">
        <v>0</v>
      </c>
      <c r="V41" s="385">
        <f>+Q41+R41+S41+T41+U41</f>
        <v>0</v>
      </c>
      <c r="W41" s="385">
        <f t="shared" ref="W41:W42" si="46">+V41+P41+AB41</f>
        <v>5</v>
      </c>
      <c r="X41" s="439">
        <v>0</v>
      </c>
      <c r="Y41" s="439">
        <v>0</v>
      </c>
      <c r="Z41" s="385"/>
      <c r="AA41" s="385"/>
      <c r="AB41" s="385">
        <f t="shared" si="36"/>
        <v>0</v>
      </c>
      <c r="AC41" s="386">
        <v>1</v>
      </c>
      <c r="AD41" s="389">
        <f t="shared" ref="AD41:AD70" si="47">+V41/H41</f>
        <v>0</v>
      </c>
      <c r="AE41" s="389">
        <f t="shared" si="37"/>
        <v>0</v>
      </c>
      <c r="AF41" s="386">
        <f>+AC41*E41</f>
        <v>0.25</v>
      </c>
      <c r="AG41" s="402">
        <f t="shared" ref="AG41:AG89" si="48">+AD41*E41</f>
        <v>0</v>
      </c>
      <c r="AH41" s="403">
        <f t="shared" si="45"/>
        <v>0</v>
      </c>
      <c r="AI41" s="457">
        <f>+P41/F41</f>
        <v>0.25</v>
      </c>
      <c r="AJ41" s="458">
        <v>0.25</v>
      </c>
      <c r="AK41" s="458">
        <f t="shared" si="39"/>
        <v>0.25</v>
      </c>
      <c r="AL41" s="457">
        <f>+AI41*E41</f>
        <v>6.25E-2</v>
      </c>
      <c r="AM41" s="458">
        <f>+AJ41*E41</f>
        <v>6.25E-2</v>
      </c>
      <c r="AN41" s="1310">
        <f t="shared" si="40"/>
        <v>6.25E-2</v>
      </c>
      <c r="AO41" s="142" t="s">
        <v>1844</v>
      </c>
      <c r="AP41" s="526" t="s">
        <v>1886</v>
      </c>
      <c r="AQ41" s="634" t="s">
        <v>1986</v>
      </c>
      <c r="AR41" s="634" t="s">
        <v>2008</v>
      </c>
      <c r="AS41" s="634" t="s">
        <v>2106</v>
      </c>
      <c r="AT41" s="634" t="s">
        <v>2137</v>
      </c>
      <c r="AU41" s="634" t="s">
        <v>2190</v>
      </c>
      <c r="AV41" s="634" t="s">
        <v>1887</v>
      </c>
      <c r="AW41" s="634" t="s">
        <v>2294</v>
      </c>
    </row>
    <row r="42" spans="1:49" ht="74.400000000000006" customHeight="1" thickBot="1" x14ac:dyDescent="0.4">
      <c r="A42" s="223"/>
      <c r="B42" s="1147" t="s">
        <v>71</v>
      </c>
      <c r="C42" s="1147" t="s">
        <v>72</v>
      </c>
      <c r="D42" s="361" t="s">
        <v>12</v>
      </c>
      <c r="E42" s="269">
        <v>0.25</v>
      </c>
      <c r="F42" s="383">
        <v>12</v>
      </c>
      <c r="G42" s="384">
        <v>1</v>
      </c>
      <c r="H42" s="395">
        <v>4</v>
      </c>
      <c r="I42" s="444">
        <v>2</v>
      </c>
      <c r="J42" s="396">
        <f>+G42/F42</f>
        <v>8.3333333333333329E-2</v>
      </c>
      <c r="K42" s="402">
        <f t="shared" si="34"/>
        <v>0.33333333333333331</v>
      </c>
      <c r="L42" s="404">
        <f t="shared" si="35"/>
        <v>0.16666666666666666</v>
      </c>
      <c r="M42" s="396">
        <f>+(G42/F42)*E42</f>
        <v>2.0833333333333332E-2</v>
      </c>
      <c r="N42" s="402">
        <f t="shared" si="41"/>
        <v>8.3333333333333329E-2</v>
      </c>
      <c r="O42" s="404"/>
      <c r="P42" s="397">
        <v>1</v>
      </c>
      <c r="Q42" s="442">
        <v>0</v>
      </c>
      <c r="R42" s="698">
        <v>2</v>
      </c>
      <c r="S42" s="698">
        <v>3</v>
      </c>
      <c r="T42" s="806">
        <v>0</v>
      </c>
      <c r="U42" s="443">
        <v>3</v>
      </c>
      <c r="V42" s="385">
        <f>+Q42+R42+S42+T42+U42</f>
        <v>8</v>
      </c>
      <c r="W42" s="385">
        <f t="shared" si="46"/>
        <v>12</v>
      </c>
      <c r="X42" s="439">
        <v>3</v>
      </c>
      <c r="Y42" s="439">
        <v>0</v>
      </c>
      <c r="Z42" s="385"/>
      <c r="AA42" s="385"/>
      <c r="AB42" s="385">
        <f t="shared" si="36"/>
        <v>3</v>
      </c>
      <c r="AC42" s="386">
        <f>+(P42/G42)</f>
        <v>1</v>
      </c>
      <c r="AD42" s="389">
        <v>1</v>
      </c>
      <c r="AE42" s="389">
        <v>1</v>
      </c>
      <c r="AF42" s="386">
        <f>+AC42*E42</f>
        <v>0.25</v>
      </c>
      <c r="AG42" s="402">
        <f t="shared" si="48"/>
        <v>0.25</v>
      </c>
      <c r="AH42" s="403">
        <f t="shared" si="45"/>
        <v>0.25</v>
      </c>
      <c r="AI42" s="457">
        <f>+P42/F42</f>
        <v>8.3333333333333329E-2</v>
      </c>
      <c r="AJ42" s="458">
        <v>0.75</v>
      </c>
      <c r="AK42" s="459">
        <f t="shared" si="39"/>
        <v>1</v>
      </c>
      <c r="AL42" s="457">
        <f>+AI42*E42</f>
        <v>2.0833333333333332E-2</v>
      </c>
      <c r="AM42" s="458">
        <f>+AJ42*E42</f>
        <v>0.1875</v>
      </c>
      <c r="AN42" s="1310">
        <f t="shared" si="40"/>
        <v>0.25</v>
      </c>
      <c r="AO42" s="142" t="s">
        <v>1844</v>
      </c>
      <c r="AP42" s="526" t="s">
        <v>1886</v>
      </c>
      <c r="AQ42" s="634" t="s">
        <v>1986</v>
      </c>
      <c r="AR42" s="634" t="s">
        <v>2008</v>
      </c>
      <c r="AS42" s="634" t="s">
        <v>2106</v>
      </c>
      <c r="AT42" s="634" t="s">
        <v>2137</v>
      </c>
      <c r="AU42" s="634" t="s">
        <v>2190</v>
      </c>
      <c r="AV42" s="634" t="s">
        <v>1887</v>
      </c>
      <c r="AW42" s="634" t="s">
        <v>2294</v>
      </c>
    </row>
    <row r="43" spans="1:49" ht="90" customHeight="1" thickBot="1" x14ac:dyDescent="0.4">
      <c r="A43" s="223"/>
      <c r="B43" s="1147" t="s">
        <v>73</v>
      </c>
      <c r="C43" s="1147" t="s">
        <v>74</v>
      </c>
      <c r="D43" s="361" t="s">
        <v>31</v>
      </c>
      <c r="E43" s="269">
        <v>0.15</v>
      </c>
      <c r="F43" s="383">
        <v>8</v>
      </c>
      <c r="G43" s="384">
        <v>2</v>
      </c>
      <c r="H43" s="395">
        <v>5</v>
      </c>
      <c r="I43" s="444">
        <v>2</v>
      </c>
      <c r="J43" s="389">
        <f>+G43/F43</f>
        <v>0.25</v>
      </c>
      <c r="K43" s="402">
        <f t="shared" si="34"/>
        <v>0.625</v>
      </c>
      <c r="L43" s="404"/>
      <c r="M43" s="393">
        <f>+(G43/F43)*E43</f>
        <v>3.7499999999999999E-2</v>
      </c>
      <c r="N43" s="402">
        <f t="shared" si="41"/>
        <v>9.375E-2</v>
      </c>
      <c r="O43" s="1005"/>
      <c r="P43" s="399">
        <v>4</v>
      </c>
      <c r="Q43" s="443">
        <v>0</v>
      </c>
      <c r="R43" s="443">
        <v>2</v>
      </c>
      <c r="S43" s="443">
        <v>0</v>
      </c>
      <c r="T43" s="803">
        <v>0</v>
      </c>
      <c r="U43" s="443">
        <v>4</v>
      </c>
      <c r="V43" s="394">
        <f>+Q43+R43+S43+T43+U43</f>
        <v>6</v>
      </c>
      <c r="W43" s="385">
        <f>+V43+P43+AB43</f>
        <v>10</v>
      </c>
      <c r="X43" s="439">
        <v>0</v>
      </c>
      <c r="Y43" s="385"/>
      <c r="Z43" s="385"/>
      <c r="AA43" s="385"/>
      <c r="AB43" s="385">
        <f t="shared" si="36"/>
        <v>0</v>
      </c>
      <c r="AC43" s="386">
        <v>1</v>
      </c>
      <c r="AD43" s="389">
        <v>1</v>
      </c>
      <c r="AE43" s="389">
        <f t="shared" si="37"/>
        <v>0</v>
      </c>
      <c r="AF43" s="386">
        <f>+AC43*E43</f>
        <v>0.15</v>
      </c>
      <c r="AG43" s="402">
        <f t="shared" si="48"/>
        <v>0.15</v>
      </c>
      <c r="AH43" s="463">
        <f t="shared" si="45"/>
        <v>0</v>
      </c>
      <c r="AI43" s="457">
        <f>+P43/F43</f>
        <v>0.5</v>
      </c>
      <c r="AJ43" s="459">
        <v>1</v>
      </c>
      <c r="AK43" s="1310">
        <v>1</v>
      </c>
      <c r="AL43" s="457">
        <f>+AI43*E43</f>
        <v>7.4999999999999997E-2</v>
      </c>
      <c r="AM43" s="458">
        <f>+AJ43*E43</f>
        <v>0.15</v>
      </c>
      <c r="AN43" s="1313">
        <f t="shared" si="40"/>
        <v>0.15</v>
      </c>
      <c r="AO43" s="142" t="s">
        <v>1844</v>
      </c>
      <c r="AP43" s="526" t="s">
        <v>1886</v>
      </c>
      <c r="AQ43" s="634" t="s">
        <v>1986</v>
      </c>
      <c r="AR43" s="634" t="s">
        <v>2008</v>
      </c>
      <c r="AS43" s="732" t="s">
        <v>2070</v>
      </c>
      <c r="AT43" s="634" t="s">
        <v>2137</v>
      </c>
      <c r="AU43" s="634" t="s">
        <v>2190</v>
      </c>
      <c r="AV43" s="634" t="s">
        <v>1887</v>
      </c>
    </row>
    <row r="44" spans="1:49" ht="100.5" customHeight="1" thickBot="1" x14ac:dyDescent="0.45">
      <c r="A44" s="223"/>
      <c r="B44" s="1295" t="s">
        <v>1598</v>
      </c>
      <c r="C44" s="1292"/>
      <c r="D44" s="361"/>
      <c r="E44" s="379">
        <v>0.15</v>
      </c>
      <c r="F44" s="382"/>
      <c r="G44" s="384"/>
      <c r="H44" s="395"/>
      <c r="I44" s="444"/>
      <c r="J44" s="381">
        <f>+AVERAGE(J45:J51)</f>
        <v>0.30555555555555552</v>
      </c>
      <c r="K44" s="401">
        <f>+AVERAGE(K45:K51)</f>
        <v>0.6347222222222223</v>
      </c>
      <c r="L44" s="461">
        <f>+AVERAGE(L45:L51)</f>
        <v>0.43806818181818186</v>
      </c>
      <c r="M44" s="891">
        <f>+M45+M46+M47+M48+M49+M50+M51</f>
        <v>0.16666666666666666</v>
      </c>
      <c r="N44" s="950">
        <f>+N45+N46+N47+N48+N49+N50+N51</f>
        <v>0.53083333333333338</v>
      </c>
      <c r="O44" s="461"/>
      <c r="P44" s="1004"/>
      <c r="Q44" s="445"/>
      <c r="R44" s="445"/>
      <c r="S44" s="446"/>
      <c r="T44" s="807"/>
      <c r="U44" s="834"/>
      <c r="V44" s="445"/>
      <c r="W44" s="445"/>
      <c r="X44" s="439"/>
      <c r="Y44" s="439"/>
      <c r="Z44" s="385"/>
      <c r="AA44" s="385"/>
      <c r="AB44" s="385"/>
      <c r="AC44" s="441">
        <f>+AVERAGE(AC45:AC51)</f>
        <v>0.33333333333333331</v>
      </c>
      <c r="AD44" s="441">
        <f>+AVERAGE(AD45:AD51)</f>
        <v>0.66666666666666663</v>
      </c>
      <c r="AE44" s="441">
        <f>+AVERAGE(AE45:AE51)</f>
        <v>0.25</v>
      </c>
      <c r="AF44" s="441">
        <f>+(AF45+AF46+AF47+AF48+AF49+AF50+AF51)*E44</f>
        <v>1.4999999999999999E-2</v>
      </c>
      <c r="AG44" s="460">
        <f>+(AG45+AG46+AG47+AG48+AG49+AG50+AG51)*E44</f>
        <v>0.06</v>
      </c>
      <c r="AH44" s="882">
        <f>+(AH45+AH46+AH47+AH48+AH49+AH50+AH51)*E44</f>
        <v>1.8749999999999999E-2</v>
      </c>
      <c r="AI44" s="401">
        <f>+AVERAGE(AI45:AI51)</f>
        <v>8.3333333333333329E-2</v>
      </c>
      <c r="AJ44" s="461">
        <v>0.47022380952380949</v>
      </c>
      <c r="AK44" s="461">
        <f>+AVERAGE(AK45:AK51)</f>
        <v>0.4312770562770562</v>
      </c>
      <c r="AL44" s="906">
        <f>+(AL45+AL46+AL47+AL48+AL49+AL50+AL51)*E44</f>
        <v>3.7499999999999999E-3</v>
      </c>
      <c r="AM44" s="890">
        <f>+(AM45+AM46+AM47+AM48+AM49+AM50+AM51)</f>
        <v>0.29582333333333333</v>
      </c>
      <c r="AN44" s="890">
        <f>+(AN45+AN46+AN47+AN48+AN49+AN50+AN51)</f>
        <v>0.30189393939393938</v>
      </c>
      <c r="AO44" s="136"/>
      <c r="AP44" s="359"/>
      <c r="AQ44" s="359"/>
      <c r="AR44" s="359"/>
      <c r="AS44" s="359"/>
      <c r="AT44" s="359"/>
      <c r="AU44" s="158"/>
      <c r="AV44" s="158"/>
    </row>
    <row r="45" spans="1:49" ht="138" customHeight="1" thickBot="1" x14ac:dyDescent="0.4">
      <c r="A45" s="223"/>
      <c r="B45" s="1147" t="s">
        <v>75</v>
      </c>
      <c r="C45" s="1147" t="s">
        <v>76</v>
      </c>
      <c r="D45" s="361" t="s">
        <v>12</v>
      </c>
      <c r="E45" s="269">
        <v>0.25</v>
      </c>
      <c r="F45" s="383">
        <v>2</v>
      </c>
      <c r="G45" s="384">
        <v>1</v>
      </c>
      <c r="H45" s="1059">
        <v>2</v>
      </c>
      <c r="I45" s="1060">
        <v>2</v>
      </c>
      <c r="J45" s="398">
        <f t="shared" ref="J45:J51" si="49">+G45/F45</f>
        <v>0.5</v>
      </c>
      <c r="K45" s="402">
        <f>+H45/F45</f>
        <v>1</v>
      </c>
      <c r="L45" s="462">
        <f>+I45/F45</f>
        <v>1</v>
      </c>
      <c r="M45" s="860">
        <f t="shared" ref="M45:M51" si="50">+(G45/F45)*E45</f>
        <v>0.125</v>
      </c>
      <c r="N45" s="404">
        <f>+(H45/F45)*E45</f>
        <v>0.25</v>
      </c>
      <c r="O45" s="951"/>
      <c r="P45" s="405">
        <v>0</v>
      </c>
      <c r="Q45" s="443">
        <v>0</v>
      </c>
      <c r="R45" s="699">
        <v>0</v>
      </c>
      <c r="S45" s="737">
        <v>0</v>
      </c>
      <c r="T45" s="699">
        <v>0</v>
      </c>
      <c r="U45" s="737">
        <v>0</v>
      </c>
      <c r="V45" s="406">
        <f>+Q45+R45+S45+T45+U45</f>
        <v>0</v>
      </c>
      <c r="W45" s="447">
        <f>+V45+P45+AB45</f>
        <v>0</v>
      </c>
      <c r="X45" s="439">
        <v>0</v>
      </c>
      <c r="Y45" s="439">
        <v>0</v>
      </c>
      <c r="Z45" s="385"/>
      <c r="AA45" s="385"/>
      <c r="AB45" s="385">
        <f t="shared" si="36"/>
        <v>0</v>
      </c>
      <c r="AC45" s="386">
        <f t="shared" ref="AC45:AC51" si="51">+(P45/G45)</f>
        <v>0</v>
      </c>
      <c r="AD45" s="389">
        <f t="shared" si="47"/>
        <v>0</v>
      </c>
      <c r="AE45" s="389">
        <f t="shared" si="37"/>
        <v>0</v>
      </c>
      <c r="AF45" s="386">
        <f>+AC45*E45</f>
        <v>0</v>
      </c>
      <c r="AG45" s="402">
        <f t="shared" si="48"/>
        <v>0</v>
      </c>
      <c r="AH45" s="404">
        <f t="shared" si="45"/>
        <v>0</v>
      </c>
      <c r="AI45" s="457">
        <f t="shared" ref="AI45:AI51" si="52">+P45/F45</f>
        <v>0</v>
      </c>
      <c r="AJ45" s="464">
        <v>0</v>
      </c>
      <c r="AK45" s="905">
        <f t="shared" si="39"/>
        <v>0</v>
      </c>
      <c r="AL45" s="907">
        <f>+AI45*E45</f>
        <v>0</v>
      </c>
      <c r="AM45" s="905">
        <f>+AJ45*E45</f>
        <v>0</v>
      </c>
      <c r="AN45" s="1310">
        <f t="shared" si="40"/>
        <v>0</v>
      </c>
      <c r="AO45" s="142" t="s">
        <v>1844</v>
      </c>
      <c r="AP45" s="526" t="s">
        <v>1886</v>
      </c>
      <c r="AQ45" s="634" t="s">
        <v>1986</v>
      </c>
      <c r="AR45" s="634" t="s">
        <v>2008</v>
      </c>
      <c r="AS45" s="634" t="s">
        <v>2106</v>
      </c>
      <c r="AT45" s="634" t="s">
        <v>2137</v>
      </c>
      <c r="AU45" s="634" t="s">
        <v>2190</v>
      </c>
      <c r="AV45" s="634" t="s">
        <v>1887</v>
      </c>
      <c r="AW45" s="634" t="s">
        <v>2294</v>
      </c>
    </row>
    <row r="46" spans="1:49" ht="138" customHeight="1" thickBot="1" x14ac:dyDescent="0.4">
      <c r="A46" s="223"/>
      <c r="B46" s="1147" t="s">
        <v>77</v>
      </c>
      <c r="C46" s="1147" t="s">
        <v>78</v>
      </c>
      <c r="D46" s="361" t="s">
        <v>12</v>
      </c>
      <c r="E46" s="269">
        <v>0.1</v>
      </c>
      <c r="F46" s="383">
        <v>1</v>
      </c>
      <c r="G46" s="384">
        <v>0</v>
      </c>
      <c r="H46" s="1059">
        <v>1</v>
      </c>
      <c r="I46" s="1061">
        <v>1</v>
      </c>
      <c r="J46" s="398"/>
      <c r="K46" s="402">
        <f t="shared" ref="K46:K50" si="53">+H46/F46</f>
        <v>1</v>
      </c>
      <c r="L46" s="403"/>
      <c r="M46" s="860"/>
      <c r="N46" s="404">
        <f>+(H46/F46)*E46</f>
        <v>0.1</v>
      </c>
      <c r="O46" s="404"/>
      <c r="P46" s="406"/>
      <c r="Q46" s="443">
        <v>0</v>
      </c>
      <c r="R46" s="700">
        <v>0</v>
      </c>
      <c r="S46" s="738">
        <v>1</v>
      </c>
      <c r="T46" s="700">
        <v>0</v>
      </c>
      <c r="U46" s="737">
        <v>0</v>
      </c>
      <c r="V46" s="406">
        <f>+Q46+R46+S46+T46+U46</f>
        <v>1</v>
      </c>
      <c r="W46" s="447">
        <f t="shared" ref="W46:W50" si="54">+V46+P46+AB46</f>
        <v>2</v>
      </c>
      <c r="X46" s="439">
        <v>0</v>
      </c>
      <c r="Y46" s="439">
        <v>1</v>
      </c>
      <c r="Z46" s="385"/>
      <c r="AA46" s="385"/>
      <c r="AB46" s="385">
        <f t="shared" si="36"/>
        <v>1</v>
      </c>
      <c r="AC46" s="386"/>
      <c r="AD46" s="389">
        <f>+V46/H46</f>
        <v>1</v>
      </c>
      <c r="AE46" s="389">
        <f t="shared" si="37"/>
        <v>1</v>
      </c>
      <c r="AF46" s="386"/>
      <c r="AG46" s="402">
        <f t="shared" si="48"/>
        <v>0.1</v>
      </c>
      <c r="AH46" s="462">
        <f t="shared" si="45"/>
        <v>0.1</v>
      </c>
      <c r="AI46" s="457"/>
      <c r="AJ46" s="464">
        <v>1</v>
      </c>
      <c r="AK46" s="464">
        <v>1</v>
      </c>
      <c r="AL46" s="457">
        <v>0</v>
      </c>
      <c r="AM46" s="458">
        <f t="shared" ref="AM46:AM51" si="55">+AJ46*E46</f>
        <v>0.1</v>
      </c>
      <c r="AN46" s="1310">
        <f t="shared" si="40"/>
        <v>0.1</v>
      </c>
      <c r="AO46" s="142" t="s">
        <v>1844</v>
      </c>
      <c r="AP46" s="543" t="s">
        <v>1913</v>
      </c>
      <c r="AQ46" s="634" t="s">
        <v>1986</v>
      </c>
      <c r="AR46" s="634" t="s">
        <v>2008</v>
      </c>
      <c r="AS46" s="732" t="s">
        <v>2105</v>
      </c>
      <c r="AT46" s="634" t="s">
        <v>2137</v>
      </c>
      <c r="AU46" s="634" t="s">
        <v>2190</v>
      </c>
      <c r="AV46" s="634" t="s">
        <v>1887</v>
      </c>
      <c r="AW46" s="634" t="s">
        <v>2294</v>
      </c>
    </row>
    <row r="47" spans="1:49" ht="138" customHeight="1" thickBot="1" x14ac:dyDescent="0.4">
      <c r="A47" s="223"/>
      <c r="B47" s="1147" t="s">
        <v>79</v>
      </c>
      <c r="C47" s="1147" t="s">
        <v>80</v>
      </c>
      <c r="D47" s="361" t="s">
        <v>12</v>
      </c>
      <c r="E47" s="269">
        <v>0.1</v>
      </c>
      <c r="F47" s="383">
        <v>1200</v>
      </c>
      <c r="G47" s="384">
        <v>200</v>
      </c>
      <c r="H47" s="1059">
        <v>550</v>
      </c>
      <c r="I47" s="1061">
        <v>350</v>
      </c>
      <c r="J47" s="398">
        <f t="shared" si="49"/>
        <v>0.16666666666666666</v>
      </c>
      <c r="K47" s="402">
        <f t="shared" si="53"/>
        <v>0.45833333333333331</v>
      </c>
      <c r="L47" s="403">
        <f t="shared" si="35"/>
        <v>0.29166666666666669</v>
      </c>
      <c r="M47" s="860">
        <f t="shared" si="50"/>
        <v>1.6666666666666666E-2</v>
      </c>
      <c r="N47" s="404">
        <f>+(H47/F47)*E47</f>
        <v>4.5833333333333337E-2</v>
      </c>
      <c r="O47" s="404"/>
      <c r="P47" s="406">
        <v>0</v>
      </c>
      <c r="Q47" s="443">
        <v>194</v>
      </c>
      <c r="R47" s="701">
        <v>0</v>
      </c>
      <c r="S47" s="737">
        <v>356</v>
      </c>
      <c r="T47" s="701">
        <v>0</v>
      </c>
      <c r="U47" s="737">
        <v>0</v>
      </c>
      <c r="V47" s="406">
        <f t="shared" ref="V47:V50" si="56">+Q47+R47+S47+T47+U47</f>
        <v>550</v>
      </c>
      <c r="W47" s="447">
        <f t="shared" si="54"/>
        <v>550</v>
      </c>
      <c r="X47" s="439">
        <v>0</v>
      </c>
      <c r="Y47" s="439">
        <v>0</v>
      </c>
      <c r="Z47" s="385"/>
      <c r="AA47" s="385"/>
      <c r="AB47" s="385">
        <f t="shared" si="36"/>
        <v>0</v>
      </c>
      <c r="AC47" s="386">
        <f t="shared" si="51"/>
        <v>0</v>
      </c>
      <c r="AD47" s="389">
        <f t="shared" si="47"/>
        <v>1</v>
      </c>
      <c r="AE47" s="389">
        <f t="shared" si="37"/>
        <v>0</v>
      </c>
      <c r="AF47" s="386">
        <f>+AC47*E47</f>
        <v>0</v>
      </c>
      <c r="AG47" s="402">
        <f t="shared" si="48"/>
        <v>0.1</v>
      </c>
      <c r="AH47" s="403">
        <f t="shared" si="45"/>
        <v>0</v>
      </c>
      <c r="AI47" s="457">
        <f t="shared" si="52"/>
        <v>0</v>
      </c>
      <c r="AJ47" s="458">
        <v>0.45833333333333331</v>
      </c>
      <c r="AK47" s="458">
        <f t="shared" si="39"/>
        <v>0.45833333333333331</v>
      </c>
      <c r="AL47" s="457">
        <f>+AI47*E47</f>
        <v>0</v>
      </c>
      <c r="AM47" s="458">
        <f t="shared" si="55"/>
        <v>4.5833333333333337E-2</v>
      </c>
      <c r="AN47" s="1310">
        <f t="shared" si="40"/>
        <v>4.5833333333333337E-2</v>
      </c>
      <c r="AO47" s="142" t="s">
        <v>1844</v>
      </c>
      <c r="AP47" s="526" t="s">
        <v>1886</v>
      </c>
      <c r="AQ47" s="634" t="s">
        <v>1986</v>
      </c>
      <c r="AR47" s="634" t="s">
        <v>2057</v>
      </c>
      <c r="AS47" s="634" t="s">
        <v>2106</v>
      </c>
      <c r="AT47" s="634" t="s">
        <v>2137</v>
      </c>
      <c r="AU47" s="634" t="s">
        <v>2190</v>
      </c>
      <c r="AV47" s="634" t="s">
        <v>1887</v>
      </c>
      <c r="AW47" s="634" t="s">
        <v>2294</v>
      </c>
    </row>
    <row r="48" spans="1:49" ht="138" customHeight="1" thickBot="1" x14ac:dyDescent="0.4">
      <c r="A48" s="223"/>
      <c r="B48" s="1147" t="s">
        <v>81</v>
      </c>
      <c r="C48" s="1147" t="s">
        <v>82</v>
      </c>
      <c r="D48" s="361" t="s">
        <v>12</v>
      </c>
      <c r="E48" s="269">
        <v>0.1</v>
      </c>
      <c r="F48" s="383">
        <v>1</v>
      </c>
      <c r="G48" s="384">
        <v>0</v>
      </c>
      <c r="H48" s="1059">
        <v>0.5</v>
      </c>
      <c r="I48" s="1061">
        <v>0</v>
      </c>
      <c r="J48" s="398"/>
      <c r="K48" s="402">
        <f t="shared" si="53"/>
        <v>0.5</v>
      </c>
      <c r="L48" s="463"/>
      <c r="M48" s="860"/>
      <c r="N48" s="404">
        <f t="shared" si="41"/>
        <v>0.05</v>
      </c>
      <c r="O48" s="952"/>
      <c r="P48" s="407"/>
      <c r="Q48" s="443">
        <v>0</v>
      </c>
      <c r="R48" s="701">
        <v>0</v>
      </c>
      <c r="S48" s="737">
        <v>0</v>
      </c>
      <c r="T48" s="701">
        <v>0</v>
      </c>
      <c r="U48" s="854">
        <v>1</v>
      </c>
      <c r="V48" s="406">
        <f t="shared" si="56"/>
        <v>1</v>
      </c>
      <c r="W48" s="447">
        <f t="shared" si="54"/>
        <v>1</v>
      </c>
      <c r="X48" s="439">
        <v>0</v>
      </c>
      <c r="Y48" s="439">
        <v>0</v>
      </c>
      <c r="Z48" s="385"/>
      <c r="AA48" s="385"/>
      <c r="AB48" s="385">
        <f t="shared" si="36"/>
        <v>0</v>
      </c>
      <c r="AC48" s="386"/>
      <c r="AD48" s="389">
        <v>1</v>
      </c>
      <c r="AE48" s="389"/>
      <c r="AF48" s="386"/>
      <c r="AG48" s="402">
        <f t="shared" si="48"/>
        <v>0.1</v>
      </c>
      <c r="AH48" s="403">
        <f t="shared" si="45"/>
        <v>0</v>
      </c>
      <c r="AI48" s="457"/>
      <c r="AJ48" s="458">
        <v>1</v>
      </c>
      <c r="AK48" s="458">
        <f t="shared" si="39"/>
        <v>1</v>
      </c>
      <c r="AL48" s="457">
        <v>0</v>
      </c>
      <c r="AM48" s="458">
        <f t="shared" si="55"/>
        <v>0.1</v>
      </c>
      <c r="AN48" s="1310">
        <f t="shared" si="40"/>
        <v>0.1</v>
      </c>
      <c r="AO48" s="142" t="s">
        <v>1844</v>
      </c>
      <c r="AP48" s="538" t="s">
        <v>1915</v>
      </c>
      <c r="AQ48" s="538" t="s">
        <v>1999</v>
      </c>
      <c r="AR48" s="634" t="s">
        <v>2057</v>
      </c>
      <c r="AS48" s="634" t="s">
        <v>2106</v>
      </c>
      <c r="AT48" s="634" t="s">
        <v>2137</v>
      </c>
      <c r="AU48" s="634" t="s">
        <v>2190</v>
      </c>
      <c r="AV48" s="538" t="s">
        <v>1859</v>
      </c>
      <c r="AW48" s="538" t="s">
        <v>1859</v>
      </c>
    </row>
    <row r="49" spans="1:49" ht="138" customHeight="1" thickBot="1" x14ac:dyDescent="0.4">
      <c r="A49" s="223"/>
      <c r="B49" s="1147" t="s">
        <v>83</v>
      </c>
      <c r="C49" s="1147" t="s">
        <v>84</v>
      </c>
      <c r="D49" s="361" t="s">
        <v>12</v>
      </c>
      <c r="E49" s="269">
        <v>0.25</v>
      </c>
      <c r="F49" s="383">
        <v>5</v>
      </c>
      <c r="G49" s="384">
        <v>0</v>
      </c>
      <c r="H49" s="395">
        <v>0</v>
      </c>
      <c r="I49" s="894">
        <v>2</v>
      </c>
      <c r="J49" s="398"/>
      <c r="K49" s="402"/>
      <c r="L49" s="1005">
        <f t="shared" si="35"/>
        <v>0.4</v>
      </c>
      <c r="M49" s="860"/>
      <c r="N49" s="404">
        <f t="shared" si="41"/>
        <v>0</v>
      </c>
      <c r="O49" s="404"/>
      <c r="P49" s="406"/>
      <c r="Q49" s="443"/>
      <c r="R49" s="700"/>
      <c r="S49" s="739"/>
      <c r="T49" s="700"/>
      <c r="U49" s="737"/>
      <c r="V49" s="406">
        <f t="shared" si="56"/>
        <v>0</v>
      </c>
      <c r="W49" s="447">
        <f t="shared" si="54"/>
        <v>0</v>
      </c>
      <c r="X49" s="439">
        <v>0</v>
      </c>
      <c r="Y49" s="439">
        <v>0</v>
      </c>
      <c r="Z49" s="385"/>
      <c r="AA49" s="385"/>
      <c r="AB49" s="385">
        <f t="shared" si="36"/>
        <v>0</v>
      </c>
      <c r="AC49" s="386"/>
      <c r="AD49" s="389"/>
      <c r="AE49" s="389">
        <f t="shared" si="37"/>
        <v>0</v>
      </c>
      <c r="AF49" s="386"/>
      <c r="AG49" s="402">
        <f t="shared" si="48"/>
        <v>0</v>
      </c>
      <c r="AH49" s="403">
        <f t="shared" si="45"/>
        <v>0</v>
      </c>
      <c r="AI49" s="457"/>
      <c r="AJ49" s="458">
        <v>0</v>
      </c>
      <c r="AK49" s="458">
        <f t="shared" si="39"/>
        <v>0</v>
      </c>
      <c r="AL49" s="457">
        <v>0</v>
      </c>
      <c r="AM49" s="458">
        <f t="shared" si="55"/>
        <v>0</v>
      </c>
      <c r="AN49" s="1310">
        <f t="shared" si="40"/>
        <v>0</v>
      </c>
      <c r="AO49" s="142" t="s">
        <v>1844</v>
      </c>
      <c r="AP49" s="526" t="s">
        <v>1886</v>
      </c>
      <c r="AQ49" s="634" t="s">
        <v>1986</v>
      </c>
      <c r="AR49" s="634" t="s">
        <v>2008</v>
      </c>
      <c r="AS49" s="634" t="s">
        <v>2106</v>
      </c>
      <c r="AT49" s="634" t="s">
        <v>2137</v>
      </c>
      <c r="AU49" s="634" t="s">
        <v>2190</v>
      </c>
      <c r="AV49" s="634" t="s">
        <v>1887</v>
      </c>
      <c r="AW49" s="634" t="s">
        <v>2294</v>
      </c>
    </row>
    <row r="50" spans="1:49" ht="138" customHeight="1" thickBot="1" x14ac:dyDescent="0.4">
      <c r="A50" s="223"/>
      <c r="B50" s="1147" t="s">
        <v>85</v>
      </c>
      <c r="C50" s="1147" t="s">
        <v>86</v>
      </c>
      <c r="D50" s="361" t="s">
        <v>12</v>
      </c>
      <c r="E50" s="269">
        <v>0.1</v>
      </c>
      <c r="F50" s="383">
        <v>5</v>
      </c>
      <c r="G50" s="384">
        <v>0</v>
      </c>
      <c r="H50" s="395">
        <v>3</v>
      </c>
      <c r="I50" s="894">
        <v>0</v>
      </c>
      <c r="J50" s="398"/>
      <c r="K50" s="402">
        <f t="shared" si="53"/>
        <v>0.6</v>
      </c>
      <c r="L50" s="404"/>
      <c r="M50" s="861"/>
      <c r="N50" s="404">
        <f t="shared" si="41"/>
        <v>0.06</v>
      </c>
      <c r="O50" s="404"/>
      <c r="P50" s="444"/>
      <c r="Q50" s="443">
        <v>0</v>
      </c>
      <c r="R50" s="439">
        <v>0</v>
      </c>
      <c r="S50" s="740">
        <v>0</v>
      </c>
      <c r="T50" s="805">
        <v>0</v>
      </c>
      <c r="U50" s="443">
        <v>0</v>
      </c>
      <c r="V50" s="808">
        <f t="shared" si="56"/>
        <v>0</v>
      </c>
      <c r="W50" s="447">
        <f t="shared" si="54"/>
        <v>0</v>
      </c>
      <c r="X50" s="439">
        <v>0</v>
      </c>
      <c r="Y50" s="439">
        <v>0</v>
      </c>
      <c r="Z50" s="385"/>
      <c r="AA50" s="385"/>
      <c r="AB50" s="385">
        <f t="shared" si="36"/>
        <v>0</v>
      </c>
      <c r="AC50" s="386"/>
      <c r="AD50" s="389">
        <f t="shared" si="47"/>
        <v>0</v>
      </c>
      <c r="AE50" s="389"/>
      <c r="AF50" s="386"/>
      <c r="AG50" s="402">
        <f t="shared" si="48"/>
        <v>0</v>
      </c>
      <c r="AH50" s="403">
        <v>0</v>
      </c>
      <c r="AI50" s="457"/>
      <c r="AJ50" s="459">
        <v>0</v>
      </c>
      <c r="AK50" s="459">
        <f t="shared" si="39"/>
        <v>0</v>
      </c>
      <c r="AL50" s="457">
        <v>0</v>
      </c>
      <c r="AM50" s="458">
        <f t="shared" si="55"/>
        <v>0</v>
      </c>
      <c r="AN50" s="1310">
        <f t="shared" si="40"/>
        <v>0</v>
      </c>
      <c r="AO50" s="142" t="s">
        <v>1844</v>
      </c>
      <c r="AP50" s="543" t="s">
        <v>1913</v>
      </c>
      <c r="AQ50" s="634" t="s">
        <v>1986</v>
      </c>
      <c r="AR50" s="634" t="s">
        <v>2008</v>
      </c>
      <c r="AS50" s="634" t="s">
        <v>2106</v>
      </c>
      <c r="AT50" s="634" t="s">
        <v>2137</v>
      </c>
      <c r="AU50" s="634" t="s">
        <v>2190</v>
      </c>
      <c r="AV50" s="634" t="s">
        <v>1887</v>
      </c>
      <c r="AW50" s="634" t="s">
        <v>2294</v>
      </c>
    </row>
    <row r="51" spans="1:49" ht="138" customHeight="1" thickBot="1" x14ac:dyDescent="0.4">
      <c r="A51" s="223"/>
      <c r="B51" s="1147" t="s">
        <v>87</v>
      </c>
      <c r="C51" s="1147" t="s">
        <v>88</v>
      </c>
      <c r="D51" s="361" t="s">
        <v>12</v>
      </c>
      <c r="E51" s="269">
        <v>0.1</v>
      </c>
      <c r="F51" s="383">
        <f>33*4</f>
        <v>132</v>
      </c>
      <c r="G51" s="384">
        <v>33</v>
      </c>
      <c r="H51" s="395">
        <v>33</v>
      </c>
      <c r="I51" s="894">
        <v>8</v>
      </c>
      <c r="J51" s="398">
        <f t="shared" si="49"/>
        <v>0.25</v>
      </c>
      <c r="K51" s="402">
        <f>+H51/F51</f>
        <v>0.25</v>
      </c>
      <c r="L51" s="404">
        <f t="shared" si="35"/>
        <v>6.0606060606060608E-2</v>
      </c>
      <c r="M51" s="862">
        <f t="shared" si="50"/>
        <v>2.5000000000000001E-2</v>
      </c>
      <c r="N51" s="404">
        <f t="shared" si="41"/>
        <v>2.5000000000000001E-2</v>
      </c>
      <c r="O51" s="404"/>
      <c r="P51" s="444">
        <v>33</v>
      </c>
      <c r="Q51" s="443">
        <v>33</v>
      </c>
      <c r="R51" s="439">
        <v>0</v>
      </c>
      <c r="S51" s="439">
        <v>0</v>
      </c>
      <c r="T51" s="439">
        <v>0</v>
      </c>
      <c r="U51" s="855">
        <v>0</v>
      </c>
      <c r="V51" s="406">
        <f>+Q51+R51+S51+T51+U51</f>
        <v>33</v>
      </c>
      <c r="W51" s="447">
        <f>+V51+P51+AB51</f>
        <v>74</v>
      </c>
      <c r="X51" s="439">
        <v>8</v>
      </c>
      <c r="Y51" s="439">
        <v>0</v>
      </c>
      <c r="Z51" s="385"/>
      <c r="AA51" s="385"/>
      <c r="AB51" s="385">
        <f t="shared" si="36"/>
        <v>8</v>
      </c>
      <c r="AC51" s="386">
        <f t="shared" si="51"/>
        <v>1</v>
      </c>
      <c r="AD51" s="419">
        <v>1</v>
      </c>
      <c r="AE51" s="419">
        <v>0.25</v>
      </c>
      <c r="AF51" s="386">
        <f>+AC51*E51</f>
        <v>0.1</v>
      </c>
      <c r="AG51" s="402">
        <f t="shared" si="48"/>
        <v>0.1</v>
      </c>
      <c r="AH51" s="463">
        <f t="shared" si="45"/>
        <v>2.5000000000000001E-2</v>
      </c>
      <c r="AI51" s="457">
        <f t="shared" si="52"/>
        <v>0.25</v>
      </c>
      <c r="AJ51" s="459">
        <v>0.49990000000000001</v>
      </c>
      <c r="AK51" s="459">
        <f>+W51/F51</f>
        <v>0.56060606060606055</v>
      </c>
      <c r="AL51" s="457">
        <f>+AI51*E51</f>
        <v>2.5000000000000001E-2</v>
      </c>
      <c r="AM51" s="458">
        <f t="shared" si="55"/>
        <v>4.9990000000000007E-2</v>
      </c>
      <c r="AN51" s="1310">
        <f t="shared" si="40"/>
        <v>5.6060606060606061E-2</v>
      </c>
      <c r="AO51" s="142" t="s">
        <v>1844</v>
      </c>
      <c r="AP51" s="526" t="s">
        <v>1886</v>
      </c>
      <c r="AQ51" s="634" t="s">
        <v>1986</v>
      </c>
      <c r="AR51" s="634" t="s">
        <v>2008</v>
      </c>
      <c r="AS51" s="538" t="s">
        <v>1859</v>
      </c>
      <c r="AT51" s="634" t="s">
        <v>2137</v>
      </c>
      <c r="AU51" s="634" t="s">
        <v>2190</v>
      </c>
      <c r="AV51" s="538" t="s">
        <v>1859</v>
      </c>
      <c r="AW51" s="538" t="s">
        <v>1859</v>
      </c>
    </row>
    <row r="52" spans="1:49" ht="138" customHeight="1" thickBot="1" x14ac:dyDescent="0.45">
      <c r="A52" s="223"/>
      <c r="B52" s="1295" t="s">
        <v>1599</v>
      </c>
      <c r="C52" s="1292"/>
      <c r="D52" s="361"/>
      <c r="E52" s="379">
        <v>0.15</v>
      </c>
      <c r="F52" s="382"/>
      <c r="G52" s="382"/>
      <c r="H52" s="409"/>
      <c r="I52" s="899"/>
      <c r="J52" s="400">
        <f>+AVERAGE(J53:J56)</f>
        <v>0.25</v>
      </c>
      <c r="K52" s="401">
        <f>+AVERAGE(K53:K56)</f>
        <v>0.32750000000000001</v>
      </c>
      <c r="L52" s="461">
        <f>+AVERAGE(L53:L56)</f>
        <v>0.21789999999999998</v>
      </c>
      <c r="M52" s="410">
        <f>+M53+M54+M55+M56</f>
        <v>0.125</v>
      </c>
      <c r="N52" s="381">
        <f>+N53+N54+N55+N56</f>
        <v>0.32750000000000001</v>
      </c>
      <c r="O52" s="410"/>
      <c r="P52" s="380"/>
      <c r="Q52" s="388"/>
      <c r="R52" s="388"/>
      <c r="S52" s="388"/>
      <c r="T52" s="388"/>
      <c r="U52" s="833"/>
      <c r="V52" s="380"/>
      <c r="W52" s="262"/>
      <c r="X52" s="385"/>
      <c r="Y52" s="385"/>
      <c r="Z52" s="385"/>
      <c r="AA52" s="385"/>
      <c r="AB52" s="385"/>
      <c r="AC52" s="441">
        <f>+AVERAGE(AC53:AC56)</f>
        <v>1</v>
      </c>
      <c r="AD52" s="441">
        <f>+AVERAGE(AD53:AD56)</f>
        <v>0.75</v>
      </c>
      <c r="AE52" s="441">
        <f>+AVERAGE(AE53:AE56)</f>
        <v>0.42677514792899407</v>
      </c>
      <c r="AF52" s="441">
        <f>+(AF53+AF54+AF55+AF56)*E52</f>
        <v>7.4999999999999997E-2</v>
      </c>
      <c r="AG52" s="460">
        <f>+(AG53+AG54+AG55+AG56)*E52</f>
        <v>0.11249999999999999</v>
      </c>
      <c r="AH52" s="882">
        <f>+(AH53+AH54+AH55+AH56)*E52</f>
        <v>6.4016272189349105E-2</v>
      </c>
      <c r="AI52" s="401">
        <f>+AVERAGE(AI53:AI56)</f>
        <v>0.26200000000000001</v>
      </c>
      <c r="AJ52" s="461">
        <v>0.50180000000000002</v>
      </c>
      <c r="AK52" s="461">
        <f>+AVERAGE(AK53:AK56)</f>
        <v>0.64390000000000003</v>
      </c>
      <c r="AL52" s="401">
        <f>+(AL53+AL54+AL55+AL56)*E52</f>
        <v>1.9650000000000001E-2</v>
      </c>
      <c r="AM52" s="453">
        <f>+(AM53+AM54+AM55+AM56)</f>
        <v>0.50180000000000002</v>
      </c>
      <c r="AN52" s="453">
        <f>+(AN53+AN54+AN55+AN56)</f>
        <v>0.64390000000000003</v>
      </c>
      <c r="AO52" s="136"/>
      <c r="AP52" s="359"/>
      <c r="AQ52" s="359"/>
      <c r="AR52" s="359"/>
      <c r="AS52" s="359"/>
      <c r="AT52" s="359"/>
      <c r="AU52" s="158"/>
      <c r="AV52" s="158"/>
    </row>
    <row r="53" spans="1:49" ht="138" customHeight="1" thickBot="1" x14ac:dyDescent="0.4">
      <c r="A53" s="223"/>
      <c r="B53" s="1147" t="s">
        <v>89</v>
      </c>
      <c r="C53" s="1147" t="s">
        <v>90</v>
      </c>
      <c r="D53" s="361" t="s">
        <v>12</v>
      </c>
      <c r="E53" s="269">
        <v>0.25</v>
      </c>
      <c r="F53" s="383">
        <v>2500</v>
      </c>
      <c r="G53" s="384">
        <v>0</v>
      </c>
      <c r="H53" s="395">
        <v>835</v>
      </c>
      <c r="I53" s="894">
        <v>591</v>
      </c>
      <c r="J53" s="398"/>
      <c r="K53" s="402">
        <f>+H53/F53</f>
        <v>0.33400000000000002</v>
      </c>
      <c r="L53" s="462">
        <f>+I53/F53</f>
        <v>0.2364</v>
      </c>
      <c r="M53" s="389"/>
      <c r="N53" s="389">
        <f>+(H53/F53)*E53</f>
        <v>8.3500000000000005E-2</v>
      </c>
      <c r="O53" s="389"/>
      <c r="P53" s="385"/>
      <c r="Q53" s="443">
        <v>0</v>
      </c>
      <c r="R53" s="439">
        <v>305</v>
      </c>
      <c r="S53" s="439">
        <v>1013</v>
      </c>
      <c r="T53" s="439">
        <v>0</v>
      </c>
      <c r="U53" s="439">
        <v>0</v>
      </c>
      <c r="V53" s="385">
        <f>+Q53+R53+S53+T53+U53</f>
        <v>1318</v>
      </c>
      <c r="W53" s="448">
        <f>+V53+P53+AB53</f>
        <v>2983</v>
      </c>
      <c r="X53" s="385">
        <v>112</v>
      </c>
      <c r="Y53" s="385">
        <v>1553</v>
      </c>
      <c r="Z53" s="385"/>
      <c r="AA53" s="385"/>
      <c r="AB53" s="385">
        <f t="shared" si="36"/>
        <v>1665</v>
      </c>
      <c r="AC53" s="386"/>
      <c r="AD53" s="389">
        <v>1</v>
      </c>
      <c r="AE53" s="389">
        <v>1</v>
      </c>
      <c r="AF53" s="386"/>
      <c r="AG53" s="402">
        <f t="shared" si="48"/>
        <v>0.25</v>
      </c>
      <c r="AH53" s="462">
        <f t="shared" si="45"/>
        <v>0.25</v>
      </c>
      <c r="AI53" s="457"/>
      <c r="AJ53" s="464">
        <v>0.5272</v>
      </c>
      <c r="AK53" s="464">
        <v>1</v>
      </c>
      <c r="AL53" s="457">
        <v>0</v>
      </c>
      <c r="AM53" s="458">
        <f t="shared" ref="AM53:AM54" si="57">+AJ53*E53</f>
        <v>0.1318</v>
      </c>
      <c r="AN53" s="1310">
        <f t="shared" si="40"/>
        <v>0.25</v>
      </c>
      <c r="AO53" s="142" t="s">
        <v>1844</v>
      </c>
      <c r="AP53" s="543" t="s">
        <v>1913</v>
      </c>
      <c r="AQ53" s="634" t="s">
        <v>1986</v>
      </c>
      <c r="AR53" s="634" t="s">
        <v>2008</v>
      </c>
      <c r="AS53" s="634" t="s">
        <v>2106</v>
      </c>
      <c r="AT53" s="634" t="s">
        <v>2137</v>
      </c>
      <c r="AU53" s="634" t="s">
        <v>2190</v>
      </c>
      <c r="AV53" s="634" t="s">
        <v>1887</v>
      </c>
      <c r="AW53" s="634" t="s">
        <v>2294</v>
      </c>
    </row>
    <row r="54" spans="1:49" ht="138" customHeight="1" thickBot="1" x14ac:dyDescent="0.4">
      <c r="A54" s="223"/>
      <c r="B54" s="1147" t="s">
        <v>91</v>
      </c>
      <c r="C54" s="1147" t="s">
        <v>92</v>
      </c>
      <c r="D54" s="361" t="s">
        <v>12</v>
      </c>
      <c r="E54" s="269">
        <v>0.25</v>
      </c>
      <c r="F54" s="383">
        <v>4</v>
      </c>
      <c r="G54" s="384">
        <v>0</v>
      </c>
      <c r="H54" s="395">
        <v>2</v>
      </c>
      <c r="I54" s="894">
        <v>1</v>
      </c>
      <c r="J54" s="398"/>
      <c r="K54" s="402">
        <f t="shared" ref="K54:K90" si="58">+H54/F54</f>
        <v>0.5</v>
      </c>
      <c r="L54" s="403">
        <f t="shared" si="35"/>
        <v>0.25</v>
      </c>
      <c r="M54" s="389"/>
      <c r="N54" s="389">
        <f t="shared" si="41"/>
        <v>0.125</v>
      </c>
      <c r="O54" s="389"/>
      <c r="P54" s="385"/>
      <c r="Q54" s="443">
        <v>0</v>
      </c>
      <c r="R54" s="439">
        <v>0</v>
      </c>
      <c r="S54" s="439">
        <v>0</v>
      </c>
      <c r="T54" s="439">
        <v>2</v>
      </c>
      <c r="U54" s="439">
        <v>0</v>
      </c>
      <c r="V54" s="385">
        <f t="shared" ref="V54:V55" si="59">+Q54+R54+S54+T54+U54</f>
        <v>2</v>
      </c>
      <c r="W54" s="448">
        <f t="shared" ref="W54:W56" si="60">+V54+P54+AB54</f>
        <v>2</v>
      </c>
      <c r="X54" s="385">
        <v>0</v>
      </c>
      <c r="Y54" s="385">
        <v>0</v>
      </c>
      <c r="Z54" s="385"/>
      <c r="AA54" s="385"/>
      <c r="AB54" s="385">
        <f t="shared" si="36"/>
        <v>0</v>
      </c>
      <c r="AC54" s="386"/>
      <c r="AD54" s="389">
        <f t="shared" si="47"/>
        <v>1</v>
      </c>
      <c r="AE54" s="389">
        <f t="shared" si="37"/>
        <v>0</v>
      </c>
      <c r="AF54" s="386"/>
      <c r="AG54" s="402">
        <f t="shared" si="48"/>
        <v>0.25</v>
      </c>
      <c r="AH54" s="403">
        <f t="shared" si="45"/>
        <v>0</v>
      </c>
      <c r="AI54" s="457"/>
      <c r="AJ54" s="458">
        <v>0.5</v>
      </c>
      <c r="AK54" s="458">
        <f t="shared" si="39"/>
        <v>0.5</v>
      </c>
      <c r="AL54" s="457">
        <v>0</v>
      </c>
      <c r="AM54" s="458">
        <f t="shared" si="57"/>
        <v>0.125</v>
      </c>
      <c r="AN54" s="1310">
        <f t="shared" si="40"/>
        <v>0.125</v>
      </c>
      <c r="AO54" s="142" t="s">
        <v>1844</v>
      </c>
      <c r="AP54" s="543" t="s">
        <v>1913</v>
      </c>
      <c r="AQ54" s="634" t="s">
        <v>1986</v>
      </c>
      <c r="AR54" s="634" t="s">
        <v>2008</v>
      </c>
      <c r="AS54" s="634" t="s">
        <v>2106</v>
      </c>
      <c r="AT54" s="634" t="s">
        <v>2137</v>
      </c>
      <c r="AU54" s="634" t="s">
        <v>2190</v>
      </c>
      <c r="AV54" s="634" t="s">
        <v>1887</v>
      </c>
      <c r="AW54" s="634" t="s">
        <v>2294</v>
      </c>
    </row>
    <row r="55" spans="1:49" ht="138" customHeight="1" thickBot="1" x14ac:dyDescent="0.4">
      <c r="A55" s="223"/>
      <c r="B55" s="1147" t="s">
        <v>93</v>
      </c>
      <c r="C55" s="1147" t="s">
        <v>94</v>
      </c>
      <c r="D55" s="361" t="s">
        <v>12</v>
      </c>
      <c r="E55" s="269">
        <v>0.25</v>
      </c>
      <c r="F55" s="383">
        <v>2500</v>
      </c>
      <c r="G55" s="384">
        <v>625</v>
      </c>
      <c r="H55" s="395">
        <v>565</v>
      </c>
      <c r="I55" s="896">
        <v>338</v>
      </c>
      <c r="J55" s="398">
        <f>+G55/F55</f>
        <v>0.25</v>
      </c>
      <c r="K55" s="402">
        <f t="shared" si="58"/>
        <v>0.22600000000000001</v>
      </c>
      <c r="L55" s="403">
        <f t="shared" si="35"/>
        <v>0.13519999999999999</v>
      </c>
      <c r="M55" s="389">
        <f>+(G55/F55)*E55</f>
        <v>6.25E-2</v>
      </c>
      <c r="N55" s="389">
        <f t="shared" si="41"/>
        <v>5.6500000000000002E-2</v>
      </c>
      <c r="O55" s="389"/>
      <c r="P55" s="385">
        <v>685</v>
      </c>
      <c r="Q55" s="443">
        <v>200</v>
      </c>
      <c r="R55" s="439">
        <v>544</v>
      </c>
      <c r="S55" s="439">
        <v>396</v>
      </c>
      <c r="T55" s="439">
        <v>0</v>
      </c>
      <c r="U55" s="439">
        <v>0</v>
      </c>
      <c r="V55" s="385">
        <f t="shared" si="59"/>
        <v>1140</v>
      </c>
      <c r="W55" s="448">
        <f t="shared" si="60"/>
        <v>2064</v>
      </c>
      <c r="X55" s="385">
        <v>61</v>
      </c>
      <c r="Y55" s="385">
        <v>178</v>
      </c>
      <c r="Z55" s="385"/>
      <c r="AA55" s="385"/>
      <c r="AB55" s="385">
        <f t="shared" si="36"/>
        <v>239</v>
      </c>
      <c r="AC55" s="386">
        <v>1</v>
      </c>
      <c r="AD55" s="389">
        <v>1</v>
      </c>
      <c r="AE55" s="389">
        <f t="shared" si="37"/>
        <v>0.70710059171597628</v>
      </c>
      <c r="AF55" s="386">
        <f>+AC55*E55</f>
        <v>0.25</v>
      </c>
      <c r="AG55" s="402">
        <f t="shared" si="48"/>
        <v>0.25</v>
      </c>
      <c r="AH55" s="403">
        <f t="shared" si="45"/>
        <v>0.17677514792899407</v>
      </c>
      <c r="AI55" s="457">
        <f>+P55/F55</f>
        <v>0.27400000000000002</v>
      </c>
      <c r="AJ55" s="458">
        <v>0.73</v>
      </c>
      <c r="AK55" s="459">
        <f t="shared" si="39"/>
        <v>0.8256</v>
      </c>
      <c r="AL55" s="457">
        <f>+AI55*E55</f>
        <v>6.8500000000000005E-2</v>
      </c>
      <c r="AM55" s="458">
        <f>+AJ55*E55</f>
        <v>0.1825</v>
      </c>
      <c r="AN55" s="1310">
        <f t="shared" si="40"/>
        <v>0.2064</v>
      </c>
      <c r="AO55" s="142" t="s">
        <v>1844</v>
      </c>
      <c r="AP55" s="526" t="s">
        <v>1886</v>
      </c>
      <c r="AQ55" s="634" t="s">
        <v>1986</v>
      </c>
      <c r="AR55" s="634" t="s">
        <v>2008</v>
      </c>
      <c r="AS55" s="634" t="s">
        <v>2106</v>
      </c>
      <c r="AT55" s="634" t="s">
        <v>2137</v>
      </c>
      <c r="AU55" s="634" t="s">
        <v>2190</v>
      </c>
      <c r="AV55" s="634" t="s">
        <v>1887</v>
      </c>
      <c r="AW55" s="634" t="s">
        <v>2294</v>
      </c>
    </row>
    <row r="56" spans="1:49" ht="138" customHeight="1" thickBot="1" x14ac:dyDescent="0.4">
      <c r="A56" s="223"/>
      <c r="B56" s="1147" t="s">
        <v>95</v>
      </c>
      <c r="C56" s="1147" t="s">
        <v>96</v>
      </c>
      <c r="D56" s="361" t="s">
        <v>12</v>
      </c>
      <c r="E56" s="269">
        <v>0.25</v>
      </c>
      <c r="F56" s="383">
        <v>4</v>
      </c>
      <c r="G56" s="384">
        <v>1</v>
      </c>
      <c r="H56" s="395">
        <v>1</v>
      </c>
      <c r="I56" s="444">
        <v>1</v>
      </c>
      <c r="J56" s="389">
        <f>+G56/F56</f>
        <v>0.25</v>
      </c>
      <c r="K56" s="402">
        <f t="shared" si="58"/>
        <v>0.25</v>
      </c>
      <c r="L56" s="463">
        <f t="shared" si="35"/>
        <v>0.25</v>
      </c>
      <c r="M56" s="389">
        <f>+(G56/F56)*E56</f>
        <v>6.25E-2</v>
      </c>
      <c r="N56" s="389">
        <f t="shared" si="41"/>
        <v>6.25E-2</v>
      </c>
      <c r="O56" s="389"/>
      <c r="P56" s="385">
        <v>1</v>
      </c>
      <c r="Q56" s="443">
        <v>0</v>
      </c>
      <c r="R56" s="439">
        <v>0</v>
      </c>
      <c r="S56" s="439">
        <v>0</v>
      </c>
      <c r="T56" s="439">
        <v>0</v>
      </c>
      <c r="U56" s="439">
        <v>0</v>
      </c>
      <c r="V56" s="385">
        <f>+Q56+R56+S56+T56+U56</f>
        <v>0</v>
      </c>
      <c r="W56" s="448">
        <f t="shared" si="60"/>
        <v>1</v>
      </c>
      <c r="X56" s="385">
        <v>0</v>
      </c>
      <c r="Y56" s="385">
        <v>0</v>
      </c>
      <c r="Z56" s="385"/>
      <c r="AA56" s="385"/>
      <c r="AB56" s="385">
        <f t="shared" si="36"/>
        <v>0</v>
      </c>
      <c r="AC56" s="386">
        <f>+(P56/G56)</f>
        <v>1</v>
      </c>
      <c r="AD56" s="389">
        <f t="shared" si="47"/>
        <v>0</v>
      </c>
      <c r="AE56" s="389">
        <f t="shared" si="37"/>
        <v>0</v>
      </c>
      <c r="AF56" s="386">
        <f>+AC56*E56</f>
        <v>0.25</v>
      </c>
      <c r="AG56" s="402">
        <f t="shared" si="48"/>
        <v>0</v>
      </c>
      <c r="AH56" s="463">
        <f t="shared" si="45"/>
        <v>0</v>
      </c>
      <c r="AI56" s="457">
        <f>+P56/F56</f>
        <v>0.25</v>
      </c>
      <c r="AJ56" s="459">
        <v>0.25</v>
      </c>
      <c r="AK56" s="1310">
        <f t="shared" si="39"/>
        <v>0.25</v>
      </c>
      <c r="AL56" s="457">
        <f>+AI56*E56</f>
        <v>6.25E-2</v>
      </c>
      <c r="AM56" s="458">
        <f>+AJ56*E56</f>
        <v>6.25E-2</v>
      </c>
      <c r="AN56" s="1310">
        <f t="shared" si="40"/>
        <v>6.25E-2</v>
      </c>
      <c r="AO56" s="142" t="s">
        <v>1844</v>
      </c>
      <c r="AP56" s="526" t="s">
        <v>1886</v>
      </c>
      <c r="AQ56" s="634" t="s">
        <v>1986</v>
      </c>
      <c r="AR56" s="634" t="s">
        <v>2008</v>
      </c>
      <c r="AS56" s="634" t="s">
        <v>2106</v>
      </c>
      <c r="AT56" s="634" t="s">
        <v>2137</v>
      </c>
      <c r="AU56" s="634" t="s">
        <v>2190</v>
      </c>
      <c r="AV56" s="634" t="s">
        <v>1887</v>
      </c>
      <c r="AW56" s="634" t="s">
        <v>2294</v>
      </c>
    </row>
    <row r="57" spans="1:49" ht="72" customHeight="1" thickBot="1" x14ac:dyDescent="0.45">
      <c r="A57" s="223"/>
      <c r="B57" s="1295" t="s">
        <v>1600</v>
      </c>
      <c r="C57" s="1292"/>
      <c r="D57" s="361"/>
      <c r="E57" s="379">
        <v>0.1</v>
      </c>
      <c r="F57" s="382"/>
      <c r="G57" s="411"/>
      <c r="H57" s="412"/>
      <c r="I57" s="898"/>
      <c r="J57" s="381">
        <f>+AVERAGE(J58:J76)</f>
        <v>0.25</v>
      </c>
      <c r="K57" s="401">
        <f>+AVERAGE(K58:K76)</f>
        <v>0.29290000000000005</v>
      </c>
      <c r="L57" s="461">
        <f>+AVERAGE(L58:L76)</f>
        <v>0.31080769230769228</v>
      </c>
      <c r="M57" s="413">
        <f>+M58+M59+M60+M61+M62+M63+M64+M65+M66+M67+M68+M69+M70+M71+M72+M73+M74+M75+M76</f>
        <v>0.14500000000000005</v>
      </c>
      <c r="N57" s="413">
        <f>+N58+N59+N60+N61+N62+N63+N64+N65+N66+N67+N68+N69+N70+N71+N72+N73+N74+N75+N76</f>
        <v>0.14290000000000003</v>
      </c>
      <c r="O57" s="413"/>
      <c r="P57" s="388"/>
      <c r="Q57" s="388"/>
      <c r="R57" s="388"/>
      <c r="S57" s="388"/>
      <c r="T57" s="388"/>
      <c r="U57" s="833"/>
      <c r="V57" s="388"/>
      <c r="W57" s="262"/>
      <c r="X57" s="385"/>
      <c r="Y57" s="385"/>
      <c r="Z57" s="385"/>
      <c r="AA57" s="385"/>
      <c r="AB57" s="385"/>
      <c r="AC57" s="441">
        <f>+AVERAGE(AC58:AC76)</f>
        <v>0.9349090909090908</v>
      </c>
      <c r="AD57" s="441">
        <f>+AVERAGE(AD58:AD76)</f>
        <v>0.95048135198135209</v>
      </c>
      <c r="AE57" s="441">
        <f>+AVERAGE(AE58:AE76)</f>
        <v>0.59441054696012208</v>
      </c>
      <c r="AF57" s="441">
        <f>+(AF58+AF59+AF60+AF61+AF62+AF63+AF64+AF65+AF66+AF67+AF68+AF69+AF70+AF71+AF72+AF73+AF74+AF75+AF76)*E57</f>
        <v>5.0840000000000024E-2</v>
      </c>
      <c r="AG57" s="460">
        <f>+(AG58+AG59+AG60+AG61+AG62+AG63+AG64+AG65+AG66+AG67+AG68+AG69+AG70+AG71+AG72+AG73+AG74+AG76)*E57</f>
        <v>4.3178135198135202E-2</v>
      </c>
      <c r="AH57" s="882">
        <f>+(AH58+AH59+AH60+AH61+AH62+AH63+AH64+AH65+AH66+AH67+AH68+AH69+AH70+AH71+AH72+AH73+AH74+AH76)*E57</f>
        <v>4.0023371104815873E-2</v>
      </c>
      <c r="AI57" s="401">
        <f>+AVERAGE(AI58:AI76)</f>
        <v>0.2337272727272727</v>
      </c>
      <c r="AJ57" s="461">
        <v>0.28501315789473686</v>
      </c>
      <c r="AK57" s="461">
        <f>+AVERAGE(AK58:AK76)</f>
        <v>0.4873815789473685</v>
      </c>
      <c r="AL57" s="401">
        <f>+(AL58+AL59+AL60+AL61+AL62+AL63+AL64+AL65+AL66+AL67+AL68+AL69+AL70+AL71+AL72+AL73+AL74+AL75+AL76)*E57</f>
        <v>1.2710000000000006E-2</v>
      </c>
      <c r="AM57" s="453">
        <f>+(AM58+AM59+AM60+AM61+AM62+AM63+AM64+AM65+AM66+AM67+AM68+AM69+AM70+AM71+AM72+AM73+AM74+AM75+AM76)</f>
        <v>0.26117500000000005</v>
      </c>
      <c r="AN57" s="453">
        <f>+(AN58+AN59+AN60+AN61+AN62+AN63+AN64+AN65+AN66+AN67+AN68+AN69+AN70+AN71+AN72+AN73+AN74+AN75+AN76)</f>
        <v>0.45945000000000014</v>
      </c>
      <c r="AO57" s="136"/>
      <c r="AP57" s="359"/>
      <c r="AQ57" s="359"/>
      <c r="AR57" s="359"/>
      <c r="AS57" s="359"/>
      <c r="AT57" s="359"/>
      <c r="AU57" s="158"/>
      <c r="AV57" s="158"/>
    </row>
    <row r="58" spans="1:49" ht="132.6" customHeight="1" thickBot="1" x14ac:dyDescent="0.4">
      <c r="A58" s="223"/>
      <c r="B58" s="1147" t="s">
        <v>97</v>
      </c>
      <c r="C58" s="1147" t="s">
        <v>98</v>
      </c>
      <c r="D58" s="361" t="s">
        <v>12</v>
      </c>
      <c r="E58" s="414">
        <v>0.1</v>
      </c>
      <c r="F58" s="383">
        <v>1000</v>
      </c>
      <c r="G58" s="384">
        <v>0</v>
      </c>
      <c r="H58" s="395">
        <v>0</v>
      </c>
      <c r="I58" s="894">
        <v>0</v>
      </c>
      <c r="J58" s="389"/>
      <c r="K58" s="402"/>
      <c r="L58" s="462"/>
      <c r="M58" s="389"/>
      <c r="N58" s="389"/>
      <c r="O58" s="389"/>
      <c r="P58" s="385"/>
      <c r="Q58" s="443"/>
      <c r="R58" s="439"/>
      <c r="S58" s="439"/>
      <c r="T58" s="439"/>
      <c r="U58" s="439"/>
      <c r="V58" s="385"/>
      <c r="W58" s="448">
        <f>+V58+P58+AB58</f>
        <v>0</v>
      </c>
      <c r="X58" s="439">
        <v>0</v>
      </c>
      <c r="Y58" s="439"/>
      <c r="Z58" s="385"/>
      <c r="AA58" s="385"/>
      <c r="AB58" s="385">
        <f t="shared" si="36"/>
        <v>0</v>
      </c>
      <c r="AC58" s="386"/>
      <c r="AD58" s="419"/>
      <c r="AE58" s="419"/>
      <c r="AF58" s="433"/>
      <c r="AG58" s="457">
        <f t="shared" si="48"/>
        <v>0</v>
      </c>
      <c r="AH58" s="905"/>
      <c r="AI58" s="457"/>
      <c r="AJ58" s="464">
        <v>0</v>
      </c>
      <c r="AK58" s="905">
        <f t="shared" si="39"/>
        <v>0</v>
      </c>
      <c r="AL58" s="457">
        <v>0</v>
      </c>
      <c r="AM58" s="458">
        <v>0</v>
      </c>
      <c r="AN58" s="1310">
        <f t="shared" si="40"/>
        <v>0</v>
      </c>
      <c r="AO58" s="142" t="s">
        <v>1844</v>
      </c>
      <c r="AP58" s="526" t="s">
        <v>1886</v>
      </c>
      <c r="AQ58" s="634" t="s">
        <v>1986</v>
      </c>
      <c r="AR58" s="634" t="s">
        <v>2008</v>
      </c>
      <c r="AS58" s="634" t="s">
        <v>2106</v>
      </c>
      <c r="AT58" s="634" t="s">
        <v>2137</v>
      </c>
      <c r="AU58" s="634" t="s">
        <v>2190</v>
      </c>
      <c r="AV58" s="634" t="s">
        <v>1887</v>
      </c>
      <c r="AW58" s="634" t="s">
        <v>2294</v>
      </c>
    </row>
    <row r="59" spans="1:49" ht="132.6" customHeight="1" thickBot="1" x14ac:dyDescent="0.4">
      <c r="A59" s="223"/>
      <c r="B59" s="1147" t="s">
        <v>99</v>
      </c>
      <c r="C59" s="1147" t="s">
        <v>100</v>
      </c>
      <c r="D59" s="361" t="s">
        <v>12</v>
      </c>
      <c r="E59" s="414">
        <v>0.1</v>
      </c>
      <c r="F59" s="383">
        <v>1000</v>
      </c>
      <c r="G59" s="384">
        <v>250</v>
      </c>
      <c r="H59" s="395">
        <v>429</v>
      </c>
      <c r="I59" s="894">
        <v>353</v>
      </c>
      <c r="J59" s="389">
        <f t="shared" ref="J59:J73" si="61">+G59/F59</f>
        <v>0.25</v>
      </c>
      <c r="K59" s="402">
        <f t="shared" si="58"/>
        <v>0.42899999999999999</v>
      </c>
      <c r="L59" s="403">
        <f t="shared" si="35"/>
        <v>0.35299999999999998</v>
      </c>
      <c r="M59" s="389">
        <f t="shared" ref="M59:M73" si="62">+(G59/F59)*E59</f>
        <v>2.5000000000000001E-2</v>
      </c>
      <c r="N59" s="389">
        <f t="shared" si="41"/>
        <v>4.2900000000000001E-2</v>
      </c>
      <c r="O59" s="389"/>
      <c r="P59" s="385">
        <v>71</v>
      </c>
      <c r="Q59" s="443">
        <v>50</v>
      </c>
      <c r="R59" s="439">
        <v>101</v>
      </c>
      <c r="S59" s="439">
        <v>72</v>
      </c>
      <c r="T59" s="439">
        <v>0</v>
      </c>
      <c r="U59" s="442">
        <v>0</v>
      </c>
      <c r="V59" s="385">
        <f>+Q59+R59+S59+T59+U59</f>
        <v>223</v>
      </c>
      <c r="W59" s="448">
        <f>+V59+P59+AB59</f>
        <v>639</v>
      </c>
      <c r="X59" s="439">
        <v>47</v>
      </c>
      <c r="Y59" s="439">
        <v>298</v>
      </c>
      <c r="Z59" s="385"/>
      <c r="AA59" s="385"/>
      <c r="AB59" s="385">
        <f t="shared" si="36"/>
        <v>345</v>
      </c>
      <c r="AC59" s="386">
        <f t="shared" ref="AC59:AC73" si="63">+(P59/G59)</f>
        <v>0.28399999999999997</v>
      </c>
      <c r="AD59" s="419">
        <f t="shared" si="47"/>
        <v>0.51981351981351986</v>
      </c>
      <c r="AE59" s="419">
        <f t="shared" si="37"/>
        <v>0.97733711048158645</v>
      </c>
      <c r="AF59" s="433">
        <f>+AC59*E59</f>
        <v>2.8399999999999998E-2</v>
      </c>
      <c r="AG59" s="457">
        <f t="shared" si="48"/>
        <v>5.1981351981351988E-2</v>
      </c>
      <c r="AH59" s="458">
        <f t="shared" si="45"/>
        <v>9.7733711048158645E-2</v>
      </c>
      <c r="AI59" s="457">
        <f t="shared" ref="AI59:AI73" si="64">+P59/F59</f>
        <v>7.0999999999999994E-2</v>
      </c>
      <c r="AJ59" s="458">
        <v>0.29399999999999998</v>
      </c>
      <c r="AK59" s="458">
        <f t="shared" si="39"/>
        <v>0.63900000000000001</v>
      </c>
      <c r="AL59" s="457">
        <f>+AI59*E59</f>
        <v>7.0999999999999995E-3</v>
      </c>
      <c r="AM59" s="458"/>
      <c r="AN59" s="1310">
        <f t="shared" si="40"/>
        <v>6.3899999999999998E-2</v>
      </c>
      <c r="AO59" s="142" t="s">
        <v>1844</v>
      </c>
      <c r="AP59" s="526" t="s">
        <v>1886</v>
      </c>
      <c r="AQ59" s="634" t="s">
        <v>1986</v>
      </c>
      <c r="AR59" s="634" t="s">
        <v>2008</v>
      </c>
      <c r="AS59" s="634" t="s">
        <v>2106</v>
      </c>
      <c r="AT59" s="634" t="s">
        <v>2137</v>
      </c>
      <c r="AU59" s="634" t="s">
        <v>2190</v>
      </c>
      <c r="AV59" s="634" t="s">
        <v>1887</v>
      </c>
      <c r="AW59" s="634" t="s">
        <v>2294</v>
      </c>
    </row>
    <row r="60" spans="1:49" ht="132.6" customHeight="1" thickBot="1" x14ac:dyDescent="0.4">
      <c r="A60" s="223"/>
      <c r="B60" s="1147" t="s">
        <v>101</v>
      </c>
      <c r="C60" s="1147" t="s">
        <v>102</v>
      </c>
      <c r="D60" s="361" t="s">
        <v>12</v>
      </c>
      <c r="E60" s="414">
        <v>0.1</v>
      </c>
      <c r="F60" s="415">
        <v>1</v>
      </c>
      <c r="G60" s="416">
        <f>0.0625*4</f>
        <v>0.25</v>
      </c>
      <c r="H60" s="417">
        <v>0.25</v>
      </c>
      <c r="I60" s="895">
        <v>0.25</v>
      </c>
      <c r="J60" s="389">
        <f t="shared" si="61"/>
        <v>0.25</v>
      </c>
      <c r="K60" s="402">
        <f t="shared" si="58"/>
        <v>0.25</v>
      </c>
      <c r="L60" s="403">
        <f t="shared" si="35"/>
        <v>0.25</v>
      </c>
      <c r="M60" s="389">
        <f t="shared" si="62"/>
        <v>2.5000000000000001E-2</v>
      </c>
      <c r="N60" s="389">
        <f t="shared" si="41"/>
        <v>2.5000000000000001E-2</v>
      </c>
      <c r="O60" s="389"/>
      <c r="P60" s="418">
        <v>0.25</v>
      </c>
      <c r="Q60" s="443">
        <v>6.25E-2</v>
      </c>
      <c r="R60" s="443">
        <v>6.25E-2</v>
      </c>
      <c r="S60" s="443">
        <v>6.25E-2</v>
      </c>
      <c r="T60" s="443">
        <v>3.125E-2</v>
      </c>
      <c r="U60" s="443">
        <v>3.125E-2</v>
      </c>
      <c r="V60" s="385">
        <f t="shared" ref="V60:V76" si="65">+Q60+R60+S60+T60+U60</f>
        <v>0.25</v>
      </c>
      <c r="W60" s="448">
        <f t="shared" ref="W60:W67" si="66">+V60+P60+AB60</f>
        <v>0.625</v>
      </c>
      <c r="X60" s="439">
        <v>6.25E-2</v>
      </c>
      <c r="Y60" s="439">
        <v>6.25E-2</v>
      </c>
      <c r="Z60" s="385"/>
      <c r="AA60" s="385"/>
      <c r="AB60" s="385">
        <f t="shared" si="36"/>
        <v>0.125</v>
      </c>
      <c r="AC60" s="386">
        <f t="shared" si="63"/>
        <v>1</v>
      </c>
      <c r="AD60" s="419">
        <f t="shared" si="47"/>
        <v>1</v>
      </c>
      <c r="AE60" s="419">
        <f t="shared" si="37"/>
        <v>0.5</v>
      </c>
      <c r="AF60" s="433">
        <f>+AC60*E60</f>
        <v>0.1</v>
      </c>
      <c r="AG60" s="457">
        <f t="shared" si="48"/>
        <v>0.1</v>
      </c>
      <c r="AH60" s="458">
        <f t="shared" si="45"/>
        <v>0.05</v>
      </c>
      <c r="AI60" s="457">
        <f t="shared" si="64"/>
        <v>0.25</v>
      </c>
      <c r="AJ60" s="458">
        <v>0.5</v>
      </c>
      <c r="AK60" s="458">
        <f t="shared" si="39"/>
        <v>0.625</v>
      </c>
      <c r="AL60" s="457">
        <f>+AI60*E60</f>
        <v>2.5000000000000001E-2</v>
      </c>
      <c r="AM60" s="458">
        <f>+AJ60*E60</f>
        <v>0.05</v>
      </c>
      <c r="AN60" s="1310">
        <f t="shared" si="40"/>
        <v>6.25E-2</v>
      </c>
      <c r="AO60" s="142" t="s">
        <v>1844</v>
      </c>
      <c r="AP60" s="526" t="s">
        <v>1886</v>
      </c>
      <c r="AQ60" s="634" t="s">
        <v>1986</v>
      </c>
      <c r="AR60" s="634" t="s">
        <v>2008</v>
      </c>
      <c r="AS60" s="634" t="s">
        <v>2106</v>
      </c>
      <c r="AT60" s="634" t="s">
        <v>2137</v>
      </c>
      <c r="AU60" s="634" t="s">
        <v>2190</v>
      </c>
      <c r="AV60" s="634" t="s">
        <v>1887</v>
      </c>
      <c r="AW60" s="634" t="s">
        <v>2294</v>
      </c>
    </row>
    <row r="61" spans="1:49" ht="132.6" customHeight="1" thickBot="1" x14ac:dyDescent="0.4">
      <c r="A61" s="223"/>
      <c r="B61" s="1147" t="s">
        <v>103</v>
      </c>
      <c r="C61" s="1147" t="s">
        <v>104</v>
      </c>
      <c r="D61" s="361" t="s">
        <v>12</v>
      </c>
      <c r="E61" s="414">
        <v>0.1</v>
      </c>
      <c r="F61" s="415">
        <v>1</v>
      </c>
      <c r="G61" s="416">
        <f>0.0625*4</f>
        <v>0.25</v>
      </c>
      <c r="H61" s="417">
        <v>0.25</v>
      </c>
      <c r="I61" s="895">
        <v>0.25</v>
      </c>
      <c r="J61" s="389">
        <f t="shared" si="61"/>
        <v>0.25</v>
      </c>
      <c r="K61" s="402">
        <f t="shared" si="58"/>
        <v>0.25</v>
      </c>
      <c r="L61" s="403">
        <f t="shared" si="35"/>
        <v>0.25</v>
      </c>
      <c r="M61" s="389">
        <f t="shared" si="62"/>
        <v>2.5000000000000001E-2</v>
      </c>
      <c r="N61" s="389">
        <f t="shared" si="41"/>
        <v>2.5000000000000001E-2</v>
      </c>
      <c r="O61" s="389"/>
      <c r="P61" s="418">
        <v>0.25</v>
      </c>
      <c r="Q61" s="443">
        <v>0</v>
      </c>
      <c r="R61" s="702">
        <f>0.0625*2</f>
        <v>0.125</v>
      </c>
      <c r="S61" s="702">
        <v>6.25E-2</v>
      </c>
      <c r="T61" s="443">
        <v>3.125E-2</v>
      </c>
      <c r="U61" s="443">
        <v>3.125E-2</v>
      </c>
      <c r="V61" s="385">
        <f t="shared" si="65"/>
        <v>0.25</v>
      </c>
      <c r="W61" s="448">
        <f t="shared" si="66"/>
        <v>0.5</v>
      </c>
      <c r="X61" s="439">
        <v>0</v>
      </c>
      <c r="Y61" s="439">
        <v>0</v>
      </c>
      <c r="Z61" s="385"/>
      <c r="AA61" s="385"/>
      <c r="AB61" s="385">
        <f t="shared" si="36"/>
        <v>0</v>
      </c>
      <c r="AC61" s="386">
        <f t="shared" si="63"/>
        <v>1</v>
      </c>
      <c r="AD61" s="419">
        <f t="shared" si="47"/>
        <v>1</v>
      </c>
      <c r="AE61" s="419">
        <f t="shared" si="37"/>
        <v>0</v>
      </c>
      <c r="AF61" s="433">
        <f>+AC61*E61</f>
        <v>0.1</v>
      </c>
      <c r="AG61" s="457">
        <f t="shared" si="48"/>
        <v>0.1</v>
      </c>
      <c r="AH61" s="458">
        <f t="shared" si="45"/>
        <v>0</v>
      </c>
      <c r="AI61" s="457">
        <f t="shared" si="64"/>
        <v>0.25</v>
      </c>
      <c r="AJ61" s="458">
        <v>0.5</v>
      </c>
      <c r="AK61" s="458">
        <f t="shared" si="39"/>
        <v>0.5</v>
      </c>
      <c r="AL61" s="457">
        <f>+AI61*E61</f>
        <v>2.5000000000000001E-2</v>
      </c>
      <c r="AM61" s="458">
        <f>+AJ61*E61</f>
        <v>0.05</v>
      </c>
      <c r="AN61" s="1310">
        <f t="shared" si="40"/>
        <v>0.05</v>
      </c>
      <c r="AO61" s="142" t="s">
        <v>1844</v>
      </c>
      <c r="AP61" s="526" t="s">
        <v>1886</v>
      </c>
      <c r="AQ61" s="634" t="s">
        <v>1986</v>
      </c>
      <c r="AR61" s="634" t="s">
        <v>2008</v>
      </c>
      <c r="AS61" s="634" t="s">
        <v>2106</v>
      </c>
      <c r="AT61" s="634" t="s">
        <v>2137</v>
      </c>
      <c r="AU61" s="634" t="s">
        <v>2190</v>
      </c>
      <c r="AV61" s="634" t="s">
        <v>1887</v>
      </c>
      <c r="AW61" s="634" t="s">
        <v>2294</v>
      </c>
    </row>
    <row r="62" spans="1:49" ht="132.6" customHeight="1" thickBot="1" x14ac:dyDescent="0.4">
      <c r="A62" s="223"/>
      <c r="B62" s="1147" t="s">
        <v>105</v>
      </c>
      <c r="C62" s="1147" t="s">
        <v>106</v>
      </c>
      <c r="D62" s="361" t="s">
        <v>12</v>
      </c>
      <c r="E62" s="414">
        <v>0.05</v>
      </c>
      <c r="F62" s="383">
        <f>22*4</f>
        <v>88</v>
      </c>
      <c r="G62" s="384">
        <v>22</v>
      </c>
      <c r="H62" s="395">
        <v>22</v>
      </c>
      <c r="I62" s="894">
        <v>22</v>
      </c>
      <c r="J62" s="389">
        <f t="shared" si="61"/>
        <v>0.25</v>
      </c>
      <c r="K62" s="402">
        <f t="shared" si="58"/>
        <v>0.25</v>
      </c>
      <c r="L62" s="403">
        <f t="shared" si="35"/>
        <v>0.25</v>
      </c>
      <c r="M62" s="419">
        <f>+(G62/F62)*E62</f>
        <v>1.2500000000000001E-2</v>
      </c>
      <c r="N62" s="389">
        <f t="shared" si="41"/>
        <v>1.2500000000000001E-2</v>
      </c>
      <c r="O62" s="389"/>
      <c r="P62" s="385">
        <v>22</v>
      </c>
      <c r="Q62" s="443">
        <v>0</v>
      </c>
      <c r="R62" s="439">
        <v>0</v>
      </c>
      <c r="S62" s="439">
        <v>22</v>
      </c>
      <c r="T62" s="439">
        <v>0</v>
      </c>
      <c r="U62" s="740">
        <v>0</v>
      </c>
      <c r="V62" s="385">
        <f t="shared" si="65"/>
        <v>22</v>
      </c>
      <c r="W62" s="448">
        <f t="shared" si="66"/>
        <v>49.5</v>
      </c>
      <c r="X62" s="439">
        <v>0</v>
      </c>
      <c r="Y62" s="439">
        <v>5.5</v>
      </c>
      <c r="Z62" s="385"/>
      <c r="AA62" s="385"/>
      <c r="AB62" s="385">
        <f t="shared" si="36"/>
        <v>5.5</v>
      </c>
      <c r="AC62" s="386">
        <f t="shared" si="63"/>
        <v>1</v>
      </c>
      <c r="AD62" s="419">
        <f t="shared" si="47"/>
        <v>1</v>
      </c>
      <c r="AE62" s="419">
        <f t="shared" si="37"/>
        <v>0.25</v>
      </c>
      <c r="AF62" s="433">
        <f>+AC62*E62</f>
        <v>0.05</v>
      </c>
      <c r="AG62" s="457">
        <f t="shared" si="48"/>
        <v>0.05</v>
      </c>
      <c r="AH62" s="458">
        <f t="shared" si="45"/>
        <v>1.2500000000000001E-2</v>
      </c>
      <c r="AI62" s="457">
        <f t="shared" si="64"/>
        <v>0.25</v>
      </c>
      <c r="AJ62" s="458">
        <v>0.5</v>
      </c>
      <c r="AK62" s="458">
        <f t="shared" si="39"/>
        <v>0.5625</v>
      </c>
      <c r="AL62" s="457">
        <f>+AI62*E62</f>
        <v>1.2500000000000001E-2</v>
      </c>
      <c r="AM62" s="458">
        <f>+AJ62*E62</f>
        <v>2.5000000000000001E-2</v>
      </c>
      <c r="AN62" s="1310">
        <f t="shared" si="40"/>
        <v>2.8125000000000001E-2</v>
      </c>
      <c r="AO62" s="142" t="s">
        <v>1844</v>
      </c>
      <c r="AP62" s="526" t="s">
        <v>1886</v>
      </c>
      <c r="AQ62" s="634" t="s">
        <v>1986</v>
      </c>
      <c r="AR62" s="634" t="s">
        <v>2008</v>
      </c>
      <c r="AS62" s="634" t="s">
        <v>2106</v>
      </c>
      <c r="AT62" s="634" t="s">
        <v>2137</v>
      </c>
      <c r="AU62" s="634" t="s">
        <v>2190</v>
      </c>
      <c r="AV62" s="634" t="s">
        <v>1887</v>
      </c>
      <c r="AW62" s="634" t="s">
        <v>2294</v>
      </c>
    </row>
    <row r="63" spans="1:49" ht="132.6" customHeight="1" thickBot="1" x14ac:dyDescent="0.4">
      <c r="A63" s="223"/>
      <c r="B63" s="1147" t="s">
        <v>107</v>
      </c>
      <c r="C63" s="1147" t="s">
        <v>108</v>
      </c>
      <c r="D63" s="361" t="s">
        <v>12</v>
      </c>
      <c r="E63" s="414">
        <v>0.02</v>
      </c>
      <c r="F63" s="383">
        <v>1</v>
      </c>
      <c r="G63" s="384">
        <v>0</v>
      </c>
      <c r="H63" s="395">
        <v>0</v>
      </c>
      <c r="I63" s="894">
        <v>0</v>
      </c>
      <c r="J63" s="389"/>
      <c r="K63" s="402"/>
      <c r="L63" s="403"/>
      <c r="M63" s="389"/>
      <c r="N63" s="389"/>
      <c r="O63" s="389"/>
      <c r="P63" s="385"/>
      <c r="Q63" s="443"/>
      <c r="R63" s="439"/>
      <c r="S63" s="439"/>
      <c r="T63" s="439"/>
      <c r="U63" s="439"/>
      <c r="V63" s="385">
        <f t="shared" si="65"/>
        <v>0</v>
      </c>
      <c r="W63" s="448">
        <f t="shared" si="66"/>
        <v>0</v>
      </c>
      <c r="X63" s="439">
        <v>0</v>
      </c>
      <c r="Y63" s="439">
        <v>0</v>
      </c>
      <c r="Z63" s="385"/>
      <c r="AA63" s="385"/>
      <c r="AB63" s="385">
        <f t="shared" si="36"/>
        <v>0</v>
      </c>
      <c r="AC63" s="386"/>
      <c r="AD63" s="419"/>
      <c r="AE63" s="419"/>
      <c r="AF63" s="433"/>
      <c r="AG63" s="457"/>
      <c r="AH63" s="458"/>
      <c r="AI63" s="457"/>
      <c r="AJ63" s="458">
        <v>0</v>
      </c>
      <c r="AK63" s="458">
        <f t="shared" si="39"/>
        <v>0</v>
      </c>
      <c r="AL63" s="457">
        <v>0</v>
      </c>
      <c r="AM63" s="458">
        <f>+AJ63*E63</f>
        <v>0</v>
      </c>
      <c r="AN63" s="1310">
        <f t="shared" si="40"/>
        <v>0</v>
      </c>
      <c r="AO63" s="142" t="s">
        <v>1844</v>
      </c>
      <c r="AP63" s="526" t="s">
        <v>1886</v>
      </c>
      <c r="AQ63" s="634" t="s">
        <v>1986</v>
      </c>
      <c r="AR63" s="634" t="s">
        <v>2008</v>
      </c>
      <c r="AS63" s="634" t="s">
        <v>2106</v>
      </c>
      <c r="AT63" s="634" t="s">
        <v>2137</v>
      </c>
      <c r="AU63" s="634" t="s">
        <v>2190</v>
      </c>
      <c r="AV63" s="634" t="s">
        <v>1887</v>
      </c>
      <c r="AW63" s="634" t="s">
        <v>2294</v>
      </c>
    </row>
    <row r="64" spans="1:49" ht="132.6" customHeight="1" thickBot="1" x14ac:dyDescent="0.4">
      <c r="A64" s="223"/>
      <c r="B64" s="1147" t="s">
        <v>109</v>
      </c>
      <c r="C64" s="1147" t="s">
        <v>110</v>
      </c>
      <c r="D64" s="361" t="s">
        <v>12</v>
      </c>
      <c r="E64" s="414">
        <v>0.02</v>
      </c>
      <c r="F64" s="383">
        <v>1</v>
      </c>
      <c r="G64" s="384">
        <v>0</v>
      </c>
      <c r="H64" s="395">
        <v>0</v>
      </c>
      <c r="I64" s="896">
        <v>0</v>
      </c>
      <c r="J64" s="389"/>
      <c r="K64" s="402"/>
      <c r="L64" s="463"/>
      <c r="M64" s="389"/>
      <c r="N64" s="389"/>
      <c r="O64" s="389"/>
      <c r="P64" s="385"/>
      <c r="Q64" s="443"/>
      <c r="R64" s="439"/>
      <c r="S64" s="439"/>
      <c r="T64" s="439"/>
      <c r="U64" s="442"/>
      <c r="V64" s="385">
        <f t="shared" si="65"/>
        <v>0</v>
      </c>
      <c r="W64" s="448">
        <f t="shared" si="66"/>
        <v>0</v>
      </c>
      <c r="X64" s="439">
        <v>0</v>
      </c>
      <c r="Y64" s="439">
        <v>0</v>
      </c>
      <c r="Z64" s="385"/>
      <c r="AA64" s="385"/>
      <c r="AB64" s="385">
        <f t="shared" si="36"/>
        <v>0</v>
      </c>
      <c r="AC64" s="386"/>
      <c r="AD64" s="389"/>
      <c r="AE64" s="389"/>
      <c r="AF64" s="386"/>
      <c r="AG64" s="402"/>
      <c r="AH64" s="403"/>
      <c r="AI64" s="402"/>
      <c r="AJ64" s="403">
        <v>0</v>
      </c>
      <c r="AK64" s="458">
        <f t="shared" si="39"/>
        <v>0</v>
      </c>
      <c r="AL64" s="457">
        <v>0</v>
      </c>
      <c r="AM64" s="458">
        <f t="shared" ref="AM64:AM66" si="67">+AJ64*E64</f>
        <v>0</v>
      </c>
      <c r="AN64" s="1310">
        <f t="shared" si="40"/>
        <v>0</v>
      </c>
      <c r="AO64" s="142" t="s">
        <v>1844</v>
      </c>
      <c r="AP64" s="526" t="s">
        <v>1886</v>
      </c>
      <c r="AQ64" s="634" t="s">
        <v>1986</v>
      </c>
      <c r="AR64" s="634" t="s">
        <v>2008</v>
      </c>
      <c r="AS64" s="634" t="s">
        <v>2106</v>
      </c>
      <c r="AT64" s="634" t="s">
        <v>2137</v>
      </c>
      <c r="AU64" s="634" t="s">
        <v>2190</v>
      </c>
      <c r="AV64" s="634" t="s">
        <v>1887</v>
      </c>
      <c r="AW64" s="634" t="s">
        <v>2294</v>
      </c>
    </row>
    <row r="65" spans="1:49" ht="132.6" customHeight="1" thickBot="1" x14ac:dyDescent="0.4">
      <c r="A65" s="223"/>
      <c r="B65" s="1147" t="s">
        <v>111</v>
      </c>
      <c r="C65" s="1147" t="s">
        <v>112</v>
      </c>
      <c r="D65" s="361" t="s">
        <v>12</v>
      </c>
      <c r="E65" s="414">
        <v>0.05</v>
      </c>
      <c r="F65" s="383">
        <v>1</v>
      </c>
      <c r="G65" s="384">
        <v>0</v>
      </c>
      <c r="H65" s="395">
        <v>0</v>
      </c>
      <c r="I65" s="444">
        <v>0</v>
      </c>
      <c r="J65" s="420"/>
      <c r="K65" s="402"/>
      <c r="L65" s="404"/>
      <c r="M65" s="420"/>
      <c r="N65" s="389"/>
      <c r="O65" s="393"/>
      <c r="P65" s="421"/>
      <c r="Q65" s="443"/>
      <c r="R65" s="703"/>
      <c r="S65" s="703"/>
      <c r="T65" s="809"/>
      <c r="U65" s="443"/>
      <c r="V65" s="385">
        <f t="shared" si="65"/>
        <v>0</v>
      </c>
      <c r="W65" s="448">
        <f t="shared" si="66"/>
        <v>0</v>
      </c>
      <c r="X65" s="439">
        <v>0</v>
      </c>
      <c r="Y65" s="439">
        <v>0</v>
      </c>
      <c r="Z65" s="385"/>
      <c r="AA65" s="385"/>
      <c r="AB65" s="385">
        <f t="shared" si="36"/>
        <v>0</v>
      </c>
      <c r="AC65" s="386"/>
      <c r="AD65" s="389"/>
      <c r="AE65" s="389"/>
      <c r="AF65" s="386"/>
      <c r="AG65" s="402"/>
      <c r="AH65" s="403"/>
      <c r="AI65" s="402"/>
      <c r="AJ65" s="403">
        <v>0</v>
      </c>
      <c r="AK65" s="458">
        <f t="shared" si="39"/>
        <v>0</v>
      </c>
      <c r="AL65" s="457">
        <v>0</v>
      </c>
      <c r="AM65" s="458">
        <f t="shared" si="67"/>
        <v>0</v>
      </c>
      <c r="AN65" s="1310">
        <f t="shared" si="40"/>
        <v>0</v>
      </c>
      <c r="AO65" s="142" t="s">
        <v>1844</v>
      </c>
      <c r="AP65" s="526" t="s">
        <v>1886</v>
      </c>
      <c r="AQ65" s="634" t="s">
        <v>1986</v>
      </c>
      <c r="AR65" s="634" t="s">
        <v>2008</v>
      </c>
      <c r="AS65" s="634" t="s">
        <v>2106</v>
      </c>
      <c r="AT65" s="634" t="s">
        <v>2137</v>
      </c>
      <c r="AU65" s="634" t="s">
        <v>2190</v>
      </c>
      <c r="AV65" s="634" t="s">
        <v>1887</v>
      </c>
      <c r="AW65" s="634" t="s">
        <v>2294</v>
      </c>
    </row>
    <row r="66" spans="1:49" ht="132.6" customHeight="1" thickBot="1" x14ac:dyDescent="0.4">
      <c r="A66" s="223"/>
      <c r="B66" s="1147" t="s">
        <v>113</v>
      </c>
      <c r="C66" s="1147" t="s">
        <v>114</v>
      </c>
      <c r="D66" s="361" t="s">
        <v>12</v>
      </c>
      <c r="E66" s="414">
        <v>0.02</v>
      </c>
      <c r="F66" s="383">
        <v>4</v>
      </c>
      <c r="G66" s="384">
        <v>1</v>
      </c>
      <c r="H66" s="395">
        <v>1</v>
      </c>
      <c r="I66" s="897">
        <v>0.25</v>
      </c>
      <c r="J66" s="422">
        <f t="shared" si="61"/>
        <v>0.25</v>
      </c>
      <c r="K66" s="402">
        <v>0.25</v>
      </c>
      <c r="L66" s="462">
        <f>+I66/F66</f>
        <v>6.25E-2</v>
      </c>
      <c r="M66" s="422">
        <f t="shared" si="62"/>
        <v>5.0000000000000001E-3</v>
      </c>
      <c r="N66" s="389"/>
      <c r="O66" s="422"/>
      <c r="P66" s="423">
        <v>1</v>
      </c>
      <c r="Q66" s="443">
        <v>0</v>
      </c>
      <c r="R66" s="703">
        <v>0.5</v>
      </c>
      <c r="S66" s="740">
        <v>0.25</v>
      </c>
      <c r="T66" s="810">
        <v>0.1225</v>
      </c>
      <c r="U66" s="443">
        <v>0.1225</v>
      </c>
      <c r="V66" s="385">
        <f t="shared" si="65"/>
        <v>0.99500000000000011</v>
      </c>
      <c r="W66" s="448">
        <f>+V66+P66+AB66</f>
        <v>2.12</v>
      </c>
      <c r="X66" s="439">
        <v>0</v>
      </c>
      <c r="Y66" s="439">
        <v>0.125</v>
      </c>
      <c r="Z66" s="385"/>
      <c r="AA66" s="385"/>
      <c r="AB66" s="385">
        <f t="shared" si="36"/>
        <v>0.125</v>
      </c>
      <c r="AC66" s="433">
        <f>+(P66/G66)</f>
        <v>1</v>
      </c>
      <c r="AD66" s="419">
        <f t="shared" si="47"/>
        <v>0.99500000000000011</v>
      </c>
      <c r="AE66" s="419">
        <f t="shared" si="37"/>
        <v>0.5</v>
      </c>
      <c r="AF66" s="433">
        <f t="shared" ref="AF66:AF71" si="68">+AC66*E66</f>
        <v>0.02</v>
      </c>
      <c r="AG66" s="457"/>
      <c r="AH66" s="458">
        <f t="shared" si="45"/>
        <v>0.01</v>
      </c>
      <c r="AI66" s="457">
        <f>+P66/F66</f>
        <v>0.25</v>
      </c>
      <c r="AJ66" s="458">
        <v>0.49875000000000003</v>
      </c>
      <c r="AK66" s="458">
        <f t="shared" si="39"/>
        <v>0.53</v>
      </c>
      <c r="AL66" s="457">
        <f t="shared" ref="AL66:AL71" si="69">+AI66*E66</f>
        <v>5.0000000000000001E-3</v>
      </c>
      <c r="AM66" s="458">
        <f t="shared" si="67"/>
        <v>9.9750000000000012E-3</v>
      </c>
      <c r="AN66" s="1310">
        <f t="shared" si="40"/>
        <v>1.06E-2</v>
      </c>
      <c r="AO66" s="142" t="s">
        <v>1844</v>
      </c>
      <c r="AP66" s="526" t="s">
        <v>1886</v>
      </c>
      <c r="AQ66" s="634" t="s">
        <v>1986</v>
      </c>
      <c r="AR66" s="634" t="s">
        <v>2008</v>
      </c>
      <c r="AS66" s="538" t="s">
        <v>1859</v>
      </c>
      <c r="AT66" s="538" t="s">
        <v>1859</v>
      </c>
      <c r="AU66" s="634" t="s">
        <v>2190</v>
      </c>
      <c r="AV66" s="538" t="s">
        <v>1859</v>
      </c>
      <c r="AW66" s="538" t="s">
        <v>1859</v>
      </c>
    </row>
    <row r="67" spans="1:49" ht="132.6" customHeight="1" thickBot="1" x14ac:dyDescent="0.4">
      <c r="A67" s="223"/>
      <c r="B67" s="1147" t="s">
        <v>115</v>
      </c>
      <c r="C67" s="1147" t="s">
        <v>116</v>
      </c>
      <c r="D67" s="361" t="s">
        <v>12</v>
      </c>
      <c r="E67" s="414">
        <v>0.02</v>
      </c>
      <c r="F67" s="383">
        <v>4</v>
      </c>
      <c r="G67" s="384">
        <v>1</v>
      </c>
      <c r="H67" s="385">
        <v>1</v>
      </c>
      <c r="I67" s="423">
        <v>0.25</v>
      </c>
      <c r="J67" s="386">
        <f t="shared" si="61"/>
        <v>0.25</v>
      </c>
      <c r="K67" s="402">
        <f t="shared" si="58"/>
        <v>0.25</v>
      </c>
      <c r="L67" s="403">
        <f t="shared" si="35"/>
        <v>6.25E-2</v>
      </c>
      <c r="M67" s="389">
        <f t="shared" si="62"/>
        <v>5.0000000000000001E-3</v>
      </c>
      <c r="N67" s="389">
        <f t="shared" si="41"/>
        <v>5.0000000000000001E-3</v>
      </c>
      <c r="O67" s="389"/>
      <c r="P67" s="384">
        <v>1</v>
      </c>
      <c r="Q67" s="443">
        <v>0.25</v>
      </c>
      <c r="R67" s="703">
        <v>0.25</v>
      </c>
      <c r="S67" s="439">
        <v>0.25</v>
      </c>
      <c r="T67" s="439">
        <v>0.1225</v>
      </c>
      <c r="U67" s="740">
        <v>0.1225</v>
      </c>
      <c r="V67" s="385">
        <f t="shared" si="65"/>
        <v>0.99500000000000011</v>
      </c>
      <c r="W67" s="448">
        <f t="shared" si="66"/>
        <v>2.0575000000000001</v>
      </c>
      <c r="X67" s="439">
        <v>0</v>
      </c>
      <c r="Y67" s="439">
        <v>6.25E-2</v>
      </c>
      <c r="Z67" s="385"/>
      <c r="AA67" s="385"/>
      <c r="AB67" s="385">
        <f t="shared" si="36"/>
        <v>6.25E-2</v>
      </c>
      <c r="AC67" s="433">
        <f>+(P67/G67)</f>
        <v>1</v>
      </c>
      <c r="AD67" s="419">
        <f t="shared" si="47"/>
        <v>0.99500000000000011</v>
      </c>
      <c r="AE67" s="419">
        <f t="shared" si="37"/>
        <v>0.25</v>
      </c>
      <c r="AF67" s="433">
        <f t="shared" si="68"/>
        <v>0.02</v>
      </c>
      <c r="AG67" s="457">
        <f t="shared" si="48"/>
        <v>1.9900000000000001E-2</v>
      </c>
      <c r="AH67" s="458">
        <f t="shared" si="45"/>
        <v>5.0000000000000001E-3</v>
      </c>
      <c r="AI67" s="457">
        <f>+P67/F67</f>
        <v>0.25</v>
      </c>
      <c r="AJ67" s="458">
        <v>0.49875000000000003</v>
      </c>
      <c r="AK67" s="458">
        <f t="shared" si="39"/>
        <v>0.51437500000000003</v>
      </c>
      <c r="AL67" s="457">
        <f t="shared" si="69"/>
        <v>5.0000000000000001E-3</v>
      </c>
      <c r="AM67" s="458">
        <f t="shared" ref="AM67:AM71" si="70">+AJ67*E67</f>
        <v>9.9750000000000012E-3</v>
      </c>
      <c r="AN67" s="1310">
        <f t="shared" si="40"/>
        <v>1.0287500000000002E-2</v>
      </c>
      <c r="AO67" s="142" t="s">
        <v>1844</v>
      </c>
      <c r="AP67" s="526" t="s">
        <v>1886</v>
      </c>
      <c r="AQ67" s="634" t="s">
        <v>1986</v>
      </c>
      <c r="AR67" s="634" t="s">
        <v>2008</v>
      </c>
      <c r="AS67" s="634" t="s">
        <v>2106</v>
      </c>
      <c r="AT67" s="634" t="s">
        <v>2137</v>
      </c>
      <c r="AU67" s="634" t="s">
        <v>2190</v>
      </c>
      <c r="AV67" s="634" t="s">
        <v>1887</v>
      </c>
      <c r="AW67" s="634" t="s">
        <v>2294</v>
      </c>
    </row>
    <row r="68" spans="1:49" ht="132.6" customHeight="1" thickBot="1" x14ac:dyDescent="0.4">
      <c r="A68" s="223"/>
      <c r="B68" s="1147" t="s">
        <v>117</v>
      </c>
      <c r="C68" s="1147" t="s">
        <v>118</v>
      </c>
      <c r="D68" s="361" t="s">
        <v>12</v>
      </c>
      <c r="E68" s="414">
        <v>0.02</v>
      </c>
      <c r="F68" s="383">
        <v>4</v>
      </c>
      <c r="G68" s="384">
        <v>1</v>
      </c>
      <c r="H68" s="385">
        <v>1</v>
      </c>
      <c r="I68" s="385">
        <v>0.25</v>
      </c>
      <c r="J68" s="386">
        <f t="shared" si="61"/>
        <v>0.25</v>
      </c>
      <c r="K68" s="402">
        <f t="shared" si="58"/>
        <v>0.25</v>
      </c>
      <c r="L68" s="403">
        <f t="shared" si="35"/>
        <v>6.25E-2</v>
      </c>
      <c r="M68" s="389">
        <f t="shared" si="62"/>
        <v>5.0000000000000001E-3</v>
      </c>
      <c r="N68" s="389">
        <f t="shared" si="41"/>
        <v>5.0000000000000001E-3</v>
      </c>
      <c r="O68" s="389"/>
      <c r="P68" s="384">
        <v>1</v>
      </c>
      <c r="Q68" s="443">
        <v>0.25</v>
      </c>
      <c r="R68" s="703">
        <v>0.25</v>
      </c>
      <c r="S68" s="439">
        <v>0.25</v>
      </c>
      <c r="T68" s="439">
        <v>0.1225</v>
      </c>
      <c r="U68" s="439">
        <v>0.1225</v>
      </c>
      <c r="V68" s="385">
        <f t="shared" si="65"/>
        <v>0.99500000000000011</v>
      </c>
      <c r="W68" s="448">
        <f>+V68+P68+AB68</f>
        <v>2.0575000000000001</v>
      </c>
      <c r="X68" s="439">
        <v>0</v>
      </c>
      <c r="Y68" s="439">
        <v>6.25E-2</v>
      </c>
      <c r="Z68" s="385"/>
      <c r="AA68" s="385"/>
      <c r="AB68" s="385">
        <f t="shared" si="36"/>
        <v>6.25E-2</v>
      </c>
      <c r="AC68" s="433">
        <f>+(P68/G68)</f>
        <v>1</v>
      </c>
      <c r="AD68" s="419">
        <f t="shared" si="47"/>
        <v>0.99500000000000011</v>
      </c>
      <c r="AE68" s="419">
        <f t="shared" si="37"/>
        <v>0.25</v>
      </c>
      <c r="AF68" s="433">
        <f t="shared" si="68"/>
        <v>0.02</v>
      </c>
      <c r="AG68" s="457">
        <f t="shared" si="48"/>
        <v>1.9900000000000001E-2</v>
      </c>
      <c r="AH68" s="458">
        <f t="shared" si="45"/>
        <v>5.0000000000000001E-3</v>
      </c>
      <c r="AI68" s="457">
        <f>+P68/F68</f>
        <v>0.25</v>
      </c>
      <c r="AJ68" s="458">
        <v>0.49875000000000003</v>
      </c>
      <c r="AK68" s="458">
        <f t="shared" si="39"/>
        <v>0.51437500000000003</v>
      </c>
      <c r="AL68" s="457">
        <f t="shared" si="69"/>
        <v>5.0000000000000001E-3</v>
      </c>
      <c r="AM68" s="458">
        <f t="shared" si="70"/>
        <v>9.9750000000000012E-3</v>
      </c>
      <c r="AN68" s="1310">
        <f t="shared" si="40"/>
        <v>1.0287500000000002E-2</v>
      </c>
      <c r="AO68" s="142" t="s">
        <v>1844</v>
      </c>
      <c r="AP68" s="526" t="s">
        <v>1886</v>
      </c>
      <c r="AQ68" s="634" t="s">
        <v>1986</v>
      </c>
      <c r="AR68" s="634" t="s">
        <v>2008</v>
      </c>
      <c r="AS68" s="634" t="s">
        <v>2106</v>
      </c>
      <c r="AT68" s="634" t="s">
        <v>2137</v>
      </c>
      <c r="AU68" s="634" t="s">
        <v>2190</v>
      </c>
      <c r="AV68" s="634" t="s">
        <v>1887</v>
      </c>
      <c r="AW68" s="634" t="s">
        <v>2294</v>
      </c>
    </row>
    <row r="69" spans="1:49" ht="132.6" customHeight="1" thickBot="1" x14ac:dyDescent="0.4">
      <c r="A69" s="223"/>
      <c r="B69" s="1147" t="s">
        <v>119</v>
      </c>
      <c r="C69" s="1147" t="s">
        <v>120</v>
      </c>
      <c r="D69" s="361" t="s">
        <v>12</v>
      </c>
      <c r="E69" s="414">
        <v>0.02</v>
      </c>
      <c r="F69" s="383">
        <v>4</v>
      </c>
      <c r="G69" s="384">
        <v>1</v>
      </c>
      <c r="H69" s="385">
        <v>0</v>
      </c>
      <c r="I69" s="385">
        <v>1</v>
      </c>
      <c r="J69" s="386">
        <f t="shared" si="61"/>
        <v>0.25</v>
      </c>
      <c r="K69" s="402"/>
      <c r="L69" s="403">
        <f t="shared" si="35"/>
        <v>0.25</v>
      </c>
      <c r="M69" s="389">
        <f t="shared" si="62"/>
        <v>5.0000000000000001E-3</v>
      </c>
      <c r="N69" s="389"/>
      <c r="O69" s="389"/>
      <c r="P69" s="384">
        <v>1</v>
      </c>
      <c r="Q69" s="443"/>
      <c r="R69" s="439"/>
      <c r="S69" s="439"/>
      <c r="T69" s="439"/>
      <c r="U69" s="439"/>
      <c r="V69" s="385">
        <f t="shared" si="65"/>
        <v>0</v>
      </c>
      <c r="W69" s="448">
        <f t="shared" ref="W69:W76" si="71">+V69+P69+AB69</f>
        <v>1</v>
      </c>
      <c r="X69" s="439">
        <v>0</v>
      </c>
      <c r="Y69" s="439">
        <v>0</v>
      </c>
      <c r="Z69" s="385"/>
      <c r="AA69" s="385"/>
      <c r="AB69" s="385">
        <f t="shared" si="36"/>
        <v>0</v>
      </c>
      <c r="AC69" s="433">
        <f t="shared" si="63"/>
        <v>1</v>
      </c>
      <c r="AD69" s="419"/>
      <c r="AE69" s="419">
        <f t="shared" si="37"/>
        <v>0</v>
      </c>
      <c r="AF69" s="433">
        <f t="shared" si="68"/>
        <v>0.02</v>
      </c>
      <c r="AG69" s="457"/>
      <c r="AH69" s="458">
        <f t="shared" si="45"/>
        <v>0</v>
      </c>
      <c r="AI69" s="457">
        <f t="shared" si="64"/>
        <v>0.25</v>
      </c>
      <c r="AJ69" s="458">
        <v>0.25</v>
      </c>
      <c r="AK69" s="458">
        <v>1</v>
      </c>
      <c r="AL69" s="457">
        <f t="shared" si="69"/>
        <v>5.0000000000000001E-3</v>
      </c>
      <c r="AM69" s="458">
        <f t="shared" si="70"/>
        <v>5.0000000000000001E-3</v>
      </c>
      <c r="AN69" s="1310">
        <f t="shared" si="40"/>
        <v>0.02</v>
      </c>
      <c r="AO69" s="142" t="s">
        <v>1844</v>
      </c>
      <c r="AP69" s="526" t="s">
        <v>1886</v>
      </c>
      <c r="AQ69" s="634" t="s">
        <v>1986</v>
      </c>
      <c r="AR69" s="634" t="s">
        <v>2008</v>
      </c>
      <c r="AS69" s="538" t="s">
        <v>1859</v>
      </c>
      <c r="AT69" s="538" t="s">
        <v>1859</v>
      </c>
      <c r="AU69" s="634" t="s">
        <v>2190</v>
      </c>
      <c r="AV69" s="538" t="s">
        <v>1859</v>
      </c>
      <c r="AW69" s="538" t="s">
        <v>1859</v>
      </c>
    </row>
    <row r="70" spans="1:49" ht="132.6" customHeight="1" thickBot="1" x14ac:dyDescent="0.4">
      <c r="A70" s="223"/>
      <c r="B70" s="1147" t="s">
        <v>121</v>
      </c>
      <c r="C70" s="1147" t="s">
        <v>122</v>
      </c>
      <c r="D70" s="361" t="s">
        <v>12</v>
      </c>
      <c r="E70" s="414">
        <v>0.02</v>
      </c>
      <c r="F70" s="383">
        <v>4</v>
      </c>
      <c r="G70" s="384">
        <v>1</v>
      </c>
      <c r="H70" s="385">
        <v>1</v>
      </c>
      <c r="I70" s="385">
        <v>1</v>
      </c>
      <c r="J70" s="386">
        <f t="shared" si="61"/>
        <v>0.25</v>
      </c>
      <c r="K70" s="402">
        <f t="shared" si="58"/>
        <v>0.25</v>
      </c>
      <c r="L70" s="403">
        <f t="shared" si="35"/>
        <v>0.25</v>
      </c>
      <c r="M70" s="389">
        <f t="shared" si="62"/>
        <v>5.0000000000000001E-3</v>
      </c>
      <c r="N70" s="389">
        <f t="shared" si="41"/>
        <v>5.0000000000000001E-3</v>
      </c>
      <c r="O70" s="389"/>
      <c r="P70" s="384">
        <v>1</v>
      </c>
      <c r="Q70" s="443">
        <v>0.25</v>
      </c>
      <c r="R70" s="439">
        <v>0.25</v>
      </c>
      <c r="S70" s="439">
        <v>0</v>
      </c>
      <c r="T70" s="439">
        <v>0</v>
      </c>
      <c r="U70" s="439">
        <v>0.5</v>
      </c>
      <c r="V70" s="385">
        <f t="shared" si="65"/>
        <v>1</v>
      </c>
      <c r="W70" s="448">
        <f t="shared" si="71"/>
        <v>3</v>
      </c>
      <c r="X70" s="439">
        <v>0</v>
      </c>
      <c r="Y70" s="439">
        <v>1</v>
      </c>
      <c r="Z70" s="385"/>
      <c r="AA70" s="385"/>
      <c r="AB70" s="385">
        <f t="shared" si="36"/>
        <v>1</v>
      </c>
      <c r="AC70" s="433">
        <f t="shared" si="63"/>
        <v>1</v>
      </c>
      <c r="AD70" s="419">
        <f t="shared" si="47"/>
        <v>1</v>
      </c>
      <c r="AE70" s="419">
        <f t="shared" si="37"/>
        <v>1</v>
      </c>
      <c r="AF70" s="433">
        <f t="shared" si="68"/>
        <v>0.02</v>
      </c>
      <c r="AG70" s="457">
        <f t="shared" si="48"/>
        <v>0.02</v>
      </c>
      <c r="AH70" s="458">
        <f t="shared" si="45"/>
        <v>0.02</v>
      </c>
      <c r="AI70" s="457">
        <f t="shared" si="64"/>
        <v>0.25</v>
      </c>
      <c r="AJ70" s="458">
        <v>0.5</v>
      </c>
      <c r="AK70" s="458">
        <f t="shared" si="39"/>
        <v>0.75</v>
      </c>
      <c r="AL70" s="457">
        <f t="shared" si="69"/>
        <v>5.0000000000000001E-3</v>
      </c>
      <c r="AM70" s="458">
        <f t="shared" si="70"/>
        <v>0.01</v>
      </c>
      <c r="AN70" s="1310">
        <f t="shared" si="40"/>
        <v>1.4999999999999999E-2</v>
      </c>
      <c r="AO70" s="142" t="s">
        <v>1844</v>
      </c>
      <c r="AP70" s="526" t="s">
        <v>1886</v>
      </c>
      <c r="AQ70" s="634" t="s">
        <v>1986</v>
      </c>
      <c r="AR70" s="634" t="s">
        <v>2008</v>
      </c>
      <c r="AS70" s="634" t="s">
        <v>2106</v>
      </c>
      <c r="AT70" s="634" t="s">
        <v>2137</v>
      </c>
      <c r="AU70" s="634" t="s">
        <v>2190</v>
      </c>
      <c r="AV70" s="634" t="s">
        <v>1887</v>
      </c>
      <c r="AW70" s="634" t="s">
        <v>2294</v>
      </c>
    </row>
    <row r="71" spans="1:49" ht="132.6" customHeight="1" thickBot="1" x14ac:dyDescent="0.4">
      <c r="A71" s="223"/>
      <c r="B71" s="1147" t="s">
        <v>123</v>
      </c>
      <c r="C71" s="1147" t="s">
        <v>124</v>
      </c>
      <c r="D71" s="361" t="s">
        <v>12</v>
      </c>
      <c r="E71" s="414">
        <v>0.08</v>
      </c>
      <c r="F71" s="383">
        <v>8</v>
      </c>
      <c r="G71" s="384">
        <v>2</v>
      </c>
      <c r="H71" s="385">
        <v>0</v>
      </c>
      <c r="I71" s="385">
        <v>0</v>
      </c>
      <c r="J71" s="386">
        <f t="shared" si="61"/>
        <v>0.25</v>
      </c>
      <c r="K71" s="402"/>
      <c r="L71" s="403"/>
      <c r="M71" s="389">
        <f t="shared" si="62"/>
        <v>0.02</v>
      </c>
      <c r="N71" s="389"/>
      <c r="O71" s="389"/>
      <c r="P71" s="384">
        <v>2</v>
      </c>
      <c r="Q71" s="443"/>
      <c r="R71" s="439"/>
      <c r="S71" s="439"/>
      <c r="T71" s="439"/>
      <c r="U71" s="439"/>
      <c r="V71" s="385">
        <f t="shared" si="65"/>
        <v>0</v>
      </c>
      <c r="W71" s="448">
        <f t="shared" si="71"/>
        <v>2</v>
      </c>
      <c r="X71" s="439">
        <v>0</v>
      </c>
      <c r="Y71" s="439">
        <v>0</v>
      </c>
      <c r="Z71" s="385"/>
      <c r="AA71" s="385"/>
      <c r="AB71" s="385">
        <f t="shared" si="36"/>
        <v>0</v>
      </c>
      <c r="AC71" s="433">
        <f t="shared" si="63"/>
        <v>1</v>
      </c>
      <c r="AD71" s="419"/>
      <c r="AE71" s="419"/>
      <c r="AF71" s="433">
        <f t="shared" si="68"/>
        <v>0.08</v>
      </c>
      <c r="AG71" s="457"/>
      <c r="AH71" s="458"/>
      <c r="AI71" s="457">
        <f t="shared" si="64"/>
        <v>0.25</v>
      </c>
      <c r="AJ71" s="458">
        <v>0.25</v>
      </c>
      <c r="AK71" s="458">
        <f t="shared" si="39"/>
        <v>0.25</v>
      </c>
      <c r="AL71" s="457">
        <f t="shared" si="69"/>
        <v>0.02</v>
      </c>
      <c r="AM71" s="458">
        <f t="shared" si="70"/>
        <v>0.02</v>
      </c>
      <c r="AN71" s="1310">
        <f t="shared" si="40"/>
        <v>0.02</v>
      </c>
      <c r="AO71" s="142" t="s">
        <v>1844</v>
      </c>
      <c r="AP71" s="526" t="s">
        <v>1886</v>
      </c>
      <c r="AQ71" s="634" t="s">
        <v>1986</v>
      </c>
      <c r="AR71" s="634" t="s">
        <v>2008</v>
      </c>
      <c r="AS71" s="634" t="s">
        <v>2106</v>
      </c>
      <c r="AT71" s="634" t="s">
        <v>2137</v>
      </c>
      <c r="AU71" s="634" t="s">
        <v>2190</v>
      </c>
      <c r="AV71" s="634" t="s">
        <v>1887</v>
      </c>
      <c r="AW71" s="634" t="s">
        <v>2294</v>
      </c>
    </row>
    <row r="72" spans="1:49" ht="132.6" customHeight="1" thickBot="1" x14ac:dyDescent="0.4">
      <c r="A72" s="223"/>
      <c r="B72" s="1147" t="s">
        <v>125</v>
      </c>
      <c r="C72" s="1147" t="s">
        <v>126</v>
      </c>
      <c r="D72" s="361" t="s">
        <v>12</v>
      </c>
      <c r="E72" s="414">
        <v>0.05</v>
      </c>
      <c r="F72" s="383">
        <v>4</v>
      </c>
      <c r="G72" s="384">
        <v>0</v>
      </c>
      <c r="H72" s="385">
        <v>0</v>
      </c>
      <c r="I72" s="385">
        <v>2</v>
      </c>
      <c r="J72" s="386"/>
      <c r="K72" s="402"/>
      <c r="L72" s="403">
        <f t="shared" si="35"/>
        <v>0.5</v>
      </c>
      <c r="M72" s="389"/>
      <c r="N72" s="389">
        <f t="shared" si="41"/>
        <v>0</v>
      </c>
      <c r="O72" s="389"/>
      <c r="P72" s="384"/>
      <c r="Q72" s="443"/>
      <c r="R72" s="439"/>
      <c r="S72" s="439"/>
      <c r="T72" s="439"/>
      <c r="U72" s="439"/>
      <c r="V72" s="385">
        <f t="shared" si="65"/>
        <v>0</v>
      </c>
      <c r="W72" s="448">
        <f t="shared" si="71"/>
        <v>2</v>
      </c>
      <c r="X72" s="439">
        <v>0</v>
      </c>
      <c r="Y72" s="439">
        <v>2</v>
      </c>
      <c r="Z72" s="385"/>
      <c r="AA72" s="385"/>
      <c r="AB72" s="385">
        <f t="shared" si="36"/>
        <v>2</v>
      </c>
      <c r="AC72" s="433"/>
      <c r="AD72" s="419"/>
      <c r="AE72" s="419">
        <f t="shared" si="37"/>
        <v>1</v>
      </c>
      <c r="AF72" s="433"/>
      <c r="AG72" s="457"/>
      <c r="AH72" s="458">
        <f t="shared" si="45"/>
        <v>0.05</v>
      </c>
      <c r="AI72" s="457"/>
      <c r="AJ72" s="458">
        <v>0</v>
      </c>
      <c r="AK72" s="459">
        <f t="shared" si="39"/>
        <v>0.5</v>
      </c>
      <c r="AL72" s="457">
        <v>0</v>
      </c>
      <c r="AM72" s="458">
        <v>0</v>
      </c>
      <c r="AN72" s="1310">
        <f t="shared" si="40"/>
        <v>2.5000000000000001E-2</v>
      </c>
      <c r="AO72" s="142" t="s">
        <v>1844</v>
      </c>
      <c r="AP72" s="526" t="s">
        <v>1886</v>
      </c>
      <c r="AQ72" s="634" t="s">
        <v>1986</v>
      </c>
      <c r="AR72" s="634" t="s">
        <v>2008</v>
      </c>
      <c r="AS72" s="634" t="s">
        <v>2106</v>
      </c>
      <c r="AT72" s="634" t="s">
        <v>2137</v>
      </c>
      <c r="AU72" s="634" t="s">
        <v>2190</v>
      </c>
      <c r="AV72" s="634" t="s">
        <v>1887</v>
      </c>
      <c r="AW72" s="634" t="s">
        <v>2294</v>
      </c>
    </row>
    <row r="73" spans="1:49" ht="132.6" customHeight="1" thickBot="1" x14ac:dyDescent="0.4">
      <c r="A73" s="223"/>
      <c r="B73" s="1147" t="s">
        <v>127</v>
      </c>
      <c r="C73" s="1147" t="s">
        <v>128</v>
      </c>
      <c r="D73" s="361" t="s">
        <v>12</v>
      </c>
      <c r="E73" s="414">
        <v>0.05</v>
      </c>
      <c r="F73" s="383">
        <v>8</v>
      </c>
      <c r="G73" s="384">
        <v>2</v>
      </c>
      <c r="H73" s="385">
        <v>2</v>
      </c>
      <c r="I73" s="385">
        <v>2</v>
      </c>
      <c r="J73" s="386">
        <f t="shared" si="61"/>
        <v>0.25</v>
      </c>
      <c r="K73" s="402">
        <f t="shared" si="58"/>
        <v>0.25</v>
      </c>
      <c r="L73" s="403">
        <f t="shared" si="35"/>
        <v>0.25</v>
      </c>
      <c r="M73" s="389">
        <f t="shared" si="62"/>
        <v>1.2500000000000001E-2</v>
      </c>
      <c r="N73" s="389">
        <f t="shared" si="41"/>
        <v>1.2500000000000001E-2</v>
      </c>
      <c r="O73" s="389"/>
      <c r="P73" s="384">
        <v>2</v>
      </c>
      <c r="Q73" s="443">
        <v>0</v>
      </c>
      <c r="R73" s="439">
        <v>3</v>
      </c>
      <c r="S73" s="439">
        <v>0</v>
      </c>
      <c r="T73" s="439">
        <v>0</v>
      </c>
      <c r="U73" s="439">
        <v>0</v>
      </c>
      <c r="V73" s="385">
        <f t="shared" si="65"/>
        <v>3</v>
      </c>
      <c r="W73" s="448">
        <f t="shared" si="71"/>
        <v>7</v>
      </c>
      <c r="X73" s="439">
        <v>0</v>
      </c>
      <c r="Y73" s="439">
        <v>2</v>
      </c>
      <c r="Z73" s="385"/>
      <c r="AA73" s="385"/>
      <c r="AB73" s="385">
        <f>+X73+Y73+Z73+AA73</f>
        <v>2</v>
      </c>
      <c r="AC73" s="433">
        <f t="shared" si="63"/>
        <v>1</v>
      </c>
      <c r="AD73" s="419">
        <v>1</v>
      </c>
      <c r="AE73" s="419">
        <f t="shared" si="37"/>
        <v>1</v>
      </c>
      <c r="AF73" s="433">
        <f>+AC73*E73</f>
        <v>0.05</v>
      </c>
      <c r="AG73" s="457">
        <f>+AD73*E73</f>
        <v>0.05</v>
      </c>
      <c r="AH73" s="459">
        <f t="shared" si="45"/>
        <v>0.05</v>
      </c>
      <c r="AI73" s="457">
        <f t="shared" si="64"/>
        <v>0.25</v>
      </c>
      <c r="AJ73" s="459">
        <v>0.625</v>
      </c>
      <c r="AK73" s="1310">
        <f t="shared" si="39"/>
        <v>0.875</v>
      </c>
      <c r="AL73" s="457">
        <f>+AI73*E73</f>
        <v>1.2500000000000001E-2</v>
      </c>
      <c r="AM73" s="458">
        <f>+AJ73*E73</f>
        <v>3.125E-2</v>
      </c>
      <c r="AN73" s="1310">
        <f t="shared" si="40"/>
        <v>4.3750000000000004E-2</v>
      </c>
      <c r="AO73" s="142" t="s">
        <v>1844</v>
      </c>
      <c r="AP73" s="526" t="s">
        <v>1886</v>
      </c>
      <c r="AQ73" s="634" t="s">
        <v>1986</v>
      </c>
      <c r="AR73" s="634" t="s">
        <v>2008</v>
      </c>
      <c r="AS73" s="634" t="s">
        <v>2106</v>
      </c>
      <c r="AT73" s="634" t="s">
        <v>2137</v>
      </c>
      <c r="AU73" s="634" t="s">
        <v>2190</v>
      </c>
      <c r="AV73" s="634" t="s">
        <v>1887</v>
      </c>
      <c r="AW73" s="634" t="s">
        <v>2294</v>
      </c>
    </row>
    <row r="74" spans="1:49" ht="132.6" customHeight="1" thickBot="1" x14ac:dyDescent="0.4">
      <c r="A74" s="223"/>
      <c r="B74" s="1147" t="s">
        <v>129</v>
      </c>
      <c r="C74" s="1147" t="s">
        <v>130</v>
      </c>
      <c r="D74" s="361" t="s">
        <v>12</v>
      </c>
      <c r="E74" s="414">
        <v>0.02</v>
      </c>
      <c r="F74" s="383">
        <v>2</v>
      </c>
      <c r="G74" s="384">
        <v>0</v>
      </c>
      <c r="H74" s="385">
        <v>1</v>
      </c>
      <c r="I74" s="385">
        <v>1</v>
      </c>
      <c r="J74" s="386"/>
      <c r="K74" s="402">
        <f t="shared" si="58"/>
        <v>0.5</v>
      </c>
      <c r="L74" s="403">
        <f t="shared" si="35"/>
        <v>0.5</v>
      </c>
      <c r="M74" s="389"/>
      <c r="N74" s="389">
        <f t="shared" si="41"/>
        <v>0.01</v>
      </c>
      <c r="O74" s="389"/>
      <c r="P74" s="384"/>
      <c r="Q74" s="443">
        <v>0</v>
      </c>
      <c r="R74" s="439">
        <v>1</v>
      </c>
      <c r="S74" s="439">
        <v>0</v>
      </c>
      <c r="T74" s="439">
        <v>0</v>
      </c>
      <c r="U74" s="439">
        <v>0</v>
      </c>
      <c r="V74" s="385">
        <f t="shared" si="65"/>
        <v>1</v>
      </c>
      <c r="W74" s="448">
        <f t="shared" si="71"/>
        <v>3</v>
      </c>
      <c r="X74" s="439">
        <v>0</v>
      </c>
      <c r="Y74" s="439">
        <v>2</v>
      </c>
      <c r="Z74" s="385"/>
      <c r="AA74" s="385"/>
      <c r="AB74" s="385">
        <f t="shared" si="36"/>
        <v>2</v>
      </c>
      <c r="AC74" s="386"/>
      <c r="AD74" s="389">
        <f>+V74/H74</f>
        <v>1</v>
      </c>
      <c r="AE74" s="393">
        <v>1</v>
      </c>
      <c r="AF74" s="386"/>
      <c r="AG74" s="858">
        <f>+AD74*E74</f>
        <v>0.02</v>
      </c>
      <c r="AH74" s="404">
        <f t="shared" si="45"/>
        <v>0.02</v>
      </c>
      <c r="AI74" s="402"/>
      <c r="AJ74" s="404">
        <v>0.5</v>
      </c>
      <c r="AK74" s="1310">
        <v>1</v>
      </c>
      <c r="AL74" s="457">
        <v>0</v>
      </c>
      <c r="AM74" s="458">
        <v>0</v>
      </c>
      <c r="AN74" s="1310">
        <f t="shared" si="40"/>
        <v>0.02</v>
      </c>
      <c r="AO74" s="142" t="s">
        <v>1844</v>
      </c>
      <c r="AP74" s="526" t="s">
        <v>1886</v>
      </c>
      <c r="AQ74" s="634" t="s">
        <v>1986</v>
      </c>
      <c r="AR74" s="634" t="s">
        <v>2008</v>
      </c>
      <c r="AS74" s="634" t="s">
        <v>2106</v>
      </c>
      <c r="AT74" s="634" t="s">
        <v>2137</v>
      </c>
      <c r="AU74" s="634" t="s">
        <v>2190</v>
      </c>
      <c r="AV74" s="634" t="s">
        <v>1887</v>
      </c>
      <c r="AW74" s="634" t="s">
        <v>2294</v>
      </c>
    </row>
    <row r="75" spans="1:49" ht="132.6" customHeight="1" thickBot="1" x14ac:dyDescent="0.45">
      <c r="A75" s="223"/>
      <c r="B75" s="1147" t="s">
        <v>131</v>
      </c>
      <c r="C75" s="1147" t="s">
        <v>132</v>
      </c>
      <c r="D75" s="361" t="s">
        <v>12</v>
      </c>
      <c r="E75" s="414">
        <v>0.08</v>
      </c>
      <c r="F75" s="383">
        <v>1</v>
      </c>
      <c r="G75" s="384">
        <v>0</v>
      </c>
      <c r="H75" s="385">
        <v>0</v>
      </c>
      <c r="I75" s="385">
        <v>0</v>
      </c>
      <c r="J75" s="386"/>
      <c r="K75" s="402"/>
      <c r="L75" s="403"/>
      <c r="M75" s="389"/>
      <c r="N75" s="389"/>
      <c r="O75" s="389"/>
      <c r="P75" s="384"/>
      <c r="Q75" s="443"/>
      <c r="R75" s="439"/>
      <c r="S75" s="439"/>
      <c r="T75" s="439"/>
      <c r="U75" s="439"/>
      <c r="V75" s="385">
        <f t="shared" si="65"/>
        <v>0</v>
      </c>
      <c r="W75" s="448">
        <f t="shared" si="71"/>
        <v>0</v>
      </c>
      <c r="X75" s="439">
        <v>0</v>
      </c>
      <c r="Y75" s="439">
        <v>0</v>
      </c>
      <c r="Z75" s="385"/>
      <c r="AA75" s="385"/>
      <c r="AB75" s="385">
        <f t="shared" si="36"/>
        <v>0</v>
      </c>
      <c r="AC75" s="386"/>
      <c r="AD75" s="402"/>
      <c r="AE75" s="404"/>
      <c r="AF75" s="402"/>
      <c r="AG75" s="872"/>
      <c r="AH75" s="1315"/>
      <c r="AJ75" s="404">
        <v>0</v>
      </c>
      <c r="AK75" s="1310">
        <f t="shared" si="39"/>
        <v>0</v>
      </c>
      <c r="AL75" s="457">
        <f>+AI74*E75</f>
        <v>0</v>
      </c>
      <c r="AM75" s="458">
        <f>+AJ74*E75</f>
        <v>0.04</v>
      </c>
      <c r="AN75" s="1310">
        <f t="shared" si="40"/>
        <v>0</v>
      </c>
      <c r="AO75" s="142" t="s">
        <v>1844</v>
      </c>
      <c r="AP75" s="526" t="s">
        <v>1886</v>
      </c>
      <c r="AQ75" s="634" t="s">
        <v>1986</v>
      </c>
      <c r="AR75" s="634" t="s">
        <v>2008</v>
      </c>
      <c r="AS75" s="634" t="s">
        <v>2106</v>
      </c>
      <c r="AT75" s="634" t="s">
        <v>2137</v>
      </c>
      <c r="AU75" s="634" t="s">
        <v>2190</v>
      </c>
      <c r="AV75" s="634" t="s">
        <v>1887</v>
      </c>
      <c r="AW75" s="634" t="s">
        <v>2294</v>
      </c>
    </row>
    <row r="76" spans="1:49" ht="132.6" customHeight="1" thickBot="1" x14ac:dyDescent="0.4">
      <c r="A76" s="223"/>
      <c r="B76" s="1147" t="s">
        <v>133</v>
      </c>
      <c r="C76" s="1147" t="s">
        <v>134</v>
      </c>
      <c r="D76" s="361" t="s">
        <v>12</v>
      </c>
      <c r="E76" s="414">
        <v>0.08</v>
      </c>
      <c r="F76" s="383">
        <v>1</v>
      </c>
      <c r="G76" s="384">
        <v>0</v>
      </c>
      <c r="H76" s="385">
        <v>0</v>
      </c>
      <c r="I76" s="385">
        <v>1</v>
      </c>
      <c r="J76" s="386"/>
      <c r="K76" s="402"/>
      <c r="L76" s="408">
        <f t="shared" si="35"/>
        <v>1</v>
      </c>
      <c r="M76" s="389"/>
      <c r="N76" s="389"/>
      <c r="O76" s="389"/>
      <c r="P76" s="384">
        <v>0</v>
      </c>
      <c r="Q76" s="443"/>
      <c r="R76" s="439"/>
      <c r="S76" s="439"/>
      <c r="T76" s="439"/>
      <c r="U76" s="439"/>
      <c r="V76" s="385">
        <f t="shared" si="65"/>
        <v>0</v>
      </c>
      <c r="W76" s="448">
        <f t="shared" si="71"/>
        <v>2</v>
      </c>
      <c r="X76" s="439">
        <v>1</v>
      </c>
      <c r="Y76" s="385">
        <v>1</v>
      </c>
      <c r="Z76" s="385"/>
      <c r="AA76" s="385"/>
      <c r="AB76" s="385">
        <f t="shared" si="36"/>
        <v>2</v>
      </c>
      <c r="AC76" s="386"/>
      <c r="AD76" s="389"/>
      <c r="AE76" s="1316">
        <v>1</v>
      </c>
      <c r="AF76" s="386"/>
      <c r="AG76" s="869"/>
      <c r="AH76" s="1317">
        <f t="shared" si="45"/>
        <v>0.08</v>
      </c>
      <c r="AI76" s="402"/>
      <c r="AJ76" s="468">
        <v>0</v>
      </c>
      <c r="AK76" s="1310">
        <v>1</v>
      </c>
      <c r="AL76" s="457">
        <v>0</v>
      </c>
      <c r="AM76" s="458">
        <v>0</v>
      </c>
      <c r="AN76" s="1310">
        <f t="shared" si="40"/>
        <v>0.08</v>
      </c>
      <c r="AO76" s="142" t="s">
        <v>1844</v>
      </c>
      <c r="AP76" s="526" t="s">
        <v>1886</v>
      </c>
      <c r="AQ76" s="634" t="s">
        <v>1986</v>
      </c>
      <c r="AR76" s="634" t="s">
        <v>2008</v>
      </c>
      <c r="AS76" s="634" t="s">
        <v>2106</v>
      </c>
      <c r="AT76" s="634" t="s">
        <v>2137</v>
      </c>
      <c r="AU76" s="634" t="s">
        <v>2190</v>
      </c>
      <c r="AV76" s="634" t="s">
        <v>1887</v>
      </c>
      <c r="AW76" s="634" t="s">
        <v>2294</v>
      </c>
    </row>
    <row r="77" spans="1:49" ht="42.75" customHeight="1" thickBot="1" x14ac:dyDescent="0.45">
      <c r="A77" s="223"/>
      <c r="B77" s="1295" t="s">
        <v>1601</v>
      </c>
      <c r="C77" s="1292"/>
      <c r="D77" s="361"/>
      <c r="E77" s="379">
        <v>0.1</v>
      </c>
      <c r="F77" s="382"/>
      <c r="G77" s="382"/>
      <c r="H77" s="388"/>
      <c r="I77" s="388"/>
      <c r="J77" s="381">
        <f>+AVERAGE(J78:J86)</f>
        <v>0.25</v>
      </c>
      <c r="K77" s="401">
        <f>+AVERAGE(K78:K86)</f>
        <v>0.37172965116279072</v>
      </c>
      <c r="L77" s="461">
        <f>+AVERAGE(L78:L86)</f>
        <v>0.20284332354247414</v>
      </c>
      <c r="M77" s="381">
        <f>+M78+M79+M80+M81+M82+M83+M84+M85+M86</f>
        <v>0.13750000000000001</v>
      </c>
      <c r="N77" s="381">
        <f>+N78+N79+N80+N81+N82+N83+N84+N85+N86</f>
        <v>0.33712209302325585</v>
      </c>
      <c r="O77" s="381"/>
      <c r="P77" s="382"/>
      <c r="Q77" s="388"/>
      <c r="R77" s="388"/>
      <c r="S77" s="388"/>
      <c r="T77" s="388"/>
      <c r="U77" s="833"/>
      <c r="V77" s="388"/>
      <c r="W77" s="388"/>
      <c r="X77" s="385"/>
      <c r="Y77" s="385"/>
      <c r="Z77" s="385"/>
      <c r="AA77" s="385"/>
      <c r="AB77" s="385"/>
      <c r="AC77" s="441">
        <f>+AVERAGE(AC78:AC86)</f>
        <v>0.95625000000000004</v>
      </c>
      <c r="AD77" s="460">
        <f>+AVERAGE(AD78:AD86)</f>
        <v>0.99824999999999997</v>
      </c>
      <c r="AE77" s="882">
        <f>+AVERAGE(AE78:AE86)</f>
        <v>0.5625</v>
      </c>
      <c r="AF77" s="441">
        <f>+(AF78+AF79+AF80+AF81+AF82+AF83+AF84+AF85+AF86)*E77</f>
        <v>5.2593749999999995E-2</v>
      </c>
      <c r="AG77" s="460">
        <f>+(AG78+AG79+AG80+AG81+AG82+AG83+AG84+AG85+AG86)*E77</f>
        <v>8.8846000000000008E-2</v>
      </c>
      <c r="AH77" s="882">
        <f>+(AH78+AH79+AH80+AH81+AH82+AH83+AH84+AH85+AH86)*E77</f>
        <v>4.9500000000000002E-2</v>
      </c>
      <c r="AI77" s="401">
        <f>+AVERAGE(AI78:AI86)</f>
        <v>0.19921875</v>
      </c>
      <c r="AJ77" s="461">
        <v>0.52151937984496133</v>
      </c>
      <c r="AK77" s="461">
        <f>+AVERAGE(AK78:AK86)</f>
        <v>0.70745765144989958</v>
      </c>
      <c r="AL77" s="903">
        <f>+(AL78+AL79+AL80+AL81+AL82+AL83+AL84+AL85+AL86)*E77</f>
        <v>1.3148437499999999E-2</v>
      </c>
      <c r="AM77" s="904">
        <f>+(AM78+AM79+AM80+AM81+AM82+AM83+AM84+AM85+AM86)</f>
        <v>0.52630418604651164</v>
      </c>
      <c r="AN77" s="904">
        <f>+(AN78+AN79+AN80+AN81+AN82+AN83+AN84+AN85+AN86)</f>
        <v>0.71038307493540054</v>
      </c>
      <c r="AO77" s="136"/>
      <c r="AP77" s="359"/>
      <c r="AQ77" s="359"/>
      <c r="AR77" s="359"/>
      <c r="AS77" s="359"/>
      <c r="AT77" s="359"/>
      <c r="AU77" s="158"/>
      <c r="AV77" s="158"/>
    </row>
    <row r="78" spans="1:49" ht="133.80000000000001" customHeight="1" thickBot="1" x14ac:dyDescent="0.4">
      <c r="A78" s="223"/>
      <c r="B78" s="1147" t="s">
        <v>135</v>
      </c>
      <c r="C78" s="1147" t="s">
        <v>136</v>
      </c>
      <c r="D78" s="361" t="s">
        <v>12</v>
      </c>
      <c r="E78" s="269">
        <v>0.11</v>
      </c>
      <c r="F78" s="383">
        <v>8</v>
      </c>
      <c r="G78" s="384">
        <v>0</v>
      </c>
      <c r="H78" s="385">
        <v>3</v>
      </c>
      <c r="I78" s="385">
        <v>2</v>
      </c>
      <c r="J78" s="386"/>
      <c r="K78" s="402">
        <f t="shared" si="58"/>
        <v>0.375</v>
      </c>
      <c r="L78" s="462">
        <f t="shared" si="35"/>
        <v>0.25</v>
      </c>
      <c r="M78" s="389"/>
      <c r="N78" s="389">
        <f>+(H78/F78)*E78</f>
        <v>4.1250000000000002E-2</v>
      </c>
      <c r="O78" s="389"/>
      <c r="P78" s="384"/>
      <c r="Q78" s="443">
        <v>0</v>
      </c>
      <c r="R78" s="439">
        <v>4</v>
      </c>
      <c r="S78" s="439">
        <v>0</v>
      </c>
      <c r="T78" s="439">
        <v>0</v>
      </c>
      <c r="U78" s="439">
        <v>0.25</v>
      </c>
      <c r="V78" s="385">
        <f>+Q78+R78+S78+T78+U78</f>
        <v>4.25</v>
      </c>
      <c r="W78" s="1047">
        <f>+V78+P78+AB78</f>
        <v>7.25</v>
      </c>
      <c r="X78" s="439">
        <v>3</v>
      </c>
      <c r="Y78" s="439">
        <v>0</v>
      </c>
      <c r="Z78" s="385"/>
      <c r="AA78" s="385"/>
      <c r="AB78" s="385">
        <f t="shared" si="36"/>
        <v>3</v>
      </c>
      <c r="AC78" s="386"/>
      <c r="AD78" s="419">
        <v>1</v>
      </c>
      <c r="AE78" s="1318">
        <v>1</v>
      </c>
      <c r="AF78" s="433"/>
      <c r="AG78" s="457">
        <f t="shared" si="48"/>
        <v>0.11</v>
      </c>
      <c r="AH78" s="464">
        <f t="shared" si="45"/>
        <v>0.11</v>
      </c>
      <c r="AI78" s="457"/>
      <c r="AJ78" s="464">
        <v>0.5</v>
      </c>
      <c r="AK78" s="1310">
        <f t="shared" si="39"/>
        <v>0.90625</v>
      </c>
      <c r="AL78" s="457">
        <v>0</v>
      </c>
      <c r="AM78" s="458">
        <f>+AJ78*E78</f>
        <v>5.5E-2</v>
      </c>
      <c r="AN78" s="1310">
        <f t="shared" si="40"/>
        <v>9.9687499999999998E-2</v>
      </c>
      <c r="AO78" s="142" t="s">
        <v>1844</v>
      </c>
      <c r="AP78" s="543" t="s">
        <v>1913</v>
      </c>
      <c r="AQ78" s="634" t="s">
        <v>1986</v>
      </c>
      <c r="AR78" s="634" t="s">
        <v>2008</v>
      </c>
      <c r="AS78" s="634" t="s">
        <v>2106</v>
      </c>
      <c r="AT78" s="634" t="s">
        <v>2137</v>
      </c>
      <c r="AU78" s="634" t="s">
        <v>2190</v>
      </c>
      <c r="AV78" s="634" t="s">
        <v>1887</v>
      </c>
    </row>
    <row r="79" spans="1:49" ht="86.4" customHeight="1" thickBot="1" x14ac:dyDescent="0.4">
      <c r="A79" s="223"/>
      <c r="B79" s="1147" t="s">
        <v>137</v>
      </c>
      <c r="C79" s="1147" t="s">
        <v>138</v>
      </c>
      <c r="D79" s="361" t="s">
        <v>12</v>
      </c>
      <c r="E79" s="269">
        <v>0.11</v>
      </c>
      <c r="F79" s="383">
        <f>64*4</f>
        <v>256</v>
      </c>
      <c r="G79" s="384">
        <v>64</v>
      </c>
      <c r="H79" s="385">
        <v>64</v>
      </c>
      <c r="I79" s="385">
        <v>0.25</v>
      </c>
      <c r="J79" s="386">
        <f t="shared" ref="J79:J86" si="72">+G79/F79</f>
        <v>0.25</v>
      </c>
      <c r="K79" s="402">
        <f t="shared" si="58"/>
        <v>0.25</v>
      </c>
      <c r="L79" s="403">
        <f t="shared" si="35"/>
        <v>9.765625E-4</v>
      </c>
      <c r="M79" s="389">
        <f t="shared" ref="M79:M86" si="73">+(G79/F79)*E79</f>
        <v>2.75E-2</v>
      </c>
      <c r="N79" s="389">
        <f t="shared" si="41"/>
        <v>2.75E-2</v>
      </c>
      <c r="O79" s="389"/>
      <c r="P79" s="384">
        <v>50</v>
      </c>
      <c r="Q79" s="443">
        <v>23</v>
      </c>
      <c r="R79" s="439">
        <v>9</v>
      </c>
      <c r="S79" s="439">
        <v>1</v>
      </c>
      <c r="T79" s="439">
        <v>0</v>
      </c>
      <c r="U79" s="439">
        <v>0</v>
      </c>
      <c r="V79" s="385">
        <f t="shared" ref="V79:V85" si="74">+Q79+R79+S79+T79+U79</f>
        <v>33</v>
      </c>
      <c r="W79" s="385">
        <f t="shared" ref="W79:W86" si="75">+V79+P79+AB79</f>
        <v>83.125</v>
      </c>
      <c r="X79" s="439">
        <v>6.25E-2</v>
      </c>
      <c r="Y79" s="439">
        <v>6.25E-2</v>
      </c>
      <c r="Z79" s="385"/>
      <c r="AA79" s="385"/>
      <c r="AB79" s="385">
        <f t="shared" si="36"/>
        <v>0.125</v>
      </c>
      <c r="AC79" s="386">
        <f>+(P79/G79)</f>
        <v>0.78125</v>
      </c>
      <c r="AD79" s="419">
        <v>1</v>
      </c>
      <c r="AE79" s="419">
        <f t="shared" si="37"/>
        <v>0.5</v>
      </c>
      <c r="AF79" s="433">
        <f>+AC79*E79</f>
        <v>8.59375E-2</v>
      </c>
      <c r="AG79" s="457">
        <f t="shared" si="48"/>
        <v>0.11</v>
      </c>
      <c r="AH79" s="458">
        <f>+AE79*E79</f>
        <v>5.5E-2</v>
      </c>
      <c r="AI79" s="457">
        <f>+P79/F79</f>
        <v>0.1953125</v>
      </c>
      <c r="AJ79" s="458">
        <v>0.4995</v>
      </c>
      <c r="AK79" s="464">
        <v>0.56499999999999995</v>
      </c>
      <c r="AL79" s="457">
        <f>+AI79*E79</f>
        <v>2.1484375E-2</v>
      </c>
      <c r="AM79" s="458">
        <f>+AJ79*E79</f>
        <v>5.4945000000000001E-2</v>
      </c>
      <c r="AN79" s="1310">
        <f t="shared" si="40"/>
        <v>6.2149999999999997E-2</v>
      </c>
      <c r="AO79" s="142" t="s">
        <v>1844</v>
      </c>
      <c r="AP79" s="526" t="s">
        <v>1886</v>
      </c>
      <c r="AQ79" s="634" t="s">
        <v>1986</v>
      </c>
      <c r="AR79" s="634" t="s">
        <v>2008</v>
      </c>
      <c r="AS79" s="634" t="s">
        <v>2106</v>
      </c>
      <c r="AT79" s="538" t="s">
        <v>1859</v>
      </c>
      <c r="AU79" s="634" t="s">
        <v>2190</v>
      </c>
      <c r="AV79" s="634" t="s">
        <v>1887</v>
      </c>
    </row>
    <row r="80" spans="1:49" ht="80.400000000000006" customHeight="1" thickBot="1" x14ac:dyDescent="0.4">
      <c r="A80" s="223"/>
      <c r="B80" s="1147" t="s">
        <v>139</v>
      </c>
      <c r="C80" s="1147" t="s">
        <v>140</v>
      </c>
      <c r="D80" s="361" t="s">
        <v>12</v>
      </c>
      <c r="E80" s="269">
        <v>0.11</v>
      </c>
      <c r="F80" s="383">
        <v>9</v>
      </c>
      <c r="G80" s="384">
        <v>0</v>
      </c>
      <c r="H80" s="385">
        <v>0</v>
      </c>
      <c r="I80" s="385">
        <v>4</v>
      </c>
      <c r="J80" s="386"/>
      <c r="K80" s="402"/>
      <c r="L80" s="403">
        <f t="shared" si="35"/>
        <v>0.44444444444444442</v>
      </c>
      <c r="M80" s="389"/>
      <c r="N80" s="389"/>
      <c r="O80" s="389"/>
      <c r="P80" s="384"/>
      <c r="Q80" s="443"/>
      <c r="R80" s="439"/>
      <c r="S80" s="439"/>
      <c r="T80" s="439"/>
      <c r="U80" s="439"/>
      <c r="V80" s="385">
        <f t="shared" si="74"/>
        <v>0</v>
      </c>
      <c r="W80" s="385">
        <f t="shared" si="75"/>
        <v>4</v>
      </c>
      <c r="X80" s="439">
        <v>3</v>
      </c>
      <c r="Y80" s="439">
        <v>1</v>
      </c>
      <c r="Z80" s="385"/>
      <c r="AA80" s="385"/>
      <c r="AB80" s="385">
        <f t="shared" si="36"/>
        <v>4</v>
      </c>
      <c r="AC80" s="386"/>
      <c r="AD80" s="419"/>
      <c r="AE80" s="419">
        <f t="shared" si="37"/>
        <v>1</v>
      </c>
      <c r="AF80" s="433"/>
      <c r="AG80" s="457"/>
      <c r="AH80" s="458">
        <f t="shared" si="45"/>
        <v>0.11</v>
      </c>
      <c r="AI80" s="457">
        <v>0</v>
      </c>
      <c r="AJ80" s="458">
        <v>0</v>
      </c>
      <c r="AK80" s="458">
        <f t="shared" si="39"/>
        <v>0.44444444444444442</v>
      </c>
      <c r="AL80" s="457">
        <v>0</v>
      </c>
      <c r="AM80" s="458">
        <f t="shared" ref="AM80:AM81" si="76">+AJ80*E80</f>
        <v>0</v>
      </c>
      <c r="AN80" s="1310">
        <f t="shared" si="40"/>
        <v>4.8888888888888885E-2</v>
      </c>
      <c r="AO80" s="142" t="s">
        <v>1844</v>
      </c>
      <c r="AP80" s="526" t="s">
        <v>1886</v>
      </c>
      <c r="AQ80" s="634" t="s">
        <v>1986</v>
      </c>
      <c r="AR80" s="634" t="s">
        <v>2008</v>
      </c>
      <c r="AS80" s="634" t="s">
        <v>2106</v>
      </c>
      <c r="AT80" s="634" t="s">
        <v>2137</v>
      </c>
      <c r="AU80" s="634" t="s">
        <v>2190</v>
      </c>
      <c r="AV80" s="634" t="s">
        <v>1887</v>
      </c>
    </row>
    <row r="81" spans="1:48" ht="113.4" customHeight="1" thickBot="1" x14ac:dyDescent="0.4">
      <c r="A81" s="223"/>
      <c r="B81" s="1147" t="s">
        <v>141</v>
      </c>
      <c r="C81" s="1147" t="s">
        <v>142</v>
      </c>
      <c r="D81" s="361" t="s">
        <v>12</v>
      </c>
      <c r="E81" s="269">
        <v>0.12</v>
      </c>
      <c r="F81" s="383">
        <v>1</v>
      </c>
      <c r="G81" s="384">
        <v>0</v>
      </c>
      <c r="H81" s="385">
        <v>1</v>
      </c>
      <c r="I81" s="385">
        <v>0</v>
      </c>
      <c r="J81" s="386"/>
      <c r="K81" s="402">
        <f t="shared" si="58"/>
        <v>1</v>
      </c>
      <c r="L81" s="403"/>
      <c r="M81" s="389"/>
      <c r="N81" s="389">
        <f t="shared" si="41"/>
        <v>0.12</v>
      </c>
      <c r="O81" s="389"/>
      <c r="P81" s="384"/>
      <c r="Q81" s="443">
        <v>0</v>
      </c>
      <c r="R81" s="439">
        <v>0</v>
      </c>
      <c r="S81" s="439">
        <v>0</v>
      </c>
      <c r="T81" s="439">
        <v>0</v>
      </c>
      <c r="U81" s="439">
        <v>1</v>
      </c>
      <c r="V81" s="385">
        <f t="shared" si="74"/>
        <v>1</v>
      </c>
      <c r="W81" s="385">
        <f t="shared" si="75"/>
        <v>1.0625</v>
      </c>
      <c r="X81" s="439">
        <v>0</v>
      </c>
      <c r="Y81" s="439">
        <v>6.25E-2</v>
      </c>
      <c r="Z81" s="385"/>
      <c r="AA81" s="385"/>
      <c r="AB81" s="385">
        <f t="shared" si="36"/>
        <v>6.25E-2</v>
      </c>
      <c r="AC81" s="386"/>
      <c r="AD81" s="419">
        <f t="shared" ref="AD81:AD90" si="77">+V81/H81</f>
        <v>1</v>
      </c>
      <c r="AE81" s="419"/>
      <c r="AF81" s="433"/>
      <c r="AG81" s="457">
        <f t="shared" si="48"/>
        <v>0.12</v>
      </c>
      <c r="AH81" s="458"/>
      <c r="AI81" s="457"/>
      <c r="AJ81" s="458">
        <v>1</v>
      </c>
      <c r="AK81" s="458">
        <v>1</v>
      </c>
      <c r="AL81" s="457">
        <v>0</v>
      </c>
      <c r="AM81" s="458">
        <f t="shared" si="76"/>
        <v>0.12</v>
      </c>
      <c r="AN81" s="1310">
        <f t="shared" si="40"/>
        <v>0.12</v>
      </c>
      <c r="AO81" s="142" t="s">
        <v>1844</v>
      </c>
      <c r="AP81" s="543" t="s">
        <v>1913</v>
      </c>
      <c r="AQ81" s="634" t="s">
        <v>1986</v>
      </c>
      <c r="AR81" s="634" t="s">
        <v>2008</v>
      </c>
      <c r="AS81" s="538" t="s">
        <v>1859</v>
      </c>
      <c r="AT81" s="634" t="s">
        <v>2137</v>
      </c>
      <c r="AU81" s="634" t="s">
        <v>2190</v>
      </c>
      <c r="AV81" s="634" t="s">
        <v>1887</v>
      </c>
    </row>
    <row r="82" spans="1:48" ht="105" customHeight="1" thickBot="1" x14ac:dyDescent="0.4">
      <c r="A82" s="223"/>
      <c r="B82" s="1147" t="s">
        <v>143</v>
      </c>
      <c r="C82" s="1147" t="s">
        <v>144</v>
      </c>
      <c r="D82" s="361" t="s">
        <v>12</v>
      </c>
      <c r="E82" s="269">
        <v>0.11</v>
      </c>
      <c r="F82" s="383">
        <v>4</v>
      </c>
      <c r="G82" s="384">
        <v>1</v>
      </c>
      <c r="H82" s="385">
        <v>1</v>
      </c>
      <c r="I82" s="385">
        <v>1</v>
      </c>
      <c r="J82" s="386">
        <f t="shared" si="72"/>
        <v>0.25</v>
      </c>
      <c r="K82" s="402">
        <f t="shared" si="58"/>
        <v>0.25</v>
      </c>
      <c r="L82" s="403">
        <f t="shared" si="35"/>
        <v>0.25</v>
      </c>
      <c r="M82" s="389">
        <f t="shared" si="73"/>
        <v>2.75E-2</v>
      </c>
      <c r="N82" s="389">
        <f t="shared" si="41"/>
        <v>2.75E-2</v>
      </c>
      <c r="O82" s="389"/>
      <c r="P82" s="384">
        <v>1</v>
      </c>
      <c r="Q82" s="443">
        <v>0</v>
      </c>
      <c r="R82" s="439">
        <v>1</v>
      </c>
      <c r="S82" s="439">
        <v>0</v>
      </c>
      <c r="T82" s="439">
        <v>0</v>
      </c>
      <c r="U82" s="439">
        <v>0</v>
      </c>
      <c r="V82" s="385">
        <f t="shared" si="74"/>
        <v>1</v>
      </c>
      <c r="W82" s="385">
        <f t="shared" si="75"/>
        <v>4</v>
      </c>
      <c r="X82" s="439">
        <v>1</v>
      </c>
      <c r="Y82" s="439">
        <v>1</v>
      </c>
      <c r="Z82" s="385"/>
      <c r="AA82" s="385"/>
      <c r="AB82" s="385">
        <f t="shared" si="36"/>
        <v>2</v>
      </c>
      <c r="AC82" s="386">
        <f>+(P82/G82)</f>
        <v>1</v>
      </c>
      <c r="AD82" s="419">
        <f t="shared" si="77"/>
        <v>1</v>
      </c>
      <c r="AE82" s="419">
        <v>1</v>
      </c>
      <c r="AF82" s="433">
        <f>+AC82*E82</f>
        <v>0.11</v>
      </c>
      <c r="AG82" s="457">
        <f t="shared" si="48"/>
        <v>0.11</v>
      </c>
      <c r="AH82" s="458">
        <f t="shared" si="45"/>
        <v>0.11</v>
      </c>
      <c r="AI82" s="457">
        <f>+P82/F82</f>
        <v>0.25</v>
      </c>
      <c r="AJ82" s="458">
        <v>0.5</v>
      </c>
      <c r="AK82" s="458">
        <f t="shared" si="39"/>
        <v>1</v>
      </c>
      <c r="AL82" s="457">
        <f>+AI82*E82</f>
        <v>2.75E-2</v>
      </c>
      <c r="AM82" s="458">
        <f>+AJ82*E82</f>
        <v>5.5E-2</v>
      </c>
      <c r="AN82" s="1310">
        <f t="shared" si="40"/>
        <v>0.11</v>
      </c>
      <c r="AO82" s="142" t="s">
        <v>1844</v>
      </c>
      <c r="AP82" s="526" t="s">
        <v>1886</v>
      </c>
      <c r="AQ82" s="634" t="s">
        <v>1986</v>
      </c>
      <c r="AR82" s="634" t="s">
        <v>2008</v>
      </c>
      <c r="AS82" s="538" t="s">
        <v>1859</v>
      </c>
      <c r="AT82" s="634" t="s">
        <v>2137</v>
      </c>
      <c r="AU82" s="634" t="s">
        <v>2190</v>
      </c>
      <c r="AV82" s="634" t="s">
        <v>1887</v>
      </c>
    </row>
    <row r="83" spans="1:48" ht="73.2" customHeight="1" thickBot="1" x14ac:dyDescent="0.4">
      <c r="A83" s="223"/>
      <c r="B83" s="1147" t="s">
        <v>145</v>
      </c>
      <c r="C83" s="1147" t="s">
        <v>146</v>
      </c>
      <c r="D83" s="361" t="s">
        <v>12</v>
      </c>
      <c r="E83" s="269">
        <v>0.11</v>
      </c>
      <c r="F83" s="383">
        <v>4</v>
      </c>
      <c r="G83" s="384">
        <v>1</v>
      </c>
      <c r="H83" s="385">
        <v>1</v>
      </c>
      <c r="I83" s="385">
        <v>0.25</v>
      </c>
      <c r="J83" s="386">
        <f t="shared" si="72"/>
        <v>0.25</v>
      </c>
      <c r="K83" s="402">
        <f t="shared" si="58"/>
        <v>0.25</v>
      </c>
      <c r="L83" s="403">
        <f t="shared" si="35"/>
        <v>6.25E-2</v>
      </c>
      <c r="M83" s="389">
        <f t="shared" si="73"/>
        <v>2.75E-2</v>
      </c>
      <c r="N83" s="389">
        <f t="shared" si="41"/>
        <v>2.75E-2</v>
      </c>
      <c r="O83" s="389"/>
      <c r="P83" s="384">
        <v>1</v>
      </c>
      <c r="Q83" s="443">
        <v>0</v>
      </c>
      <c r="R83" s="439">
        <v>0.5</v>
      </c>
      <c r="S83" s="439">
        <v>0.25</v>
      </c>
      <c r="T83" s="439">
        <v>0.1225</v>
      </c>
      <c r="U83" s="439">
        <v>0.1225</v>
      </c>
      <c r="V83" s="385">
        <f t="shared" si="74"/>
        <v>0.99500000000000011</v>
      </c>
      <c r="W83" s="385">
        <f t="shared" si="75"/>
        <v>1.9950000000000001</v>
      </c>
      <c r="X83" s="439">
        <v>0</v>
      </c>
      <c r="Y83" s="439">
        <v>0</v>
      </c>
      <c r="Z83" s="385"/>
      <c r="AA83" s="385"/>
      <c r="AB83" s="385">
        <f t="shared" si="36"/>
        <v>0</v>
      </c>
      <c r="AC83" s="386">
        <f>+(P83/G83)</f>
        <v>1</v>
      </c>
      <c r="AD83" s="389">
        <f t="shared" si="77"/>
        <v>0.99500000000000011</v>
      </c>
      <c r="AE83" s="389">
        <f t="shared" si="37"/>
        <v>0</v>
      </c>
      <c r="AF83" s="433">
        <f>+AC83*E83</f>
        <v>0.11</v>
      </c>
      <c r="AG83" s="457">
        <f t="shared" si="48"/>
        <v>0.10945000000000001</v>
      </c>
      <c r="AH83" s="458">
        <f t="shared" si="45"/>
        <v>0</v>
      </c>
      <c r="AI83" s="457">
        <f>+P83/F83</f>
        <v>0.25</v>
      </c>
      <c r="AJ83" s="403">
        <v>0.49875000000000003</v>
      </c>
      <c r="AK83" s="458">
        <f t="shared" si="39"/>
        <v>0.49875000000000003</v>
      </c>
      <c r="AL83" s="457">
        <f>+AI83*E83</f>
        <v>2.75E-2</v>
      </c>
      <c r="AM83" s="458">
        <f>+AJ83*E83</f>
        <v>5.4862500000000002E-2</v>
      </c>
      <c r="AN83" s="1310">
        <f t="shared" si="40"/>
        <v>5.4862500000000002E-2</v>
      </c>
      <c r="AO83" s="142" t="s">
        <v>1844</v>
      </c>
      <c r="AP83" s="526" t="s">
        <v>1886</v>
      </c>
      <c r="AQ83" s="634" t="s">
        <v>1986</v>
      </c>
      <c r="AR83" s="634" t="s">
        <v>2008</v>
      </c>
      <c r="AS83" s="634" t="s">
        <v>2106</v>
      </c>
      <c r="AT83" s="634" t="s">
        <v>2137</v>
      </c>
      <c r="AU83" s="634" t="s">
        <v>2190</v>
      </c>
      <c r="AV83" s="634" t="s">
        <v>1887</v>
      </c>
    </row>
    <row r="84" spans="1:48" ht="94.95" customHeight="1" thickBot="1" x14ac:dyDescent="0.4">
      <c r="A84" s="223"/>
      <c r="B84" s="1147" t="s">
        <v>147</v>
      </c>
      <c r="C84" s="1147" t="s">
        <v>148</v>
      </c>
      <c r="D84" s="361" t="s">
        <v>12</v>
      </c>
      <c r="E84" s="269">
        <v>0.11</v>
      </c>
      <c r="F84" s="383">
        <v>1</v>
      </c>
      <c r="G84" s="384">
        <v>0.25</v>
      </c>
      <c r="H84" s="385">
        <v>0.25</v>
      </c>
      <c r="I84" s="385">
        <v>0.25</v>
      </c>
      <c r="J84" s="386">
        <f t="shared" si="72"/>
        <v>0.25</v>
      </c>
      <c r="K84" s="402">
        <f t="shared" si="58"/>
        <v>0.25</v>
      </c>
      <c r="L84" s="403">
        <f t="shared" si="35"/>
        <v>0.25</v>
      </c>
      <c r="M84" s="389">
        <f t="shared" si="73"/>
        <v>2.75E-2</v>
      </c>
      <c r="N84" s="389">
        <f t="shared" si="41"/>
        <v>2.75E-2</v>
      </c>
      <c r="O84" s="389"/>
      <c r="P84" s="424">
        <v>0.25</v>
      </c>
      <c r="Q84" s="443">
        <v>6.25E-2</v>
      </c>
      <c r="R84" s="702">
        <v>6.25E-2</v>
      </c>
      <c r="S84" s="702">
        <v>6.2E-2</v>
      </c>
      <c r="T84" s="702">
        <v>3.1E-2</v>
      </c>
      <c r="U84" s="702">
        <v>3.1E-2</v>
      </c>
      <c r="V84" s="385">
        <f t="shared" si="74"/>
        <v>0.249</v>
      </c>
      <c r="W84" s="385">
        <f t="shared" si="75"/>
        <v>6.4989999999999997</v>
      </c>
      <c r="X84" s="439">
        <v>3</v>
      </c>
      <c r="Y84" s="439">
        <v>3</v>
      </c>
      <c r="Z84" s="385"/>
      <c r="AA84" s="385"/>
      <c r="AB84" s="385">
        <f t="shared" si="36"/>
        <v>6</v>
      </c>
      <c r="AC84" s="386">
        <f>+(P84/G84)</f>
        <v>1</v>
      </c>
      <c r="AD84" s="389">
        <f t="shared" si="77"/>
        <v>0.996</v>
      </c>
      <c r="AE84" s="389">
        <v>0.5</v>
      </c>
      <c r="AF84" s="433">
        <f>+AC84*E84</f>
        <v>0.11</v>
      </c>
      <c r="AG84" s="457">
        <f t="shared" si="48"/>
        <v>0.10956</v>
      </c>
      <c r="AH84" s="458">
        <f t="shared" si="45"/>
        <v>5.5E-2</v>
      </c>
      <c r="AI84" s="457">
        <f>+P84/F84</f>
        <v>0.25</v>
      </c>
      <c r="AJ84" s="403">
        <v>0.499</v>
      </c>
      <c r="AK84" s="458">
        <f>56.5%+0.0625</f>
        <v>0.62749999999999995</v>
      </c>
      <c r="AL84" s="457">
        <f>+AI84*E84</f>
        <v>2.75E-2</v>
      </c>
      <c r="AM84" s="458">
        <f>+AJ84*E84</f>
        <v>5.4890000000000001E-2</v>
      </c>
      <c r="AN84" s="1310">
        <f t="shared" si="40"/>
        <v>6.9024999999999989E-2</v>
      </c>
      <c r="AO84" s="142" t="s">
        <v>1844</v>
      </c>
      <c r="AP84" s="526" t="s">
        <v>1886</v>
      </c>
      <c r="AQ84" s="634" t="s">
        <v>1986</v>
      </c>
      <c r="AR84" s="634" t="s">
        <v>2008</v>
      </c>
      <c r="AS84" s="538" t="s">
        <v>1859</v>
      </c>
      <c r="AT84" s="634" t="s">
        <v>2137</v>
      </c>
      <c r="AU84" s="634" t="s">
        <v>2190</v>
      </c>
      <c r="AV84" s="634" t="s">
        <v>1887</v>
      </c>
    </row>
    <row r="85" spans="1:48" ht="95.4" customHeight="1" thickBot="1" x14ac:dyDescent="0.4">
      <c r="A85" s="223"/>
      <c r="B85" s="1147" t="s">
        <v>149</v>
      </c>
      <c r="C85" s="1147" t="s">
        <v>150</v>
      </c>
      <c r="D85" s="361" t="s">
        <v>12</v>
      </c>
      <c r="E85" s="269">
        <v>0.11</v>
      </c>
      <c r="F85" s="383">
        <v>86</v>
      </c>
      <c r="G85" s="384">
        <v>0</v>
      </c>
      <c r="H85" s="385">
        <v>30</v>
      </c>
      <c r="I85" s="385">
        <v>26</v>
      </c>
      <c r="J85" s="386"/>
      <c r="K85" s="402">
        <f t="shared" si="58"/>
        <v>0.34883720930232559</v>
      </c>
      <c r="L85" s="403">
        <f t="shared" si="35"/>
        <v>0.30232558139534882</v>
      </c>
      <c r="M85" s="389"/>
      <c r="N85" s="389">
        <f t="shared" si="41"/>
        <v>3.8372093023255817E-2</v>
      </c>
      <c r="O85" s="389"/>
      <c r="P85" s="384"/>
      <c r="Q85" s="443">
        <v>0</v>
      </c>
      <c r="R85" s="439">
        <v>0</v>
      </c>
      <c r="S85" s="439">
        <v>60</v>
      </c>
      <c r="T85" s="439">
        <v>0</v>
      </c>
      <c r="U85" s="439">
        <v>0</v>
      </c>
      <c r="V85" s="385">
        <f t="shared" si="74"/>
        <v>60</v>
      </c>
      <c r="W85" s="385">
        <f t="shared" si="75"/>
        <v>60</v>
      </c>
      <c r="X85" s="439">
        <v>0</v>
      </c>
      <c r="Y85" s="439">
        <v>0</v>
      </c>
      <c r="Z85" s="385"/>
      <c r="AA85" s="385"/>
      <c r="AB85" s="385">
        <f t="shared" si="36"/>
        <v>0</v>
      </c>
      <c r="AC85" s="386"/>
      <c r="AD85" s="419">
        <v>1</v>
      </c>
      <c r="AE85" s="419">
        <f t="shared" si="37"/>
        <v>0</v>
      </c>
      <c r="AF85" s="433"/>
      <c r="AG85" s="457">
        <f t="shared" si="48"/>
        <v>0.11</v>
      </c>
      <c r="AH85" s="458">
        <f t="shared" si="45"/>
        <v>0</v>
      </c>
      <c r="AI85" s="457"/>
      <c r="AJ85" s="458">
        <v>0.69767441860465118</v>
      </c>
      <c r="AK85" s="459">
        <f t="shared" si="39"/>
        <v>0.69767441860465118</v>
      </c>
      <c r="AL85" s="457">
        <v>0</v>
      </c>
      <c r="AM85" s="458">
        <f>+AJ85*E85</f>
        <v>7.6744186046511634E-2</v>
      </c>
      <c r="AN85" s="1310">
        <f t="shared" si="40"/>
        <v>7.6744186046511634E-2</v>
      </c>
      <c r="AO85" s="142" t="s">
        <v>1844</v>
      </c>
      <c r="AP85" s="543" t="s">
        <v>1913</v>
      </c>
      <c r="AQ85" s="634" t="s">
        <v>1986</v>
      </c>
      <c r="AR85" s="634" t="s">
        <v>2008</v>
      </c>
      <c r="AS85" s="634" t="s">
        <v>2106</v>
      </c>
      <c r="AT85" s="634" t="s">
        <v>2137</v>
      </c>
      <c r="AU85" s="634" t="s">
        <v>2190</v>
      </c>
      <c r="AV85" s="634" t="s">
        <v>1887</v>
      </c>
    </row>
    <row r="86" spans="1:48" ht="89.4" customHeight="1" thickBot="1" x14ac:dyDescent="0.4">
      <c r="A86" s="223"/>
      <c r="B86" s="1147" t="s">
        <v>151</v>
      </c>
      <c r="C86" s="1147" t="s">
        <v>152</v>
      </c>
      <c r="D86" s="361" t="s">
        <v>12</v>
      </c>
      <c r="E86" s="269">
        <v>0.11</v>
      </c>
      <c r="F86" s="383">
        <v>4</v>
      </c>
      <c r="G86" s="384">
        <v>1</v>
      </c>
      <c r="H86" s="385">
        <v>1</v>
      </c>
      <c r="I86" s="385">
        <v>0.25</v>
      </c>
      <c r="J86" s="386">
        <f t="shared" si="72"/>
        <v>0.25</v>
      </c>
      <c r="K86" s="402">
        <f t="shared" si="58"/>
        <v>0.25</v>
      </c>
      <c r="L86" s="463">
        <f t="shared" si="35"/>
        <v>6.25E-2</v>
      </c>
      <c r="M86" s="389">
        <f t="shared" si="73"/>
        <v>2.75E-2</v>
      </c>
      <c r="N86" s="389">
        <f t="shared" si="41"/>
        <v>2.75E-2</v>
      </c>
      <c r="O86" s="389"/>
      <c r="P86" s="384">
        <v>1</v>
      </c>
      <c r="Q86" s="443">
        <v>0.25</v>
      </c>
      <c r="R86" s="439">
        <v>0.25</v>
      </c>
      <c r="S86" s="439">
        <v>0.25</v>
      </c>
      <c r="T86" s="439">
        <v>0.1225</v>
      </c>
      <c r="U86" s="439">
        <v>0.1225</v>
      </c>
      <c r="V86" s="385">
        <f>+Q86+R86+S86+T86+U86</f>
        <v>0.99500000000000011</v>
      </c>
      <c r="W86" s="385">
        <f t="shared" si="75"/>
        <v>2.12</v>
      </c>
      <c r="X86" s="439">
        <v>6.25E-2</v>
      </c>
      <c r="Y86" s="439">
        <v>6.25E-2</v>
      </c>
      <c r="Z86" s="385"/>
      <c r="AA86" s="385"/>
      <c r="AB86" s="385">
        <f t="shared" si="36"/>
        <v>0.125</v>
      </c>
      <c r="AC86" s="386">
        <f>+(P86/G86)</f>
        <v>1</v>
      </c>
      <c r="AD86" s="419">
        <f t="shared" si="77"/>
        <v>0.99500000000000011</v>
      </c>
      <c r="AE86" s="419">
        <f t="shared" si="37"/>
        <v>0.5</v>
      </c>
      <c r="AF86" s="433">
        <f>+AC86*E86</f>
        <v>0.11</v>
      </c>
      <c r="AG86" s="457">
        <f t="shared" si="48"/>
        <v>0.10945000000000001</v>
      </c>
      <c r="AH86" s="459">
        <f t="shared" si="45"/>
        <v>5.5E-2</v>
      </c>
      <c r="AI86" s="457">
        <f>+P86/F86</f>
        <v>0.25</v>
      </c>
      <c r="AJ86" s="463">
        <v>0.49875000000000003</v>
      </c>
      <c r="AK86" s="1310">
        <f>56.5%+0.0625</f>
        <v>0.62749999999999995</v>
      </c>
      <c r="AL86" s="457">
        <f>+AI86*E86</f>
        <v>2.75E-2</v>
      </c>
      <c r="AM86" s="458">
        <f>+AJ86*E86</f>
        <v>5.4862500000000002E-2</v>
      </c>
      <c r="AN86" s="1310">
        <f t="shared" si="40"/>
        <v>6.9024999999999989E-2</v>
      </c>
      <c r="AO86" s="142" t="s">
        <v>1844</v>
      </c>
      <c r="AP86" s="526" t="s">
        <v>1886</v>
      </c>
      <c r="AQ86" s="634" t="s">
        <v>1986</v>
      </c>
      <c r="AR86" s="634" t="s">
        <v>2008</v>
      </c>
      <c r="AS86" s="634" t="s">
        <v>2106</v>
      </c>
      <c r="AT86" s="634" t="s">
        <v>2137</v>
      </c>
      <c r="AU86" s="634" t="s">
        <v>2190</v>
      </c>
      <c r="AV86" s="634" t="s">
        <v>1887</v>
      </c>
    </row>
    <row r="87" spans="1:48" ht="72" customHeight="1" thickBot="1" x14ac:dyDescent="0.45">
      <c r="A87" s="223"/>
      <c r="B87" s="1295" t="s">
        <v>1602</v>
      </c>
      <c r="C87" s="1292"/>
      <c r="D87" s="361"/>
      <c r="E87" s="379">
        <v>0.1</v>
      </c>
      <c r="F87" s="382"/>
      <c r="G87" s="382"/>
      <c r="H87" s="388"/>
      <c r="I87" s="388"/>
      <c r="J87" s="381">
        <f>+AVERAGE(J88:J90)</f>
        <v>0.25</v>
      </c>
      <c r="K87" s="401">
        <f>+AVERAGE(K88:K90)</f>
        <v>0.25</v>
      </c>
      <c r="L87" s="461">
        <f>+AVERAGE(L88:L90)</f>
        <v>0.25</v>
      </c>
      <c r="M87" s="381">
        <f>+M88+M89+M90</f>
        <v>0.125</v>
      </c>
      <c r="N87" s="381">
        <f>+N88+N89+N90</f>
        <v>0.125</v>
      </c>
      <c r="O87" s="381"/>
      <c r="P87" s="382"/>
      <c r="Q87" s="388"/>
      <c r="R87" s="388"/>
      <c r="S87" s="388"/>
      <c r="T87" s="388"/>
      <c r="U87" s="833"/>
      <c r="V87" s="388"/>
      <c r="W87" s="388"/>
      <c r="X87" s="385"/>
      <c r="Y87" s="385"/>
      <c r="Z87" s="385"/>
      <c r="AA87" s="385"/>
      <c r="AB87" s="385"/>
      <c r="AC87" s="441">
        <f>+AVERAGE(AC88:AC90)</f>
        <v>1</v>
      </c>
      <c r="AD87" s="441">
        <f>+AVERAGE(AD88:AD90)</f>
        <v>0.5</v>
      </c>
      <c r="AE87" s="441">
        <f>+AVERAGE(AE88:AE90)</f>
        <v>0.5</v>
      </c>
      <c r="AF87" s="441">
        <f>+(AF88+AF89+AF90)*E87</f>
        <v>0.05</v>
      </c>
      <c r="AG87" s="460">
        <f>+(AG88+AG89+AG90)*E87</f>
        <v>2.5000000000000001E-2</v>
      </c>
      <c r="AH87" s="882">
        <f>+(AH88+AH89+AH90)*E87</f>
        <v>2.5000000000000001E-2</v>
      </c>
      <c r="AI87" s="401">
        <f>+AVERAGE(AI88:AI90)</f>
        <v>0.25</v>
      </c>
      <c r="AJ87" s="461">
        <v>0.33333333333333331</v>
      </c>
      <c r="AK87" s="461">
        <f>+AJ87+((AK89-AJ89)/3)+((AK90-AJ90)/3)</f>
        <v>0.41777777777777775</v>
      </c>
      <c r="AL87" s="908">
        <f>+(AL88+AL89+AL90)*E87</f>
        <v>1.2500000000000001E-2</v>
      </c>
      <c r="AM87" s="909">
        <f>+(AM88+AM89+AM90)</f>
        <v>0.1875</v>
      </c>
      <c r="AN87" s="909">
        <f>+(AN88+AN89+AN90)</f>
        <v>0.25083333333333335</v>
      </c>
      <c r="AO87" s="136"/>
      <c r="AP87" s="359"/>
      <c r="AQ87" s="359"/>
      <c r="AR87" s="359"/>
      <c r="AS87" s="359"/>
      <c r="AT87" s="359"/>
      <c r="AU87" s="158"/>
      <c r="AV87" s="158"/>
    </row>
    <row r="88" spans="1:48" ht="126" customHeight="1" thickBot="1" x14ac:dyDescent="0.4">
      <c r="A88" s="223"/>
      <c r="B88" s="1147" t="s">
        <v>153</v>
      </c>
      <c r="C88" s="1147" t="s">
        <v>154</v>
      </c>
      <c r="D88" s="361" t="s">
        <v>12</v>
      </c>
      <c r="E88" s="269">
        <v>0.5</v>
      </c>
      <c r="F88" s="383">
        <v>1</v>
      </c>
      <c r="G88" s="384">
        <v>0</v>
      </c>
      <c r="H88" s="385">
        <v>0</v>
      </c>
      <c r="I88" s="385">
        <v>0</v>
      </c>
      <c r="J88" s="386"/>
      <c r="K88" s="402"/>
      <c r="L88" s="462"/>
      <c r="M88" s="389"/>
      <c r="N88" s="389"/>
      <c r="O88" s="389"/>
      <c r="P88" s="384"/>
      <c r="Q88" s="443"/>
      <c r="R88" s="439"/>
      <c r="S88" s="439"/>
      <c r="T88" s="439"/>
      <c r="U88" s="439"/>
      <c r="V88" s="385">
        <f>+Q88+R88+S88+T88+U88</f>
        <v>0</v>
      </c>
      <c r="W88" s="385">
        <f>+V88+P88+AB88</f>
        <v>0</v>
      </c>
      <c r="X88" s="439">
        <v>0</v>
      </c>
      <c r="Y88" s="439">
        <v>0</v>
      </c>
      <c r="Z88" s="385"/>
      <c r="AA88" s="385"/>
      <c r="AB88" s="385">
        <f t="shared" si="36"/>
        <v>0</v>
      </c>
      <c r="AC88" s="386"/>
      <c r="AD88" s="389"/>
      <c r="AE88" s="389"/>
      <c r="AF88" s="386"/>
      <c r="AG88" s="402"/>
      <c r="AH88" s="462"/>
      <c r="AI88" s="402"/>
      <c r="AJ88" s="462">
        <v>0</v>
      </c>
      <c r="AK88" s="464">
        <f t="shared" si="39"/>
        <v>0</v>
      </c>
      <c r="AL88" s="717">
        <v>0</v>
      </c>
      <c r="AM88" s="464">
        <v>0</v>
      </c>
      <c r="AN88" s="1319">
        <f t="shared" si="40"/>
        <v>0</v>
      </c>
      <c r="AO88" s="142" t="s">
        <v>1844</v>
      </c>
      <c r="AP88" s="526" t="s">
        <v>1886</v>
      </c>
      <c r="AQ88" s="634" t="s">
        <v>1986</v>
      </c>
      <c r="AR88" s="634" t="s">
        <v>2008</v>
      </c>
      <c r="AS88" s="634" t="s">
        <v>2106</v>
      </c>
      <c r="AT88" s="634" t="s">
        <v>2137</v>
      </c>
      <c r="AU88" s="634" t="s">
        <v>2190</v>
      </c>
      <c r="AV88" s="158"/>
    </row>
    <row r="89" spans="1:48" ht="71.400000000000006" customHeight="1" thickBot="1" x14ac:dyDescent="0.4">
      <c r="A89" s="223"/>
      <c r="B89" s="1147" t="s">
        <v>155</v>
      </c>
      <c r="C89" s="1147" t="s">
        <v>156</v>
      </c>
      <c r="D89" s="361" t="s">
        <v>12</v>
      </c>
      <c r="E89" s="269">
        <v>0.25</v>
      </c>
      <c r="F89" s="383">
        <v>600</v>
      </c>
      <c r="G89" s="384">
        <v>150</v>
      </c>
      <c r="H89" s="385">
        <v>150</v>
      </c>
      <c r="I89" s="385">
        <v>150</v>
      </c>
      <c r="J89" s="386">
        <f>+G89/F89</f>
        <v>0.25</v>
      </c>
      <c r="K89" s="402">
        <f t="shared" si="58"/>
        <v>0.25</v>
      </c>
      <c r="L89" s="403">
        <f t="shared" si="35"/>
        <v>0.25</v>
      </c>
      <c r="M89" s="389">
        <f>+(G89/F89)*E89</f>
        <v>6.25E-2</v>
      </c>
      <c r="N89" s="389">
        <f t="shared" si="41"/>
        <v>6.25E-2</v>
      </c>
      <c r="O89" s="389"/>
      <c r="P89" s="384">
        <v>150</v>
      </c>
      <c r="Q89" s="443">
        <v>150</v>
      </c>
      <c r="R89" s="439">
        <v>0</v>
      </c>
      <c r="S89" s="439">
        <v>0</v>
      </c>
      <c r="T89" s="439">
        <v>0</v>
      </c>
      <c r="U89" s="439">
        <v>0</v>
      </c>
      <c r="V89" s="385">
        <f t="shared" ref="V89:V90" si="78">+Q89+R89+S89+T89+U89</f>
        <v>150</v>
      </c>
      <c r="W89" s="385">
        <f t="shared" ref="W89:W90" si="79">+V89+P89+AB89</f>
        <v>452</v>
      </c>
      <c r="X89" s="439">
        <v>79</v>
      </c>
      <c r="Y89" s="439">
        <v>73</v>
      </c>
      <c r="Z89" s="385"/>
      <c r="AA89" s="385"/>
      <c r="AB89" s="385">
        <f t="shared" si="36"/>
        <v>152</v>
      </c>
      <c r="AC89" s="386">
        <f>+(P89/G89)</f>
        <v>1</v>
      </c>
      <c r="AD89" s="389">
        <f t="shared" si="77"/>
        <v>1</v>
      </c>
      <c r="AE89" s="389">
        <v>1</v>
      </c>
      <c r="AF89" s="386">
        <f>+AC89*E89</f>
        <v>0.25</v>
      </c>
      <c r="AG89" s="402">
        <f t="shared" si="48"/>
        <v>0.25</v>
      </c>
      <c r="AH89" s="403">
        <f t="shared" si="45"/>
        <v>0.25</v>
      </c>
      <c r="AI89" s="402">
        <f>+P89/F89</f>
        <v>0.25</v>
      </c>
      <c r="AJ89" s="403">
        <v>0.5</v>
      </c>
      <c r="AK89" s="458">
        <f t="shared" si="39"/>
        <v>0.7533333333333333</v>
      </c>
      <c r="AL89" s="457">
        <f>+AI89*E89</f>
        <v>6.25E-2</v>
      </c>
      <c r="AM89" s="458">
        <f>+AJ89*E89</f>
        <v>0.125</v>
      </c>
      <c r="AN89" s="1310">
        <f t="shared" si="40"/>
        <v>0.18833333333333332</v>
      </c>
      <c r="AO89" s="142" t="s">
        <v>1844</v>
      </c>
      <c r="AP89" s="526" t="s">
        <v>1886</v>
      </c>
      <c r="AQ89" s="634" t="s">
        <v>1986</v>
      </c>
      <c r="AR89" s="634" t="s">
        <v>2008</v>
      </c>
      <c r="AS89" s="634" t="s">
        <v>2106</v>
      </c>
      <c r="AT89" s="634" t="s">
        <v>2137</v>
      </c>
      <c r="AU89" s="634" t="s">
        <v>2190</v>
      </c>
      <c r="AV89" s="158"/>
    </row>
    <row r="90" spans="1:48" ht="96.6" customHeight="1" thickBot="1" x14ac:dyDescent="0.4">
      <c r="A90" s="223"/>
      <c r="B90" s="1147" t="s">
        <v>157</v>
      </c>
      <c r="C90" s="1147" t="s">
        <v>158</v>
      </c>
      <c r="D90" s="361" t="s">
        <v>12</v>
      </c>
      <c r="E90" s="269">
        <v>0.25</v>
      </c>
      <c r="F90" s="383">
        <v>4</v>
      </c>
      <c r="G90" s="384">
        <v>1</v>
      </c>
      <c r="H90" s="385">
        <v>1</v>
      </c>
      <c r="I90" s="385">
        <v>1</v>
      </c>
      <c r="J90" s="386">
        <f>+G90/F90</f>
        <v>0.25</v>
      </c>
      <c r="K90" s="402">
        <f t="shared" si="58"/>
        <v>0.25</v>
      </c>
      <c r="L90" s="463">
        <f t="shared" si="35"/>
        <v>0.25</v>
      </c>
      <c r="M90" s="389">
        <f>+(G90/F90)*E90</f>
        <v>6.25E-2</v>
      </c>
      <c r="N90" s="389">
        <f t="shared" si="41"/>
        <v>6.25E-2</v>
      </c>
      <c r="O90" s="389"/>
      <c r="P90" s="384">
        <v>1</v>
      </c>
      <c r="Q90" s="443">
        <v>0</v>
      </c>
      <c r="R90" s="439">
        <v>0</v>
      </c>
      <c r="S90" s="439">
        <v>0</v>
      </c>
      <c r="T90" s="439">
        <v>0</v>
      </c>
      <c r="U90" s="439">
        <v>0</v>
      </c>
      <c r="V90" s="385">
        <f t="shared" si="78"/>
        <v>0</v>
      </c>
      <c r="W90" s="385">
        <f t="shared" si="79"/>
        <v>1</v>
      </c>
      <c r="X90" s="439">
        <v>0</v>
      </c>
      <c r="Y90" s="439">
        <v>0</v>
      </c>
      <c r="Z90" s="385"/>
      <c r="AA90" s="385"/>
      <c r="AB90" s="385">
        <f t="shared" si="36"/>
        <v>0</v>
      </c>
      <c r="AC90" s="386">
        <f>+(P90/G90)</f>
        <v>1</v>
      </c>
      <c r="AD90" s="389">
        <f t="shared" si="77"/>
        <v>0</v>
      </c>
      <c r="AE90" s="389">
        <f t="shared" si="37"/>
        <v>0</v>
      </c>
      <c r="AF90" s="386">
        <f>+AC90*E90</f>
        <v>0.25</v>
      </c>
      <c r="AG90" s="402">
        <f>+AD90*E90</f>
        <v>0</v>
      </c>
      <c r="AH90" s="463">
        <f t="shared" si="45"/>
        <v>0</v>
      </c>
      <c r="AI90" s="402">
        <f>+P90/F90</f>
        <v>0.25</v>
      </c>
      <c r="AJ90" s="403">
        <v>0.25</v>
      </c>
      <c r="AK90" s="458">
        <f t="shared" si="39"/>
        <v>0.25</v>
      </c>
      <c r="AL90" s="457">
        <f>+AI90*E90</f>
        <v>6.25E-2</v>
      </c>
      <c r="AM90" s="458">
        <f>+AJ90*E90</f>
        <v>6.25E-2</v>
      </c>
      <c r="AN90" s="1310">
        <f t="shared" si="40"/>
        <v>6.25E-2</v>
      </c>
      <c r="AO90" s="142" t="s">
        <v>1844</v>
      </c>
      <c r="AP90" s="526" t="s">
        <v>1886</v>
      </c>
      <c r="AQ90" s="634" t="s">
        <v>1986</v>
      </c>
      <c r="AR90" s="634" t="s">
        <v>2008</v>
      </c>
      <c r="AS90" s="634" t="s">
        <v>2106</v>
      </c>
      <c r="AT90" s="634" t="s">
        <v>2137</v>
      </c>
      <c r="AU90" s="634" t="s">
        <v>2190</v>
      </c>
      <c r="AV90" s="158"/>
    </row>
    <row r="91" spans="1:48" ht="93" customHeight="1" thickBot="1" x14ac:dyDescent="0.45">
      <c r="A91" s="223"/>
      <c r="B91" s="1296" t="s">
        <v>159</v>
      </c>
      <c r="C91" s="1292"/>
      <c r="D91" s="358"/>
      <c r="E91" s="391">
        <v>0.3</v>
      </c>
      <c r="F91" s="391">
        <f>+E91*AF91</f>
        <v>0.22781794835632452</v>
      </c>
      <c r="G91" s="382"/>
      <c r="H91" s="391">
        <f>E91*AG91</f>
        <v>0.21399592479434595</v>
      </c>
      <c r="I91" s="391">
        <f>+E91*AH91</f>
        <v>9.3799119529009781E-2</v>
      </c>
      <c r="J91" s="376">
        <f>+(J92+J99+J102+J105+J125)/5</f>
        <v>0.23229102167182664</v>
      </c>
      <c r="K91" s="456">
        <f>+(K92+K99+K102+K105+K125)/5</f>
        <v>0.33879772961816307</v>
      </c>
      <c r="L91" s="467">
        <f>+(L92+L99+L102+L105+L125)/5</f>
        <v>0.26478457172342618</v>
      </c>
      <c r="M91" s="377">
        <f>+(M92+M99+M102+M105+M125)/5</f>
        <v>0.15700735294117646</v>
      </c>
      <c r="N91" s="377">
        <f>+(N92+N99+N102+N105+N125)/5</f>
        <v>0.37183088235294115</v>
      </c>
      <c r="O91" s="377"/>
      <c r="P91" s="382"/>
      <c r="Q91" s="388"/>
      <c r="R91" s="388"/>
      <c r="S91" s="388"/>
      <c r="T91" s="388"/>
      <c r="U91" s="833"/>
      <c r="V91" s="388"/>
      <c r="W91" s="388"/>
      <c r="X91" s="385"/>
      <c r="Y91" s="385"/>
      <c r="Z91" s="385"/>
      <c r="AA91" s="385"/>
      <c r="AB91" s="385"/>
      <c r="AC91" s="376">
        <f>+(AC92+AC99+AC102+AC105+AC125)/5</f>
        <v>0.97477263894508703</v>
      </c>
      <c r="AD91" s="376">
        <f>+(AD92+AD99+AD102+AD105+AD125)/5</f>
        <v>0.88713331914538984</v>
      </c>
      <c r="AE91" s="376">
        <f>+(AE92+AE99+AE102+AE105+AE125)/5</f>
        <v>0.5397153617396101</v>
      </c>
      <c r="AF91" s="377">
        <f>+AF92+AF99+AF102+AF105+AF125</f>
        <v>0.75939316118774847</v>
      </c>
      <c r="AG91" s="451">
        <f>+AG92+AG99+AG102+AG105+AG125</f>
        <v>0.7133197493144865</v>
      </c>
      <c r="AH91" s="376">
        <f>+AH92+AH99+AH102+AH105+AH125</f>
        <v>0.31266373176336593</v>
      </c>
      <c r="AI91" s="456">
        <f>+(AI92+AI99+AI102+AI105+AI125)/5</f>
        <v>0.20515575037857808</v>
      </c>
      <c r="AJ91" s="452">
        <v>0.43842939618684557</v>
      </c>
      <c r="AK91" s="452">
        <f>+(AK92+AK99+AK102+AK105+AK125)/5</f>
        <v>0.52734577443179043</v>
      </c>
      <c r="AL91" s="451">
        <f>+AL92+AL99+AL102+AL105+AL125</f>
        <v>0.19010083782604881</v>
      </c>
      <c r="AM91" s="555">
        <f>+(AM92*E92)+(AM99*E99)+(AM102*E102)+(AM105*E105)+(AM125*E125)</f>
        <v>0.40754170935687423</v>
      </c>
      <c r="AN91" s="555">
        <f>+(AN92*E92)+(AN99*E99)+(AN102*E102)+(AN105*E105)+(AN125*E125)</f>
        <v>0.51345680896438239</v>
      </c>
      <c r="AO91" s="128"/>
      <c r="AP91" s="359"/>
      <c r="AQ91" s="359"/>
      <c r="AR91" s="359"/>
      <c r="AS91" s="359"/>
      <c r="AT91" s="359"/>
      <c r="AU91" s="158"/>
      <c r="AV91" s="158"/>
    </row>
    <row r="92" spans="1:48" ht="57" customHeight="1" thickBot="1" x14ac:dyDescent="0.45">
      <c r="A92" s="223"/>
      <c r="B92" s="1295" t="s">
        <v>1603</v>
      </c>
      <c r="C92" s="1292"/>
      <c r="D92" s="360"/>
      <c r="E92" s="379">
        <v>0.35</v>
      </c>
      <c r="F92" s="382"/>
      <c r="G92" s="382"/>
      <c r="H92" s="388"/>
      <c r="I92" s="388"/>
      <c r="J92" s="381">
        <f>+AVERAGE(J93:J98)</f>
        <v>0.25</v>
      </c>
      <c r="K92" s="401">
        <f>+AVERAGE(K93:K98)</f>
        <v>0.29166666666666669</v>
      </c>
      <c r="L92" s="461">
        <f>+AVERAGE(L93:L98)</f>
        <v>0.29166666666666669</v>
      </c>
      <c r="M92" s="381">
        <f>+M93+M94+M95+M96+M97+M98</f>
        <v>0.16250000000000003</v>
      </c>
      <c r="N92" s="381">
        <f>+N93+N94+N95+N96+N97+N98</f>
        <v>0.33750000000000002</v>
      </c>
      <c r="O92" s="381"/>
      <c r="P92" s="382"/>
      <c r="Q92" s="388"/>
      <c r="R92" s="388"/>
      <c r="S92" s="388"/>
      <c r="T92" s="388"/>
      <c r="U92" s="833"/>
      <c r="V92" s="388"/>
      <c r="W92" s="388"/>
      <c r="X92" s="385"/>
      <c r="Y92" s="385"/>
      <c r="Z92" s="385"/>
      <c r="AA92" s="385"/>
      <c r="AB92" s="385"/>
      <c r="AC92" s="441">
        <f>+AVERAGE(AC93:AC98)</f>
        <v>0.96129032258064517</v>
      </c>
      <c r="AD92" s="441">
        <f>+AVERAGE(AD93:AD98)</f>
        <v>0.86536666666666673</v>
      </c>
      <c r="AE92" s="441">
        <f>+AVERAGE(AE93:AE98)</f>
        <v>0.57994585165619006</v>
      </c>
      <c r="AF92" s="441">
        <f>+(AF93+AF94+AF95+AF96+AF97)*E92</f>
        <v>0.22411290322580646</v>
      </c>
      <c r="AG92" s="460">
        <f>+(AG93+AG94+AG95+AG96+AG97)*E92</f>
        <v>0.22722700000000004</v>
      </c>
      <c r="AH92" s="882">
        <f>+(AH93+AH94+AH95+AH96+AH97+AH98)*E92</f>
        <v>0.1374251820578663</v>
      </c>
      <c r="AI92" s="401">
        <f>+AVERAGE(AI93:AI98)</f>
        <v>0.21293498207199635</v>
      </c>
      <c r="AJ92" s="453">
        <v>0.47128507167773109</v>
      </c>
      <c r="AK92" s="453">
        <f>+AVERAGE(AK93:AK98)</f>
        <v>0.61627153459177852</v>
      </c>
      <c r="AL92" s="401">
        <f>+(AL93+AL94+AL95+AL96+AL97+AL98)*E92</f>
        <v>5.944380429531565E-2</v>
      </c>
      <c r="AM92" s="453">
        <f>+(AM93+AM94+AM95+AM96+AM97+AM98)</f>
        <v>0.34224696772547941</v>
      </c>
      <c r="AN92" s="453">
        <f>+(AN93+AN94+AN95+AN96+AN97+AN98)</f>
        <v>0.4754078120525268</v>
      </c>
      <c r="AO92" s="551"/>
      <c r="AP92" s="359"/>
      <c r="AQ92" s="359"/>
      <c r="AR92" s="359"/>
      <c r="AS92" s="359"/>
      <c r="AT92" s="359"/>
      <c r="AU92" s="158"/>
      <c r="AV92" s="158"/>
    </row>
    <row r="93" spans="1:48" ht="151.94999999999999" customHeight="1" thickBot="1" x14ac:dyDescent="0.4">
      <c r="A93" s="223"/>
      <c r="B93" s="1147" t="s">
        <v>160</v>
      </c>
      <c r="C93" s="1147" t="s">
        <v>161</v>
      </c>
      <c r="D93" s="361" t="s">
        <v>162</v>
      </c>
      <c r="E93" s="269">
        <v>0.4</v>
      </c>
      <c r="F93" s="383">
        <v>2718220</v>
      </c>
      <c r="G93" s="384">
        <v>679555</v>
      </c>
      <c r="H93" s="384">
        <v>679555</v>
      </c>
      <c r="I93" s="385">
        <v>679555</v>
      </c>
      <c r="J93" s="386">
        <f>+G93/F93</f>
        <v>0.25</v>
      </c>
      <c r="K93" s="402">
        <f t="shared" ref="K93:K101" si="80">+H93/F93</f>
        <v>0.25</v>
      </c>
      <c r="L93" s="462">
        <f t="shared" ref="L93:L123" si="81">+I93/F93</f>
        <v>0.25</v>
      </c>
      <c r="M93" s="389">
        <f>+(G93/F93)*E93</f>
        <v>0.1</v>
      </c>
      <c r="N93" s="389">
        <f t="shared" ref="N93:N124" si="82">+(H93/F93)*E93</f>
        <v>0.1</v>
      </c>
      <c r="O93" s="389"/>
      <c r="P93" s="384">
        <v>699118</v>
      </c>
      <c r="Q93" s="517"/>
      <c r="R93" s="439">
        <v>702671</v>
      </c>
      <c r="S93" s="439">
        <v>701127</v>
      </c>
      <c r="T93" s="439">
        <v>697927</v>
      </c>
      <c r="U93" s="439">
        <v>700269</v>
      </c>
      <c r="V93" s="385">
        <f>+Q93+R93+S93+T93+U93</f>
        <v>2801994</v>
      </c>
      <c r="W93" s="385">
        <f>+V93+P93+AB93</f>
        <v>4917690</v>
      </c>
      <c r="X93" s="439">
        <v>707424</v>
      </c>
      <c r="Y93" s="439">
        <v>709154</v>
      </c>
      <c r="Z93" s="385"/>
      <c r="AA93" s="385"/>
      <c r="AB93" s="385">
        <f t="shared" ref="AB93:AB129" si="83">+X93+Y93+Z93+AA93</f>
        <v>1416578</v>
      </c>
      <c r="AC93" s="433">
        <v>1</v>
      </c>
      <c r="AD93" s="682">
        <v>1</v>
      </c>
      <c r="AE93" s="682">
        <f>+(AB93/I93)*0.25</f>
        <v>0.52114177660380689</v>
      </c>
      <c r="AF93" s="433">
        <f>+AC93*E93</f>
        <v>0.4</v>
      </c>
      <c r="AG93" s="457">
        <f>+AD93*E93</f>
        <v>0.4</v>
      </c>
      <c r="AH93" s="464">
        <f t="shared" ref="AH93:AH127" si="84">+AE93*E93</f>
        <v>0.20845671064152277</v>
      </c>
      <c r="AI93" s="457">
        <f>+P93/F93</f>
        <v>0.25719698920617168</v>
      </c>
      <c r="AJ93" s="458">
        <v>0.50719698920617162</v>
      </c>
      <c r="AK93" s="458">
        <f>+AJ93+(AE93*0.25)</f>
        <v>0.6374824333571234</v>
      </c>
      <c r="AL93" s="457">
        <f>+AI93*E93</f>
        <v>0.10287879568246867</v>
      </c>
      <c r="AM93" s="458">
        <f>+AJ93*E93</f>
        <v>0.20287879568246867</v>
      </c>
      <c r="AN93" s="1014">
        <f>+AK93*E93</f>
        <v>0.25499297334284937</v>
      </c>
      <c r="AO93" s="552" t="s">
        <v>1844</v>
      </c>
      <c r="AP93" s="526" t="s">
        <v>1884</v>
      </c>
      <c r="AQ93" s="634" t="s">
        <v>1986</v>
      </c>
      <c r="AR93" s="634" t="s">
        <v>2008</v>
      </c>
      <c r="AS93" s="634" t="s">
        <v>2106</v>
      </c>
      <c r="AT93" s="634" t="s">
        <v>2137</v>
      </c>
      <c r="AU93" s="634" t="s">
        <v>2190</v>
      </c>
      <c r="AV93" s="634" t="s">
        <v>1887</v>
      </c>
    </row>
    <row r="94" spans="1:48" ht="93" customHeight="1" thickBot="1" x14ac:dyDescent="0.4">
      <c r="A94" s="223"/>
      <c r="B94" s="1147" t="s">
        <v>163</v>
      </c>
      <c r="C94" s="1147" t="s">
        <v>164</v>
      </c>
      <c r="D94" s="361" t="s">
        <v>162</v>
      </c>
      <c r="E94" s="269">
        <v>0.1</v>
      </c>
      <c r="F94" s="383">
        <v>20000</v>
      </c>
      <c r="G94" s="384">
        <v>5000</v>
      </c>
      <c r="H94" s="384">
        <v>5000</v>
      </c>
      <c r="I94" s="385">
        <v>5000</v>
      </c>
      <c r="J94" s="386">
        <f>+G94/F94</f>
        <v>0.25</v>
      </c>
      <c r="K94" s="402">
        <f t="shared" si="80"/>
        <v>0.25</v>
      </c>
      <c r="L94" s="403">
        <f t="shared" si="81"/>
        <v>0.25</v>
      </c>
      <c r="M94" s="389">
        <f>+(G94/F94)*E94</f>
        <v>2.5000000000000001E-2</v>
      </c>
      <c r="N94" s="389">
        <f t="shared" si="82"/>
        <v>2.5000000000000001E-2</v>
      </c>
      <c r="O94" s="389"/>
      <c r="P94" s="384">
        <v>6376</v>
      </c>
      <c r="Q94" s="517">
        <v>1509</v>
      </c>
      <c r="R94" s="439">
        <v>1044</v>
      </c>
      <c r="S94" s="439">
        <v>667</v>
      </c>
      <c r="T94" s="439">
        <v>374</v>
      </c>
      <c r="U94" s="439">
        <f>1741-T94</f>
        <v>1367</v>
      </c>
      <c r="V94" s="385">
        <f t="shared" ref="V94:V98" si="85">+Q94+R94+S94+T94+U94</f>
        <v>4961</v>
      </c>
      <c r="W94" s="385">
        <f t="shared" ref="W94:W97" si="86">+V94+P94+AB94</f>
        <v>14963</v>
      </c>
      <c r="X94" s="439">
        <v>1782</v>
      </c>
      <c r="Y94" s="439">
        <v>1844</v>
      </c>
      <c r="Z94" s="385"/>
      <c r="AA94" s="385"/>
      <c r="AB94" s="385">
        <f t="shared" si="83"/>
        <v>3626</v>
      </c>
      <c r="AC94" s="433">
        <v>1</v>
      </c>
      <c r="AD94" s="682">
        <f>+V94/H94</f>
        <v>0.99219999999999997</v>
      </c>
      <c r="AE94" s="682">
        <f t="shared" ref="AE94:AE98" si="87">+AB94/I94</f>
        <v>0.72519999999999996</v>
      </c>
      <c r="AF94" s="433">
        <f>+AC94*E94</f>
        <v>0.1</v>
      </c>
      <c r="AG94" s="457">
        <f t="shared" ref="AG94:AG97" si="88">+AD94*E94</f>
        <v>9.9220000000000003E-2</v>
      </c>
      <c r="AH94" s="458">
        <f>+AE94*E94</f>
        <v>7.2520000000000001E-2</v>
      </c>
      <c r="AI94" s="457">
        <f>+P94/F94</f>
        <v>0.31879999999999997</v>
      </c>
      <c r="AJ94" s="458">
        <v>0.56684999999999997</v>
      </c>
      <c r="AK94" s="458">
        <f t="shared" ref="AK94:AK101" si="89">+W94/F94</f>
        <v>0.74814999999999998</v>
      </c>
      <c r="AL94" s="457">
        <f>+AI94*E94</f>
        <v>3.1879999999999999E-2</v>
      </c>
      <c r="AM94" s="458">
        <f>+AJ94*E94</f>
        <v>5.6684999999999999E-2</v>
      </c>
      <c r="AN94" s="1310">
        <f t="shared" ref="AN94:AN129" si="90">+AK94*E94</f>
        <v>7.4815000000000006E-2</v>
      </c>
      <c r="AO94" s="552" t="s">
        <v>1844</v>
      </c>
      <c r="AP94" s="526" t="s">
        <v>1884</v>
      </c>
      <c r="AQ94" s="634" t="s">
        <v>1986</v>
      </c>
      <c r="AR94" s="634" t="s">
        <v>2008</v>
      </c>
      <c r="AS94" s="634" t="s">
        <v>2106</v>
      </c>
      <c r="AT94" s="634" t="s">
        <v>2137</v>
      </c>
      <c r="AU94" s="634" t="s">
        <v>2190</v>
      </c>
      <c r="AV94" s="634" t="s">
        <v>1887</v>
      </c>
    </row>
    <row r="95" spans="1:48" ht="73.2" customHeight="1" thickBot="1" x14ac:dyDescent="0.4">
      <c r="A95" s="223"/>
      <c r="B95" s="1147" t="s">
        <v>165</v>
      </c>
      <c r="C95" s="1147" t="s">
        <v>166</v>
      </c>
      <c r="D95" s="361" t="s">
        <v>162</v>
      </c>
      <c r="E95" s="269">
        <v>0.05</v>
      </c>
      <c r="F95" s="383">
        <v>568</v>
      </c>
      <c r="G95" s="384">
        <v>142</v>
      </c>
      <c r="H95" s="384">
        <v>142</v>
      </c>
      <c r="I95" s="385">
        <v>142</v>
      </c>
      <c r="J95" s="386">
        <f>+G95/F95</f>
        <v>0.25</v>
      </c>
      <c r="K95" s="402">
        <f t="shared" si="80"/>
        <v>0.25</v>
      </c>
      <c r="L95" s="403">
        <f>+I95/F95</f>
        <v>0.25</v>
      </c>
      <c r="M95" s="389">
        <f>+(G95/F95)*E95</f>
        <v>1.2500000000000001E-2</v>
      </c>
      <c r="N95" s="389">
        <f t="shared" si="82"/>
        <v>1.2500000000000001E-2</v>
      </c>
      <c r="O95" s="389"/>
      <c r="P95" s="384">
        <v>142</v>
      </c>
      <c r="Q95" s="517"/>
      <c r="R95" s="439">
        <v>142</v>
      </c>
      <c r="S95" s="439">
        <v>0</v>
      </c>
      <c r="T95" s="439">
        <v>0</v>
      </c>
      <c r="U95" s="439">
        <v>0</v>
      </c>
      <c r="V95" s="385">
        <f>+Q95+R95+S95+T95+U95</f>
        <v>142</v>
      </c>
      <c r="W95" s="385">
        <f t="shared" si="86"/>
        <v>426</v>
      </c>
      <c r="X95" s="439">
        <v>142</v>
      </c>
      <c r="Y95" s="439">
        <v>0</v>
      </c>
      <c r="Z95" s="385"/>
      <c r="AA95" s="385"/>
      <c r="AB95" s="385">
        <f>+X95+Y95+Z95+AA95</f>
        <v>142</v>
      </c>
      <c r="AC95" s="433">
        <f>+(P95/G95)</f>
        <v>1</v>
      </c>
      <c r="AD95" s="682">
        <v>1</v>
      </c>
      <c r="AE95" s="682">
        <f>+AB95/I95*0.5</f>
        <v>0.5</v>
      </c>
      <c r="AF95" s="433">
        <f>+AC95*E95</f>
        <v>0.05</v>
      </c>
      <c r="AG95" s="457">
        <f t="shared" si="88"/>
        <v>0.05</v>
      </c>
      <c r="AH95" s="458">
        <f t="shared" si="84"/>
        <v>2.5000000000000001E-2</v>
      </c>
      <c r="AI95" s="457">
        <f>+P95/F95</f>
        <v>0.25</v>
      </c>
      <c r="AJ95" s="458">
        <v>0.49990000000000001</v>
      </c>
      <c r="AK95" s="458">
        <f>+AJ95+(AE95*0.25)</f>
        <v>0.62490000000000001</v>
      </c>
      <c r="AL95" s="457">
        <f>+AI95*E95</f>
        <v>1.2500000000000001E-2</v>
      </c>
      <c r="AM95" s="458">
        <f>+AJ95*E95</f>
        <v>2.4995000000000003E-2</v>
      </c>
      <c r="AN95" s="1310">
        <f t="shared" si="90"/>
        <v>3.1245000000000002E-2</v>
      </c>
      <c r="AO95" s="552" t="s">
        <v>1844</v>
      </c>
      <c r="AP95" s="526" t="s">
        <v>1884</v>
      </c>
      <c r="AQ95" s="634" t="s">
        <v>1986</v>
      </c>
      <c r="AR95" s="634" t="s">
        <v>2008</v>
      </c>
      <c r="AS95" s="634" t="s">
        <v>2106</v>
      </c>
      <c r="AT95" s="634" t="s">
        <v>2137</v>
      </c>
      <c r="AU95" s="634" t="s">
        <v>2190</v>
      </c>
      <c r="AV95" s="634" t="s">
        <v>1887</v>
      </c>
    </row>
    <row r="96" spans="1:48" ht="70.2" customHeight="1" thickBot="1" x14ac:dyDescent="0.4">
      <c r="A96" s="223"/>
      <c r="B96" s="1147" t="s">
        <v>167</v>
      </c>
      <c r="C96" s="1147" t="s">
        <v>168</v>
      </c>
      <c r="D96" s="361" t="s">
        <v>162</v>
      </c>
      <c r="E96" s="269">
        <v>0.05</v>
      </c>
      <c r="F96" s="383">
        <v>248</v>
      </c>
      <c r="G96" s="384">
        <v>62</v>
      </c>
      <c r="H96" s="384">
        <v>62</v>
      </c>
      <c r="I96" s="385">
        <v>62</v>
      </c>
      <c r="J96" s="386">
        <f>+G96/F96</f>
        <v>0.25</v>
      </c>
      <c r="K96" s="402">
        <f t="shared" si="80"/>
        <v>0.25</v>
      </c>
      <c r="L96" s="403">
        <f t="shared" si="81"/>
        <v>0.25</v>
      </c>
      <c r="M96" s="389">
        <f>+(G96/F96)*E96</f>
        <v>1.2500000000000001E-2</v>
      </c>
      <c r="N96" s="389">
        <f t="shared" si="82"/>
        <v>1.2500000000000001E-2</v>
      </c>
      <c r="O96" s="389"/>
      <c r="P96" s="384">
        <v>50</v>
      </c>
      <c r="Q96" s="517">
        <v>31</v>
      </c>
      <c r="R96" s="439">
        <v>13</v>
      </c>
      <c r="S96" s="439">
        <v>14</v>
      </c>
      <c r="T96" s="439">
        <v>0</v>
      </c>
      <c r="U96" s="439">
        <v>50</v>
      </c>
      <c r="V96" s="385">
        <f t="shared" si="85"/>
        <v>108</v>
      </c>
      <c r="W96" s="385">
        <f t="shared" si="86"/>
        <v>226</v>
      </c>
      <c r="X96" s="439">
        <v>52</v>
      </c>
      <c r="Y96" s="439">
        <v>16</v>
      </c>
      <c r="Z96" s="385"/>
      <c r="AA96" s="385"/>
      <c r="AB96" s="385">
        <f t="shared" si="83"/>
        <v>68</v>
      </c>
      <c r="AC96" s="433">
        <f>+(P96/G96)</f>
        <v>0.80645161290322576</v>
      </c>
      <c r="AD96" s="419">
        <v>1</v>
      </c>
      <c r="AE96" s="682">
        <v>1</v>
      </c>
      <c r="AF96" s="433">
        <f>+AC96*E96</f>
        <v>4.0322580645161289E-2</v>
      </c>
      <c r="AG96" s="457">
        <f t="shared" si="88"/>
        <v>0.05</v>
      </c>
      <c r="AH96" s="458">
        <f t="shared" si="84"/>
        <v>0.05</v>
      </c>
      <c r="AI96" s="457">
        <f>+P96/F96</f>
        <v>0.20161290322580644</v>
      </c>
      <c r="AJ96" s="458">
        <v>0.63709677419354838</v>
      </c>
      <c r="AK96" s="458">
        <f>+AJ96+(AE96*0.25)</f>
        <v>0.88709677419354838</v>
      </c>
      <c r="AL96" s="457">
        <f>+AI96*E96</f>
        <v>1.0080645161290322E-2</v>
      </c>
      <c r="AM96" s="458">
        <f>+AJ96*E96</f>
        <v>3.1854838709677417E-2</v>
      </c>
      <c r="AN96" s="1310">
        <f t="shared" si="90"/>
        <v>4.4354838709677422E-2</v>
      </c>
      <c r="AO96" s="552" t="s">
        <v>1844</v>
      </c>
      <c r="AP96" s="631" t="s">
        <v>1885</v>
      </c>
      <c r="AQ96" s="634" t="s">
        <v>1986</v>
      </c>
      <c r="AR96" s="634" t="s">
        <v>2008</v>
      </c>
      <c r="AS96" s="634" t="s">
        <v>2106</v>
      </c>
      <c r="AT96" s="634" t="s">
        <v>2137</v>
      </c>
      <c r="AU96" s="634" t="s">
        <v>2190</v>
      </c>
      <c r="AV96" s="634" t="s">
        <v>1887</v>
      </c>
    </row>
    <row r="97" spans="1:48" ht="177" customHeight="1" thickBot="1" x14ac:dyDescent="0.4">
      <c r="A97" s="223"/>
      <c r="B97" s="1147" t="s">
        <v>169</v>
      </c>
      <c r="C97" s="1147" t="s">
        <v>170</v>
      </c>
      <c r="D97" s="361" t="s">
        <v>162</v>
      </c>
      <c r="E97" s="269">
        <v>0.05</v>
      </c>
      <c r="F97" s="383">
        <v>60</v>
      </c>
      <c r="G97" s="384">
        <v>15</v>
      </c>
      <c r="H97" s="384">
        <v>15</v>
      </c>
      <c r="I97" s="385">
        <v>15</v>
      </c>
      <c r="J97" s="386">
        <f>+G97/F97</f>
        <v>0.25</v>
      </c>
      <c r="K97" s="402">
        <f t="shared" si="80"/>
        <v>0.25</v>
      </c>
      <c r="L97" s="403">
        <f t="shared" si="81"/>
        <v>0.25</v>
      </c>
      <c r="M97" s="389">
        <f>+(G97/F97)*E97</f>
        <v>1.2500000000000001E-2</v>
      </c>
      <c r="N97" s="389">
        <f t="shared" si="82"/>
        <v>1.2500000000000001E-2</v>
      </c>
      <c r="O97" s="389"/>
      <c r="P97" s="384">
        <v>15</v>
      </c>
      <c r="Q97" s="517">
        <v>0</v>
      </c>
      <c r="R97" s="439">
        <v>8</v>
      </c>
      <c r="S97" s="439">
        <v>8</v>
      </c>
      <c r="T97" s="439">
        <v>0</v>
      </c>
      <c r="U97" s="439">
        <v>0</v>
      </c>
      <c r="V97" s="385">
        <f>+Q97+R97+S97+T97+U97</f>
        <v>16</v>
      </c>
      <c r="W97" s="385">
        <f t="shared" si="86"/>
        <v>42</v>
      </c>
      <c r="X97" s="439">
        <v>0</v>
      </c>
      <c r="Y97" s="439">
        <v>11</v>
      </c>
      <c r="Z97" s="385"/>
      <c r="AA97" s="385"/>
      <c r="AB97" s="385">
        <f t="shared" si="83"/>
        <v>11</v>
      </c>
      <c r="AC97" s="433">
        <f>+(P97/G97)</f>
        <v>1</v>
      </c>
      <c r="AD97" s="419">
        <v>1</v>
      </c>
      <c r="AE97" s="682">
        <f t="shared" si="87"/>
        <v>0.73333333333333328</v>
      </c>
      <c r="AF97" s="433">
        <f>+AC97*E97</f>
        <v>0.05</v>
      </c>
      <c r="AG97" s="457">
        <f t="shared" si="88"/>
        <v>0.05</v>
      </c>
      <c r="AH97" s="459">
        <f t="shared" si="84"/>
        <v>3.6666666666666667E-2</v>
      </c>
      <c r="AI97" s="457">
        <f>+P97/F97</f>
        <v>0.25</v>
      </c>
      <c r="AJ97" s="458">
        <v>0.51666666666666672</v>
      </c>
      <c r="AK97" s="458">
        <f t="shared" si="89"/>
        <v>0.7</v>
      </c>
      <c r="AL97" s="457">
        <f>+AI97*E97</f>
        <v>1.2500000000000001E-2</v>
      </c>
      <c r="AM97" s="458">
        <f>+AJ97*E97</f>
        <v>2.5833333333333337E-2</v>
      </c>
      <c r="AN97" s="1310">
        <f t="shared" si="90"/>
        <v>3.4999999999999996E-2</v>
      </c>
      <c r="AO97" s="552" t="s">
        <v>1844</v>
      </c>
      <c r="AP97" s="634" t="s">
        <v>1885</v>
      </c>
      <c r="AQ97" s="634" t="s">
        <v>1986</v>
      </c>
      <c r="AR97" s="634" t="s">
        <v>2008</v>
      </c>
      <c r="AS97" s="634" t="s">
        <v>2106</v>
      </c>
      <c r="AT97" s="634" t="s">
        <v>2137</v>
      </c>
      <c r="AU97" s="634" t="s">
        <v>2190</v>
      </c>
      <c r="AV97" s="634" t="s">
        <v>1887</v>
      </c>
    </row>
    <row r="98" spans="1:48" ht="90.6" customHeight="1" thickBot="1" x14ac:dyDescent="0.4">
      <c r="A98" s="223"/>
      <c r="B98" s="1147" t="s">
        <v>171</v>
      </c>
      <c r="C98" s="1147" t="s">
        <v>172</v>
      </c>
      <c r="D98" s="361" t="s">
        <v>173</v>
      </c>
      <c r="E98" s="269">
        <v>0.35</v>
      </c>
      <c r="F98" s="383">
        <v>2</v>
      </c>
      <c r="G98" s="384">
        <v>0</v>
      </c>
      <c r="H98" s="384">
        <v>1</v>
      </c>
      <c r="I98" s="385">
        <v>1</v>
      </c>
      <c r="J98" s="386"/>
      <c r="K98" s="402">
        <f t="shared" si="80"/>
        <v>0.5</v>
      </c>
      <c r="L98" s="463">
        <f t="shared" si="81"/>
        <v>0.5</v>
      </c>
      <c r="M98" s="389"/>
      <c r="N98" s="389">
        <f t="shared" si="82"/>
        <v>0.17499999999999999</v>
      </c>
      <c r="O98" s="389"/>
      <c r="P98" s="384"/>
      <c r="Q98" s="517">
        <v>0</v>
      </c>
      <c r="R98" s="439"/>
      <c r="S98" s="439">
        <v>0</v>
      </c>
      <c r="T98" s="439">
        <v>0.2</v>
      </c>
      <c r="U98" s="439">
        <v>0</v>
      </c>
      <c r="V98" s="385">
        <f t="shared" si="85"/>
        <v>0.2</v>
      </c>
      <c r="W98" s="385">
        <f>+V98+P98+AB98</f>
        <v>0.2</v>
      </c>
      <c r="X98" s="439">
        <v>0</v>
      </c>
      <c r="Y98" s="439">
        <v>0</v>
      </c>
      <c r="Z98" s="385"/>
      <c r="AA98" s="385"/>
      <c r="AB98" s="385">
        <f t="shared" si="83"/>
        <v>0</v>
      </c>
      <c r="AC98" s="433"/>
      <c r="AD98" s="419">
        <f t="shared" ref="AD98" si="91">+V98/H98</f>
        <v>0.2</v>
      </c>
      <c r="AE98" s="682">
        <f t="shared" si="87"/>
        <v>0</v>
      </c>
      <c r="AF98" s="433"/>
      <c r="AG98" s="457">
        <f>+AD98*E98</f>
        <v>6.9999999999999993E-2</v>
      </c>
      <c r="AH98" s="1310">
        <f t="shared" si="84"/>
        <v>0</v>
      </c>
      <c r="AI98" s="681">
        <v>0</v>
      </c>
      <c r="AJ98" s="459">
        <v>0.1</v>
      </c>
      <c r="AK98" s="458">
        <f t="shared" si="89"/>
        <v>0.1</v>
      </c>
      <c r="AL98" s="457">
        <v>0</v>
      </c>
      <c r="AM98" s="458">
        <v>0</v>
      </c>
      <c r="AN98" s="1310">
        <f t="shared" si="90"/>
        <v>3.4999999999999996E-2</v>
      </c>
      <c r="AO98" s="552" t="s">
        <v>1844</v>
      </c>
      <c r="AP98" s="632" t="s">
        <v>1885</v>
      </c>
      <c r="AQ98" s="634" t="s">
        <v>1986</v>
      </c>
      <c r="AR98" s="634" t="s">
        <v>2008</v>
      </c>
      <c r="AS98" s="634" t="s">
        <v>2106</v>
      </c>
      <c r="AT98" s="634" t="s">
        <v>2137</v>
      </c>
      <c r="AU98" s="634" t="s">
        <v>2190</v>
      </c>
      <c r="AV98" s="634" t="s">
        <v>1887</v>
      </c>
    </row>
    <row r="99" spans="1:48" ht="42.75" customHeight="1" thickBot="1" x14ac:dyDescent="0.45">
      <c r="A99" s="223"/>
      <c r="B99" s="1295" t="s">
        <v>1604</v>
      </c>
      <c r="C99" s="1292"/>
      <c r="D99" s="360"/>
      <c r="E99" s="379">
        <v>0.1</v>
      </c>
      <c r="F99" s="382"/>
      <c r="G99" s="425"/>
      <c r="H99" s="425"/>
      <c r="I99" s="425"/>
      <c r="J99" s="381">
        <f>+AVERAGE(J100:J101)</f>
        <v>0.17499999999999999</v>
      </c>
      <c r="K99" s="401">
        <f>+AVERAGE(K100:K101)</f>
        <v>0.27500000000000002</v>
      </c>
      <c r="L99" s="461">
        <f>+AVERAGE(L100:L101)</f>
        <v>0.27500000000000002</v>
      </c>
      <c r="M99" s="381">
        <f>+M100+M101</f>
        <v>0.19</v>
      </c>
      <c r="N99" s="381">
        <f>+N100+N101</f>
        <v>0.27</v>
      </c>
      <c r="O99" s="381"/>
      <c r="P99" s="382"/>
      <c r="Q99" s="388"/>
      <c r="R99" s="388"/>
      <c r="S99" s="388"/>
      <c r="T99" s="388"/>
      <c r="U99" s="833"/>
      <c r="V99" s="388"/>
      <c r="W99" s="388"/>
      <c r="X99" s="385"/>
      <c r="Y99" s="385"/>
      <c r="Z99" s="385"/>
      <c r="AA99" s="385"/>
      <c r="AB99" s="385"/>
      <c r="AC99" s="441">
        <f>+AVERAGE(AC100:AC101)</f>
        <v>1</v>
      </c>
      <c r="AD99" s="441">
        <f>+AVERAGE(AD100:AD101)</f>
        <v>1</v>
      </c>
      <c r="AE99" s="441">
        <f>+AVERAGE(AE100:AE101)</f>
        <v>0.41493333333333338</v>
      </c>
      <c r="AF99" s="441">
        <f>+(AF100+AF101)*E99</f>
        <v>0.1</v>
      </c>
      <c r="AG99" s="460">
        <f>+(AG100+AG101)*E99</f>
        <v>0.1</v>
      </c>
      <c r="AH99" s="882">
        <f>+(AH100+AH101)*E99</f>
        <v>4.7925333333333341E-2</v>
      </c>
      <c r="AI99" s="877">
        <f>+AVERAGE(AI100:AI101)</f>
        <v>0.19831666666666667</v>
      </c>
      <c r="AJ99" s="461">
        <v>0.50011666666666665</v>
      </c>
      <c r="AK99" s="461">
        <f>+AVERAGE(AK100:AK101)</f>
        <v>0.6061833333333333</v>
      </c>
      <c r="AL99" s="401">
        <f>+(AL100+AL101)*E99</f>
        <v>2.1048000000000001E-2</v>
      </c>
      <c r="AM99" s="453">
        <f>+(AM100+AM101)</f>
        <v>0.50266000000000011</v>
      </c>
      <c r="AN99" s="453">
        <f>+(AN100+AN101)</f>
        <v>0.6243399999999999</v>
      </c>
      <c r="AO99" s="136"/>
      <c r="AP99" s="359"/>
      <c r="AQ99" s="676"/>
      <c r="AR99" s="359"/>
      <c r="AS99" s="359"/>
      <c r="AT99" s="359"/>
      <c r="AU99" s="158"/>
      <c r="AV99" s="158"/>
    </row>
    <row r="100" spans="1:48" ht="123" customHeight="1" thickBot="1" x14ac:dyDescent="0.4">
      <c r="A100" s="223"/>
      <c r="B100" s="1147" t="s">
        <v>174</v>
      </c>
      <c r="C100" s="1147" t="s">
        <v>175</v>
      </c>
      <c r="D100" s="361" t="s">
        <v>162</v>
      </c>
      <c r="E100" s="269">
        <v>0.4</v>
      </c>
      <c r="F100" s="518">
        <v>10000</v>
      </c>
      <c r="G100" s="426">
        <v>1000</v>
      </c>
      <c r="H100" s="520">
        <v>3000</v>
      </c>
      <c r="I100" s="444">
        <v>3000</v>
      </c>
      <c r="J100" s="386">
        <f>+G100/F100</f>
        <v>0.1</v>
      </c>
      <c r="K100" s="402">
        <f t="shared" si="80"/>
        <v>0.3</v>
      </c>
      <c r="L100" s="462">
        <f t="shared" si="81"/>
        <v>0.3</v>
      </c>
      <c r="M100" s="389">
        <f>+(G100/F100)*E100</f>
        <v>4.0000000000000008E-2</v>
      </c>
      <c r="N100" s="389">
        <f t="shared" si="82"/>
        <v>0.12</v>
      </c>
      <c r="O100" s="389"/>
      <c r="P100" s="384">
        <v>1375</v>
      </c>
      <c r="Q100" s="517">
        <v>0</v>
      </c>
      <c r="R100" s="439">
        <v>0</v>
      </c>
      <c r="S100" s="439">
        <v>2101</v>
      </c>
      <c r="T100" s="439">
        <v>777</v>
      </c>
      <c r="U100" s="439">
        <v>621</v>
      </c>
      <c r="V100" s="385">
        <f>+Q100+R100+S100+T100+U100</f>
        <v>3499</v>
      </c>
      <c r="W100" s="385">
        <f>+V100+P100+AB100</f>
        <v>5154</v>
      </c>
      <c r="X100" s="439">
        <v>0</v>
      </c>
      <c r="Y100" s="439">
        <v>280</v>
      </c>
      <c r="Z100" s="385"/>
      <c r="AA100" s="385"/>
      <c r="AB100" s="385">
        <f t="shared" si="83"/>
        <v>280</v>
      </c>
      <c r="AC100" s="433">
        <v>1</v>
      </c>
      <c r="AD100" s="419">
        <v>1</v>
      </c>
      <c r="AE100" s="419">
        <f t="shared" ref="AE100:AE127" si="92">+AB100/I100</f>
        <v>9.3333333333333338E-2</v>
      </c>
      <c r="AF100" s="433">
        <f>+AC100*E100</f>
        <v>0.4</v>
      </c>
      <c r="AG100" s="457">
        <f>+AD100*E100</f>
        <v>0.4</v>
      </c>
      <c r="AH100" s="1310">
        <f t="shared" si="84"/>
        <v>3.7333333333333336E-2</v>
      </c>
      <c r="AI100" s="717">
        <f>+P100/F100</f>
        <v>0.13750000000000001</v>
      </c>
      <c r="AJ100" s="464">
        <v>0.4874</v>
      </c>
      <c r="AK100" s="464">
        <f t="shared" si="89"/>
        <v>0.51539999999999997</v>
      </c>
      <c r="AL100" s="457">
        <f>+AI100*E100</f>
        <v>5.5000000000000007E-2</v>
      </c>
      <c r="AM100" s="458">
        <f>+AJ100*E100</f>
        <v>0.19496000000000002</v>
      </c>
      <c r="AN100" s="1310">
        <f t="shared" si="90"/>
        <v>0.20616000000000001</v>
      </c>
      <c r="AO100" s="142" t="s">
        <v>1844</v>
      </c>
      <c r="AP100" s="540" t="s">
        <v>1885</v>
      </c>
      <c r="AQ100" s="634" t="s">
        <v>1986</v>
      </c>
      <c r="AR100" s="634" t="s">
        <v>2008</v>
      </c>
      <c r="AS100" s="634" t="s">
        <v>2106</v>
      </c>
      <c r="AT100" s="634" t="s">
        <v>2137</v>
      </c>
      <c r="AU100" s="634" t="s">
        <v>2190</v>
      </c>
      <c r="AV100" s="634" t="s">
        <v>1887</v>
      </c>
    </row>
    <row r="101" spans="1:48" ht="178.2" customHeight="1" thickBot="1" x14ac:dyDescent="0.4">
      <c r="A101" s="223"/>
      <c r="B101" s="1147" t="s">
        <v>176</v>
      </c>
      <c r="C101" s="1147" t="s">
        <v>177</v>
      </c>
      <c r="D101" s="361" t="s">
        <v>162</v>
      </c>
      <c r="E101" s="269">
        <v>0.6</v>
      </c>
      <c r="F101" s="383">
        <v>30000</v>
      </c>
      <c r="G101" s="519">
        <v>7500</v>
      </c>
      <c r="H101" s="910">
        <v>7500</v>
      </c>
      <c r="I101" s="444">
        <v>7500</v>
      </c>
      <c r="J101" s="386">
        <f>+G101/F101</f>
        <v>0.25</v>
      </c>
      <c r="K101" s="402">
        <f t="shared" si="80"/>
        <v>0.25</v>
      </c>
      <c r="L101" s="463">
        <f>+I101/F101</f>
        <v>0.25</v>
      </c>
      <c r="M101" s="389">
        <f>+(G101/F101)*E101</f>
        <v>0.15</v>
      </c>
      <c r="N101" s="389">
        <f t="shared" si="82"/>
        <v>0.15</v>
      </c>
      <c r="O101" s="389"/>
      <c r="P101" s="384">
        <v>7774</v>
      </c>
      <c r="Q101" s="517">
        <v>934</v>
      </c>
      <c r="R101" s="439">
        <v>823</v>
      </c>
      <c r="S101" s="439">
        <v>3251</v>
      </c>
      <c r="T101" s="439">
        <v>2117</v>
      </c>
      <c r="U101" s="439">
        <v>486</v>
      </c>
      <c r="V101" s="385">
        <f>+Q101+R101+S101+T101+U101</f>
        <v>7611</v>
      </c>
      <c r="W101" s="385">
        <f>+V101+P101+AB101</f>
        <v>20909</v>
      </c>
      <c r="X101" s="439">
        <v>2242</v>
      </c>
      <c r="Y101" s="439">
        <v>3282</v>
      </c>
      <c r="Z101" s="385"/>
      <c r="AA101" s="385"/>
      <c r="AB101" s="385">
        <f t="shared" si="83"/>
        <v>5524</v>
      </c>
      <c r="AC101" s="433">
        <v>1</v>
      </c>
      <c r="AD101" s="419">
        <v>1</v>
      </c>
      <c r="AE101" s="419">
        <f t="shared" si="92"/>
        <v>0.73653333333333337</v>
      </c>
      <c r="AF101" s="433">
        <f>+AC101*E101</f>
        <v>0.6</v>
      </c>
      <c r="AG101" s="457">
        <f>+AD101*E101</f>
        <v>0.6</v>
      </c>
      <c r="AH101" s="793">
        <f t="shared" si="84"/>
        <v>0.44192000000000004</v>
      </c>
      <c r="AI101" s="457">
        <f>+P101/F101</f>
        <v>0.25913333333333333</v>
      </c>
      <c r="AJ101" s="459">
        <v>0.51283333333333336</v>
      </c>
      <c r="AK101" s="459">
        <f t="shared" si="89"/>
        <v>0.69696666666666662</v>
      </c>
      <c r="AL101" s="457">
        <f>+AI101*E101</f>
        <v>0.15547999999999998</v>
      </c>
      <c r="AM101" s="458">
        <f>+AJ101*E101</f>
        <v>0.30770000000000003</v>
      </c>
      <c r="AN101" s="1310">
        <f>+AK101*E101</f>
        <v>0.41817999999999994</v>
      </c>
      <c r="AO101" s="142" t="s">
        <v>1844</v>
      </c>
      <c r="AP101" s="540" t="s">
        <v>1885</v>
      </c>
      <c r="AQ101" s="634" t="s">
        <v>1986</v>
      </c>
      <c r="AR101" s="634" t="s">
        <v>2008</v>
      </c>
      <c r="AS101" s="634" t="s">
        <v>2106</v>
      </c>
      <c r="AT101" s="634" t="s">
        <v>2137</v>
      </c>
      <c r="AU101" s="634" t="s">
        <v>2190</v>
      </c>
      <c r="AV101" s="634" t="s">
        <v>1887</v>
      </c>
    </row>
    <row r="102" spans="1:48" ht="110.4" customHeight="1" thickBot="1" x14ac:dyDescent="0.45">
      <c r="A102" s="223"/>
      <c r="B102" s="1295" t="s">
        <v>1605</v>
      </c>
      <c r="C102" s="1292"/>
      <c r="D102" s="361"/>
      <c r="E102" s="379">
        <v>0.1</v>
      </c>
      <c r="F102" s="382"/>
      <c r="G102" s="382"/>
      <c r="H102" s="864"/>
      <c r="I102" s="897"/>
      <c r="J102" s="381">
        <f>+AVERAGE(J103:J104)</f>
        <v>0.25</v>
      </c>
      <c r="K102" s="401">
        <f>+AVERAGE(K103:K104)</f>
        <v>0.625</v>
      </c>
      <c r="L102" s="461">
        <f>+AVERAGE(L103:L104)</f>
        <v>0.25</v>
      </c>
      <c r="M102" s="381">
        <f>+M103+M104</f>
        <v>0.05</v>
      </c>
      <c r="N102" s="381">
        <f>+N103+N104</f>
        <v>0.85000000000000009</v>
      </c>
      <c r="O102" s="381"/>
      <c r="P102" s="382"/>
      <c r="Q102" s="388"/>
      <c r="R102" s="388"/>
      <c r="S102" s="388"/>
      <c r="T102" s="388"/>
      <c r="U102" s="833"/>
      <c r="V102" s="388"/>
      <c r="W102" s="388"/>
      <c r="X102" s="385"/>
      <c r="Y102" s="385"/>
      <c r="Z102" s="385"/>
      <c r="AA102" s="385"/>
      <c r="AB102" s="385"/>
      <c r="AC102" s="441">
        <f>+AVERAGE(AC103:AC104)</f>
        <v>0.93103448275862066</v>
      </c>
      <c r="AD102" s="441">
        <f>+AVERAGE(AD103:AD104)</f>
        <v>0.625</v>
      </c>
      <c r="AE102" s="441">
        <f>+AVERAGE(AE103:AE104)</f>
        <v>0.82758620689655171</v>
      </c>
      <c r="AF102" s="441">
        <f>+(AF103+AF104)*E102</f>
        <v>1.8620689655172416E-2</v>
      </c>
      <c r="AG102" s="460">
        <f>+(AG103+AG104)*E102</f>
        <v>4.0000000000000008E-2</v>
      </c>
      <c r="AH102" s="882">
        <f>+(AH103+AH104)*E102</f>
        <v>1.6551724137931035E-2</v>
      </c>
      <c r="AI102" s="401">
        <f>+AVERAGE(AI103:AI104)</f>
        <v>0.11637931034482758</v>
      </c>
      <c r="AJ102" s="461">
        <v>0.36637931034482762</v>
      </c>
      <c r="AK102" s="461">
        <f>+AVERAGE(AK103:AK104)</f>
        <v>0.46982758620689657</v>
      </c>
      <c r="AL102" s="401">
        <f>+(AL103+AL104)*E102</f>
        <v>4.6551724137931039E-3</v>
      </c>
      <c r="AM102" s="453">
        <f>+(AM103+AM104)</f>
        <v>9.6551724137931047E-2</v>
      </c>
      <c r="AN102" s="453">
        <f>+(AN103+AN104)</f>
        <v>0.33793103448275863</v>
      </c>
      <c r="AO102" s="136"/>
      <c r="AP102" s="359"/>
      <c r="AQ102" s="357"/>
      <c r="AR102" s="359"/>
      <c r="AS102" s="359"/>
      <c r="AT102" s="359"/>
      <c r="AU102" s="158"/>
      <c r="AV102" s="158"/>
    </row>
    <row r="103" spans="1:48" ht="167.4" customHeight="1" thickBot="1" x14ac:dyDescent="0.4">
      <c r="A103" s="223"/>
      <c r="B103" s="1147" t="s">
        <v>178</v>
      </c>
      <c r="C103" s="1147" t="s">
        <v>179</v>
      </c>
      <c r="D103" s="361" t="s">
        <v>162</v>
      </c>
      <c r="E103" s="269">
        <v>0.2</v>
      </c>
      <c r="F103" s="383">
        <v>116</v>
      </c>
      <c r="G103" s="384">
        <v>29</v>
      </c>
      <c r="H103" s="384">
        <v>29</v>
      </c>
      <c r="I103" s="423">
        <v>29</v>
      </c>
      <c r="J103" s="386">
        <f>+G103/F103</f>
        <v>0.25</v>
      </c>
      <c r="K103" s="402">
        <f>+H103/F103</f>
        <v>0.25</v>
      </c>
      <c r="L103" s="462">
        <f>+I103/F103</f>
        <v>0.25</v>
      </c>
      <c r="M103" s="428">
        <f>+(G103/F103)*E103</f>
        <v>0.05</v>
      </c>
      <c r="N103" s="428">
        <f>+(H103/F103)*E103</f>
        <v>0.05</v>
      </c>
      <c r="O103" s="428"/>
      <c r="P103" s="384">
        <v>27</v>
      </c>
      <c r="Q103" s="443">
        <v>10</v>
      </c>
      <c r="R103" s="439">
        <v>17</v>
      </c>
      <c r="S103" s="439">
        <v>2</v>
      </c>
      <c r="T103" s="439">
        <v>0</v>
      </c>
      <c r="U103" s="439">
        <v>0</v>
      </c>
      <c r="V103" s="385">
        <f>+Q103+R103+S103+T103+U103</f>
        <v>29</v>
      </c>
      <c r="W103" s="385">
        <f>+V103+P103+AB103</f>
        <v>80</v>
      </c>
      <c r="X103" s="439">
        <v>8</v>
      </c>
      <c r="Y103" s="439">
        <v>16</v>
      </c>
      <c r="Z103" s="385"/>
      <c r="AA103" s="385"/>
      <c r="AB103" s="385">
        <f t="shared" si="83"/>
        <v>24</v>
      </c>
      <c r="AC103" s="433">
        <f>+(P103/G103)</f>
        <v>0.93103448275862066</v>
      </c>
      <c r="AD103" s="419">
        <v>1</v>
      </c>
      <c r="AE103" s="419">
        <f t="shared" si="92"/>
        <v>0.82758620689655171</v>
      </c>
      <c r="AF103" s="433">
        <f>+AC103*E103</f>
        <v>0.18620689655172415</v>
      </c>
      <c r="AG103" s="457">
        <f t="shared" ref="AG103" si="93">+AD103*E103</f>
        <v>0.2</v>
      </c>
      <c r="AH103" s="464">
        <f t="shared" si="84"/>
        <v>0.16551724137931034</v>
      </c>
      <c r="AI103" s="457">
        <f>+P103/F103</f>
        <v>0.23275862068965517</v>
      </c>
      <c r="AJ103" s="464">
        <v>0.48275862068965519</v>
      </c>
      <c r="AK103" s="1310">
        <f t="shared" ref="AK103:AK129" si="94">+W103/F103</f>
        <v>0.68965517241379315</v>
      </c>
      <c r="AL103" s="457">
        <f>+AI103*E103</f>
        <v>4.6551724137931037E-2</v>
      </c>
      <c r="AM103" s="458">
        <f>+AJ103*E103</f>
        <v>9.6551724137931047E-2</v>
      </c>
      <c r="AN103" s="1310">
        <f>+AK103*E103</f>
        <v>0.13793103448275865</v>
      </c>
      <c r="AO103" s="142" t="s">
        <v>1844</v>
      </c>
      <c r="AP103" s="634" t="s">
        <v>1885</v>
      </c>
      <c r="AQ103" s="634" t="s">
        <v>1986</v>
      </c>
      <c r="AR103" s="634" t="s">
        <v>2008</v>
      </c>
      <c r="AS103" s="634" t="s">
        <v>2106</v>
      </c>
      <c r="AT103" s="634" t="s">
        <v>2137</v>
      </c>
      <c r="AU103" s="634" t="s">
        <v>2190</v>
      </c>
      <c r="AV103" s="634" t="s">
        <v>1887</v>
      </c>
    </row>
    <row r="104" spans="1:48" ht="72" customHeight="1" thickBot="1" x14ac:dyDescent="0.4">
      <c r="A104" s="223"/>
      <c r="B104" s="1147" t="s">
        <v>180</v>
      </c>
      <c r="C104" s="1147" t="s">
        <v>181</v>
      </c>
      <c r="D104" s="361" t="s">
        <v>162</v>
      </c>
      <c r="E104" s="269">
        <v>0.8</v>
      </c>
      <c r="F104" s="383">
        <v>1</v>
      </c>
      <c r="G104" s="384">
        <v>0</v>
      </c>
      <c r="H104" s="384">
        <v>1</v>
      </c>
      <c r="I104" s="385">
        <v>0</v>
      </c>
      <c r="J104" s="386"/>
      <c r="K104" s="402">
        <f>+H104/F104</f>
        <v>1</v>
      </c>
      <c r="L104" s="403"/>
      <c r="M104" s="428"/>
      <c r="N104" s="428">
        <f t="shared" si="82"/>
        <v>0.8</v>
      </c>
      <c r="O104" s="428"/>
      <c r="P104" s="384"/>
      <c r="Q104" s="443">
        <v>0</v>
      </c>
      <c r="R104" s="439">
        <v>0</v>
      </c>
      <c r="S104" s="439">
        <v>0</v>
      </c>
      <c r="T104" s="439">
        <v>0.25</v>
      </c>
      <c r="U104" s="439">
        <v>0</v>
      </c>
      <c r="V104" s="385">
        <f>+Q104+R104+S104+T104+U104</f>
        <v>0.25</v>
      </c>
      <c r="W104" s="385">
        <f>+V104+P104+AB104</f>
        <v>0.25</v>
      </c>
      <c r="X104" s="385"/>
      <c r="Y104" s="385"/>
      <c r="Z104" s="385"/>
      <c r="AA104" s="385"/>
      <c r="AB104" s="385">
        <f t="shared" si="83"/>
        <v>0</v>
      </c>
      <c r="AC104" s="433"/>
      <c r="AD104" s="419">
        <f>+V104/H104</f>
        <v>0.25</v>
      </c>
      <c r="AE104" s="419"/>
      <c r="AF104" s="433"/>
      <c r="AG104" s="457">
        <f>+AD104*E104</f>
        <v>0.2</v>
      </c>
      <c r="AH104" s="459"/>
      <c r="AI104" s="457">
        <v>0</v>
      </c>
      <c r="AJ104" s="459">
        <v>0.25</v>
      </c>
      <c r="AK104" s="793">
        <f t="shared" si="94"/>
        <v>0.25</v>
      </c>
      <c r="AL104" s="457">
        <v>0</v>
      </c>
      <c r="AM104" s="458">
        <v>0</v>
      </c>
      <c r="AN104" s="1310">
        <f t="shared" si="90"/>
        <v>0.2</v>
      </c>
      <c r="AO104" s="142" t="s">
        <v>1844</v>
      </c>
      <c r="AP104" s="634" t="s">
        <v>1885</v>
      </c>
      <c r="AQ104" s="634" t="s">
        <v>1986</v>
      </c>
      <c r="AR104" s="634" t="s">
        <v>2008</v>
      </c>
      <c r="AS104" s="634" t="s">
        <v>2106</v>
      </c>
      <c r="AT104" s="634" t="s">
        <v>2137</v>
      </c>
      <c r="AU104" s="634" t="s">
        <v>2190</v>
      </c>
      <c r="AV104" s="634" t="s">
        <v>1887</v>
      </c>
    </row>
    <row r="105" spans="1:48" ht="56.25" customHeight="1" thickBot="1" x14ac:dyDescent="0.45">
      <c r="A105" s="223"/>
      <c r="B105" s="1295" t="s">
        <v>1606</v>
      </c>
      <c r="C105" s="1292"/>
      <c r="D105" s="361"/>
      <c r="E105" s="379">
        <v>0.4</v>
      </c>
      <c r="F105" s="382"/>
      <c r="G105" s="384"/>
      <c r="H105" s="385"/>
      <c r="I105" s="385"/>
      <c r="J105" s="381">
        <f>+AVERAGE(J106:J124)</f>
        <v>0.23645510835913311</v>
      </c>
      <c r="K105" s="401">
        <f>+AVERAGE(K106:K124)</f>
        <v>0.25232198142414858</v>
      </c>
      <c r="L105" s="453">
        <f>+AVERAGE(L106:L124)</f>
        <v>0.2572561919504644</v>
      </c>
      <c r="M105" s="381">
        <f>+M106+M107+M108+M109+M110+M111+M112+M113+M114+M115+M116+M117+M118+M119+M120+M121+M122+M123+M124</f>
        <v>0.2325367647058823</v>
      </c>
      <c r="N105" s="381">
        <f>+N106+N107+N108+N109+N110+N111+N112+N113+N114+N115+N116+N117+N118+N119+N120+N121+N122+N123+N124</f>
        <v>0.25165441176470582</v>
      </c>
      <c r="O105" s="381"/>
      <c r="P105" s="382"/>
      <c r="Q105" s="388"/>
      <c r="R105" s="388"/>
      <c r="S105" s="388"/>
      <c r="T105" s="388"/>
      <c r="U105" s="833"/>
      <c r="V105" s="388"/>
      <c r="W105" s="388"/>
      <c r="X105" s="385"/>
      <c r="Y105" s="385"/>
      <c r="Z105" s="385"/>
      <c r="AA105" s="385"/>
      <c r="AB105" s="385"/>
      <c r="AC105" s="441">
        <f>+AVERAGE(AC106:AC124)</f>
        <v>0.98153838938616911</v>
      </c>
      <c r="AD105" s="441">
        <f>+AVERAGE(AD106:AD124)</f>
        <v>0.94529992906028248</v>
      </c>
      <c r="AE105" s="441">
        <f>+AVERAGE(AE106:AE124)</f>
        <v>0.27611141681197493</v>
      </c>
      <c r="AF105" s="441">
        <f>+(AF106+AF107+AF108+AF109+AF110+AF111+AF112+AF113+AF114+AF115+AF116+AF117+AF118+AF119+AF120+AF121+AF122+AF123+AF124)*E105</f>
        <v>0.38665956830676951</v>
      </c>
      <c r="AG105" s="460">
        <f>+(AG106+AG107+AG108+AG109+AG110+AG111+AG112+AG113+AG114+AG115+AG116+AG117+AG118+AG119+AG120+AG121+AG122+AG123+AG124)*E105</f>
        <v>0.34609274931448647</v>
      </c>
      <c r="AH105" s="882">
        <f>+(AH106+AH107+AH108+AH109+AH110+AH111+AH112+AH113+AH114+AH115+AH116+AH117+AH118+AH119+AH120+AH121+AH122+AH123+AH124)*E105</f>
        <v>9.2761492234235229E-2</v>
      </c>
      <c r="AI105" s="401">
        <f>+AVERAGE(AI106:AI124)</f>
        <v>0.24814779280939966</v>
      </c>
      <c r="AJ105" s="461">
        <v>0.54186593224500235</v>
      </c>
      <c r="AK105" s="461">
        <f>+AVERAGE(AK106:AK124)</f>
        <v>0.59444641802694342</v>
      </c>
      <c r="AL105" s="401">
        <f>+(AL106+AL107+AL108+AL109+AL110+AL111+AL112+AL113+AL114+AL115+AL116+AL117+AL118+AL119+AL120+AL121+AL122+AL123+AL124)*E105</f>
        <v>9.7453861116940044E-2</v>
      </c>
      <c r="AM105" s="453">
        <f>+(AM106+AM107+AM108+AM109+AM110+AM111+AM112+AM113+AM114+AM115+AM116+AM117+AM118+AM119+AM120+AM121+AM122+AM123+AM124)</f>
        <v>0.53208524559790826</v>
      </c>
      <c r="AN105" s="453">
        <f>+(AN106+AN107+AN108+AN109+AN110+AN111+AN112+AN113+AN114+AN115+AN116+AN117+AN118+AN119+AN120+AN121+AN122+AN123+AN124)</f>
        <v>0.57834242824430537</v>
      </c>
      <c r="AO105" s="136"/>
      <c r="AP105" s="636"/>
      <c r="AQ105" s="359"/>
      <c r="AR105" s="359"/>
      <c r="AS105" s="359"/>
      <c r="AT105" s="359"/>
      <c r="AU105" s="158"/>
      <c r="AV105" s="158"/>
    </row>
    <row r="106" spans="1:48" ht="137.4" customHeight="1" thickBot="1" x14ac:dyDescent="0.4">
      <c r="A106" s="223"/>
      <c r="B106" s="1147" t="s">
        <v>182</v>
      </c>
      <c r="C106" s="1147" t="s">
        <v>183</v>
      </c>
      <c r="D106" s="361" t="s">
        <v>162</v>
      </c>
      <c r="E106" s="429">
        <v>3.7499999999999999E-2</v>
      </c>
      <c r="F106" s="383">
        <v>4</v>
      </c>
      <c r="G106" s="384">
        <v>1</v>
      </c>
      <c r="H106" s="385">
        <v>1</v>
      </c>
      <c r="I106" s="385">
        <v>1</v>
      </c>
      <c r="J106" s="386">
        <f t="shared" ref="J106:J124" si="95">+G106/F106</f>
        <v>0.25</v>
      </c>
      <c r="K106" s="402">
        <f>+H106/F106</f>
        <v>0.25</v>
      </c>
      <c r="L106" s="403">
        <f>+I106/F106</f>
        <v>0.25</v>
      </c>
      <c r="M106" s="428">
        <f t="shared" ref="M106:M124" si="96">+(G106/F106)*E106</f>
        <v>9.3749999999999997E-3</v>
      </c>
      <c r="N106" s="428">
        <f t="shared" si="82"/>
        <v>9.3749999999999997E-3</v>
      </c>
      <c r="O106" s="428"/>
      <c r="P106" s="384">
        <v>1</v>
      </c>
      <c r="Q106" s="443">
        <v>0</v>
      </c>
      <c r="R106" s="439">
        <v>0</v>
      </c>
      <c r="S106" s="439">
        <v>0.65</v>
      </c>
      <c r="T106" s="439">
        <v>0.17</v>
      </c>
      <c r="U106" s="439">
        <v>0.17999999999999997</v>
      </c>
      <c r="V106" s="385">
        <f>+Q106+R106+S106+T106+U106</f>
        <v>1</v>
      </c>
      <c r="W106" s="385">
        <f>+V106+P106+AB106</f>
        <v>2.464</v>
      </c>
      <c r="X106" s="439">
        <v>0.18</v>
      </c>
      <c r="Y106" s="439">
        <v>0.28399999999999997</v>
      </c>
      <c r="Z106" s="385"/>
      <c r="AA106" s="385"/>
      <c r="AB106" s="385">
        <f t="shared" si="83"/>
        <v>0.46399999999999997</v>
      </c>
      <c r="AC106" s="433">
        <f t="shared" ref="AC106:AC123" si="97">+(P106/G106)</f>
        <v>1</v>
      </c>
      <c r="AD106" s="419">
        <f t="shared" ref="AD106:AD119" si="98">+V106/H106</f>
        <v>1</v>
      </c>
      <c r="AE106" s="419">
        <f t="shared" si="92"/>
        <v>0.46399999999999997</v>
      </c>
      <c r="AF106" s="433">
        <f t="shared" ref="AF106:AF123" si="99">+AC106*E106</f>
        <v>3.7499999999999999E-2</v>
      </c>
      <c r="AG106" s="457">
        <f t="shared" ref="AG106:AG127" si="100">+AD106*E106</f>
        <v>3.7499999999999999E-2</v>
      </c>
      <c r="AH106" s="464">
        <f t="shared" si="84"/>
        <v>1.7399999999999999E-2</v>
      </c>
      <c r="AI106" s="457">
        <f t="shared" ref="AI106:AI124" si="101">+P106/F106</f>
        <v>0.25</v>
      </c>
      <c r="AJ106" s="464">
        <v>0.5</v>
      </c>
      <c r="AK106" s="1310">
        <f t="shared" si="94"/>
        <v>0.61599999999999999</v>
      </c>
      <c r="AL106" s="457">
        <f t="shared" ref="AL106:AL123" si="102">+AI106*E106</f>
        <v>9.3749999999999997E-3</v>
      </c>
      <c r="AM106" s="458">
        <f t="shared" ref="AM106:AM124" si="103">+AJ106*E106</f>
        <v>1.8749999999999999E-2</v>
      </c>
      <c r="AN106" s="1310">
        <f t="shared" si="90"/>
        <v>2.3099999999999999E-2</v>
      </c>
      <c r="AO106" s="142" t="s">
        <v>1844</v>
      </c>
      <c r="AP106" s="634" t="s">
        <v>1885</v>
      </c>
      <c r="AQ106" s="634" t="s">
        <v>1986</v>
      </c>
      <c r="AR106" s="634" t="s">
        <v>2008</v>
      </c>
      <c r="AS106" s="634" t="s">
        <v>2106</v>
      </c>
      <c r="AT106" s="634" t="s">
        <v>2137</v>
      </c>
      <c r="AU106" s="634" t="s">
        <v>2190</v>
      </c>
      <c r="AV106" s="634" t="s">
        <v>1887</v>
      </c>
    </row>
    <row r="107" spans="1:48" ht="79.2" customHeight="1" thickBot="1" x14ac:dyDescent="0.4">
      <c r="A107" s="223"/>
      <c r="B107" s="1147" t="s">
        <v>184</v>
      </c>
      <c r="C107" s="1147" t="s">
        <v>185</v>
      </c>
      <c r="D107" s="361" t="s">
        <v>162</v>
      </c>
      <c r="E107" s="429">
        <v>3.7499999999999999E-2</v>
      </c>
      <c r="F107" s="383">
        <f>700*4</f>
        <v>2800</v>
      </c>
      <c r="G107" s="384">
        <v>700</v>
      </c>
      <c r="H107" s="385">
        <v>700</v>
      </c>
      <c r="I107" s="385">
        <v>700</v>
      </c>
      <c r="J107" s="386">
        <f t="shared" si="95"/>
        <v>0.25</v>
      </c>
      <c r="K107" s="402">
        <f t="shared" ref="K107:K124" si="104">+H107/F107</f>
        <v>0.25</v>
      </c>
      <c r="L107" s="403">
        <f t="shared" si="81"/>
        <v>0.25</v>
      </c>
      <c r="M107" s="428">
        <f t="shared" si="96"/>
        <v>9.3749999999999997E-3</v>
      </c>
      <c r="N107" s="428">
        <f t="shared" si="82"/>
        <v>9.3749999999999997E-3</v>
      </c>
      <c r="O107" s="428"/>
      <c r="P107" s="384">
        <v>700</v>
      </c>
      <c r="Q107" s="443">
        <v>20</v>
      </c>
      <c r="R107" s="439">
        <v>166</v>
      </c>
      <c r="S107" s="439">
        <v>200</v>
      </c>
      <c r="T107" s="439">
        <v>186</v>
      </c>
      <c r="U107" s="439">
        <v>128</v>
      </c>
      <c r="V107" s="385">
        <f t="shared" ref="V107:V124" si="105">+Q107+R107+S107+T107+U107</f>
        <v>700</v>
      </c>
      <c r="W107" s="385">
        <f t="shared" ref="W107:W123" si="106">+V107+P107+AB107</f>
        <v>1564</v>
      </c>
      <c r="X107" s="439">
        <v>99</v>
      </c>
      <c r="Y107" s="439">
        <v>65</v>
      </c>
      <c r="Z107" s="385"/>
      <c r="AA107" s="385"/>
      <c r="AB107" s="385">
        <f t="shared" si="83"/>
        <v>164</v>
      </c>
      <c r="AC107" s="433">
        <f t="shared" si="97"/>
        <v>1</v>
      </c>
      <c r="AD107" s="419">
        <f t="shared" si="98"/>
        <v>1</v>
      </c>
      <c r="AE107" s="419">
        <f t="shared" si="92"/>
        <v>0.23428571428571429</v>
      </c>
      <c r="AF107" s="433">
        <f t="shared" si="99"/>
        <v>3.7499999999999999E-2</v>
      </c>
      <c r="AG107" s="457">
        <f t="shared" si="100"/>
        <v>3.7499999999999999E-2</v>
      </c>
      <c r="AH107" s="458">
        <f t="shared" si="84"/>
        <v>8.7857142857142856E-3</v>
      </c>
      <c r="AI107" s="457">
        <f t="shared" si="101"/>
        <v>0.25</v>
      </c>
      <c r="AJ107" s="458">
        <v>0.5</v>
      </c>
      <c r="AK107" s="1310">
        <f t="shared" si="94"/>
        <v>0.55857142857142861</v>
      </c>
      <c r="AL107" s="457">
        <f t="shared" si="102"/>
        <v>9.3749999999999997E-3</v>
      </c>
      <c r="AM107" s="458">
        <f t="shared" si="103"/>
        <v>1.8749999999999999E-2</v>
      </c>
      <c r="AN107" s="1310">
        <f t="shared" si="90"/>
        <v>2.0946428571428571E-2</v>
      </c>
      <c r="AO107" s="142" t="s">
        <v>1844</v>
      </c>
      <c r="AP107" s="634" t="s">
        <v>1885</v>
      </c>
      <c r="AQ107" s="634" t="s">
        <v>1986</v>
      </c>
      <c r="AR107" s="634" t="s">
        <v>2008</v>
      </c>
      <c r="AS107" s="634" t="s">
        <v>2106</v>
      </c>
      <c r="AT107" s="634" t="s">
        <v>2137</v>
      </c>
      <c r="AU107" s="634" t="s">
        <v>2190</v>
      </c>
      <c r="AV107" s="634" t="s">
        <v>1887</v>
      </c>
    </row>
    <row r="108" spans="1:48" ht="103.2" customHeight="1" thickBot="1" x14ac:dyDescent="0.4">
      <c r="A108" s="223"/>
      <c r="B108" s="1147" t="s">
        <v>186</v>
      </c>
      <c r="C108" s="1147" t="s">
        <v>187</v>
      </c>
      <c r="D108" s="361" t="s">
        <v>162</v>
      </c>
      <c r="E108" s="429">
        <v>3.7499999999999999E-2</v>
      </c>
      <c r="F108" s="383">
        <f>2100*4</f>
        <v>8400</v>
      </c>
      <c r="G108" s="384">
        <v>2100</v>
      </c>
      <c r="H108" s="385">
        <v>2100</v>
      </c>
      <c r="I108" s="385">
        <v>2100</v>
      </c>
      <c r="J108" s="386">
        <f t="shared" si="95"/>
        <v>0.25</v>
      </c>
      <c r="K108" s="402">
        <f t="shared" si="104"/>
        <v>0.25</v>
      </c>
      <c r="L108" s="403">
        <f t="shared" si="81"/>
        <v>0.25</v>
      </c>
      <c r="M108" s="428">
        <f t="shared" si="96"/>
        <v>9.3749999999999997E-3</v>
      </c>
      <c r="N108" s="428">
        <f t="shared" si="82"/>
        <v>9.3749999999999997E-3</v>
      </c>
      <c r="O108" s="428"/>
      <c r="P108" s="384">
        <v>1955</v>
      </c>
      <c r="Q108" s="443">
        <v>7</v>
      </c>
      <c r="R108" s="439">
        <v>797</v>
      </c>
      <c r="S108" s="439">
        <v>600</v>
      </c>
      <c r="T108" s="439">
        <v>573</v>
      </c>
      <c r="U108" s="439">
        <v>361</v>
      </c>
      <c r="V108" s="385">
        <f t="shared" si="105"/>
        <v>2338</v>
      </c>
      <c r="W108" s="385">
        <f t="shared" si="106"/>
        <v>4733</v>
      </c>
      <c r="X108" s="439">
        <v>309</v>
      </c>
      <c r="Y108" s="439">
        <v>131</v>
      </c>
      <c r="Z108" s="385"/>
      <c r="AA108" s="385"/>
      <c r="AB108" s="385">
        <f t="shared" si="83"/>
        <v>440</v>
      </c>
      <c r="AC108" s="433">
        <f t="shared" si="97"/>
        <v>0.93095238095238098</v>
      </c>
      <c r="AD108" s="419">
        <v>1</v>
      </c>
      <c r="AE108" s="419">
        <f t="shared" si="92"/>
        <v>0.20952380952380953</v>
      </c>
      <c r="AF108" s="433">
        <f t="shared" si="99"/>
        <v>3.4910714285714288E-2</v>
      </c>
      <c r="AG108" s="457">
        <f t="shared" si="100"/>
        <v>3.7499999999999999E-2</v>
      </c>
      <c r="AH108" s="458">
        <f t="shared" si="84"/>
        <v>7.8571428571428577E-3</v>
      </c>
      <c r="AI108" s="457">
        <f t="shared" si="101"/>
        <v>0.23273809523809524</v>
      </c>
      <c r="AJ108" s="458">
        <v>0.51107142857142862</v>
      </c>
      <c r="AK108" s="1310">
        <f t="shared" si="94"/>
        <v>0.56345238095238093</v>
      </c>
      <c r="AL108" s="457">
        <f t="shared" si="102"/>
        <v>8.727678571428572E-3</v>
      </c>
      <c r="AM108" s="458">
        <f t="shared" si="103"/>
        <v>1.9165178571428573E-2</v>
      </c>
      <c r="AN108" s="1310">
        <f t="shared" si="90"/>
        <v>2.1129464285714283E-2</v>
      </c>
      <c r="AO108" s="142" t="s">
        <v>1844</v>
      </c>
      <c r="AP108" s="634" t="s">
        <v>1885</v>
      </c>
      <c r="AQ108" s="634" t="s">
        <v>1986</v>
      </c>
      <c r="AR108" s="634" t="s">
        <v>2008</v>
      </c>
      <c r="AS108" s="634" t="s">
        <v>2106</v>
      </c>
      <c r="AT108" s="634" t="s">
        <v>2137</v>
      </c>
      <c r="AU108" s="634" t="s">
        <v>2190</v>
      </c>
      <c r="AV108" s="634" t="s">
        <v>1887</v>
      </c>
    </row>
    <row r="109" spans="1:48" ht="113.4" customHeight="1" thickBot="1" x14ac:dyDescent="0.4">
      <c r="A109" s="223"/>
      <c r="B109" s="1147" t="s">
        <v>188</v>
      </c>
      <c r="C109" s="1147" t="s">
        <v>189</v>
      </c>
      <c r="D109" s="361" t="s">
        <v>162</v>
      </c>
      <c r="E109" s="429">
        <v>3.7499999999999999E-2</v>
      </c>
      <c r="F109" s="383">
        <f>7600*4</f>
        <v>30400</v>
      </c>
      <c r="G109" s="384">
        <v>7600</v>
      </c>
      <c r="H109" s="385">
        <v>7600</v>
      </c>
      <c r="I109" s="385">
        <v>7600</v>
      </c>
      <c r="J109" s="386">
        <f t="shared" si="95"/>
        <v>0.25</v>
      </c>
      <c r="K109" s="402">
        <f t="shared" si="104"/>
        <v>0.25</v>
      </c>
      <c r="L109" s="403">
        <f t="shared" si="81"/>
        <v>0.25</v>
      </c>
      <c r="M109" s="428">
        <f t="shared" si="96"/>
        <v>9.3749999999999997E-3</v>
      </c>
      <c r="N109" s="428">
        <f t="shared" si="82"/>
        <v>9.3749999999999997E-3</v>
      </c>
      <c r="O109" s="428"/>
      <c r="P109" s="384">
        <v>11360</v>
      </c>
      <c r="Q109" s="443">
        <v>2784</v>
      </c>
      <c r="R109" s="439">
        <v>2278</v>
      </c>
      <c r="S109" s="439">
        <v>2278</v>
      </c>
      <c r="T109" s="439">
        <v>937</v>
      </c>
      <c r="U109" s="439">
        <v>1737</v>
      </c>
      <c r="V109" s="385">
        <f t="shared" si="105"/>
        <v>10014</v>
      </c>
      <c r="W109" s="385">
        <f t="shared" si="106"/>
        <v>25144</v>
      </c>
      <c r="X109" s="439">
        <v>2864</v>
      </c>
      <c r="Y109" s="439">
        <v>906</v>
      </c>
      <c r="Z109" s="385"/>
      <c r="AA109" s="385"/>
      <c r="AB109" s="385">
        <f t="shared" si="83"/>
        <v>3770</v>
      </c>
      <c r="AC109" s="433">
        <v>1</v>
      </c>
      <c r="AD109" s="419">
        <v>1</v>
      </c>
      <c r="AE109" s="419">
        <f t="shared" si="92"/>
        <v>0.49605263157894736</v>
      </c>
      <c r="AF109" s="433">
        <f t="shared" si="99"/>
        <v>3.7499999999999999E-2</v>
      </c>
      <c r="AG109" s="457">
        <f t="shared" si="100"/>
        <v>3.7499999999999999E-2</v>
      </c>
      <c r="AH109" s="458">
        <f t="shared" si="84"/>
        <v>1.8601973684210526E-2</v>
      </c>
      <c r="AI109" s="457">
        <f>+P109/F109</f>
        <v>0.37368421052631579</v>
      </c>
      <c r="AJ109" s="458">
        <v>0.70309210526315791</v>
      </c>
      <c r="AK109" s="1310">
        <f t="shared" si="94"/>
        <v>0.82710526315789479</v>
      </c>
      <c r="AL109" s="457">
        <f t="shared" si="102"/>
        <v>1.4013157894736842E-2</v>
      </c>
      <c r="AM109" s="458">
        <f t="shared" si="103"/>
        <v>2.6365953947368421E-2</v>
      </c>
      <c r="AN109" s="1310">
        <f t="shared" si="90"/>
        <v>3.1016447368421053E-2</v>
      </c>
      <c r="AO109" s="142" t="s">
        <v>1844</v>
      </c>
      <c r="AP109" s="634" t="s">
        <v>1885</v>
      </c>
      <c r="AQ109" s="634" t="s">
        <v>1986</v>
      </c>
      <c r="AR109" s="634" t="s">
        <v>2008</v>
      </c>
      <c r="AS109" s="634" t="s">
        <v>2106</v>
      </c>
      <c r="AT109" s="634" t="s">
        <v>2137</v>
      </c>
      <c r="AU109" s="634" t="s">
        <v>2190</v>
      </c>
      <c r="AV109" s="634" t="s">
        <v>1887</v>
      </c>
    </row>
    <row r="110" spans="1:48" ht="113.4" customHeight="1" thickBot="1" x14ac:dyDescent="0.4">
      <c r="A110" s="223"/>
      <c r="B110" s="1147" t="s">
        <v>190</v>
      </c>
      <c r="C110" s="1147" t="s">
        <v>191</v>
      </c>
      <c r="D110" s="364" t="s">
        <v>162</v>
      </c>
      <c r="E110" s="429">
        <v>0.1</v>
      </c>
      <c r="F110" s="383">
        <f>90000*4</f>
        <v>360000</v>
      </c>
      <c r="G110" s="384">
        <v>90000</v>
      </c>
      <c r="H110" s="385">
        <v>90000</v>
      </c>
      <c r="I110" s="385">
        <v>90000</v>
      </c>
      <c r="J110" s="386">
        <f t="shared" si="95"/>
        <v>0.25</v>
      </c>
      <c r="K110" s="402">
        <f t="shared" si="104"/>
        <v>0.25</v>
      </c>
      <c r="L110" s="403">
        <f t="shared" si="81"/>
        <v>0.25</v>
      </c>
      <c r="M110" s="428">
        <f t="shared" si="96"/>
        <v>2.5000000000000001E-2</v>
      </c>
      <c r="N110" s="428">
        <f t="shared" si="82"/>
        <v>2.5000000000000001E-2</v>
      </c>
      <c r="O110" s="428"/>
      <c r="P110" s="384">
        <v>90021</v>
      </c>
      <c r="Q110" s="443">
        <v>391</v>
      </c>
      <c r="R110" s="439">
        <v>3310</v>
      </c>
      <c r="S110" s="439">
        <v>4147</v>
      </c>
      <c r="T110" s="439">
        <v>750</v>
      </c>
      <c r="U110" s="439">
        <v>15828</v>
      </c>
      <c r="V110" s="385">
        <f t="shared" si="105"/>
        <v>24426</v>
      </c>
      <c r="W110" s="385">
        <f t="shared" si="106"/>
        <v>116182</v>
      </c>
      <c r="X110" s="439">
        <v>1008</v>
      </c>
      <c r="Y110" s="439">
        <v>727</v>
      </c>
      <c r="Z110" s="385"/>
      <c r="AA110" s="385"/>
      <c r="AB110" s="385">
        <f t="shared" si="83"/>
        <v>1735</v>
      </c>
      <c r="AC110" s="433">
        <v>1</v>
      </c>
      <c r="AD110" s="419">
        <f>+V110/H110</f>
        <v>0.27139999999999997</v>
      </c>
      <c r="AE110" s="419">
        <f t="shared" si="92"/>
        <v>1.9277777777777779E-2</v>
      </c>
      <c r="AF110" s="433">
        <f t="shared" si="99"/>
        <v>0.1</v>
      </c>
      <c r="AG110" s="457">
        <f t="shared" si="100"/>
        <v>2.7139999999999997E-2</v>
      </c>
      <c r="AH110" s="458">
        <f t="shared" si="84"/>
        <v>1.927777777777778E-3</v>
      </c>
      <c r="AI110" s="457">
        <f t="shared" si="101"/>
        <v>0.25005833333333333</v>
      </c>
      <c r="AJ110" s="458">
        <v>0.31790833333333335</v>
      </c>
      <c r="AK110" s="1310">
        <f t="shared" si="94"/>
        <v>0.32272777777777778</v>
      </c>
      <c r="AL110" s="457">
        <f t="shared" si="102"/>
        <v>2.5005833333333335E-2</v>
      </c>
      <c r="AM110" s="458">
        <f t="shared" si="103"/>
        <v>3.1790833333333338E-2</v>
      </c>
      <c r="AN110" s="1310">
        <f t="shared" si="90"/>
        <v>3.2272777777777782E-2</v>
      </c>
      <c r="AO110" s="142" t="s">
        <v>1844</v>
      </c>
      <c r="AP110" s="634" t="s">
        <v>1885</v>
      </c>
      <c r="AQ110" s="634" t="s">
        <v>1986</v>
      </c>
      <c r="AR110" s="634" t="s">
        <v>2008</v>
      </c>
      <c r="AS110" s="634" t="s">
        <v>2106</v>
      </c>
      <c r="AT110" s="634" t="s">
        <v>2137</v>
      </c>
      <c r="AU110" s="634" t="s">
        <v>2190</v>
      </c>
      <c r="AV110" s="634" t="s">
        <v>1887</v>
      </c>
    </row>
    <row r="111" spans="1:48" ht="115.95" customHeight="1" thickBot="1" x14ac:dyDescent="0.4">
      <c r="A111" s="223"/>
      <c r="B111" s="1147" t="s">
        <v>192</v>
      </c>
      <c r="C111" s="1147" t="s">
        <v>193</v>
      </c>
      <c r="D111" s="361" t="s">
        <v>162</v>
      </c>
      <c r="E111" s="429">
        <v>3.7499999999999999E-2</v>
      </c>
      <c r="F111" s="383">
        <f>17*4</f>
        <v>68</v>
      </c>
      <c r="G111" s="384">
        <v>17</v>
      </c>
      <c r="H111" s="385">
        <v>17</v>
      </c>
      <c r="I111" s="385">
        <v>17</v>
      </c>
      <c r="J111" s="386">
        <f t="shared" si="95"/>
        <v>0.25</v>
      </c>
      <c r="K111" s="402">
        <f t="shared" si="104"/>
        <v>0.25</v>
      </c>
      <c r="L111" s="403">
        <f t="shared" si="81"/>
        <v>0.25</v>
      </c>
      <c r="M111" s="428">
        <f t="shared" si="96"/>
        <v>9.3749999999999997E-3</v>
      </c>
      <c r="N111" s="428">
        <f t="shared" si="82"/>
        <v>9.3749999999999997E-3</v>
      </c>
      <c r="O111" s="428"/>
      <c r="P111" s="430">
        <v>15</v>
      </c>
      <c r="Q111" s="443">
        <v>3.75</v>
      </c>
      <c r="R111" s="718">
        <v>11</v>
      </c>
      <c r="S111" s="792">
        <v>0.25</v>
      </c>
      <c r="T111" s="718">
        <v>1</v>
      </c>
      <c r="U111" s="718">
        <v>1</v>
      </c>
      <c r="V111" s="385">
        <f t="shared" si="105"/>
        <v>17</v>
      </c>
      <c r="W111" s="385">
        <f t="shared" si="106"/>
        <v>49</v>
      </c>
      <c r="X111" s="439">
        <v>17</v>
      </c>
      <c r="Y111" s="439">
        <v>0</v>
      </c>
      <c r="Z111" s="385"/>
      <c r="AA111" s="385"/>
      <c r="AB111" s="385">
        <f t="shared" si="83"/>
        <v>17</v>
      </c>
      <c r="AC111" s="433">
        <f t="shared" ref="AC111" si="107">+(P111/G111)</f>
        <v>0.88235294117647056</v>
      </c>
      <c r="AD111" s="419">
        <f>+V111/H111</f>
        <v>1</v>
      </c>
      <c r="AE111" s="419">
        <f>+AB111/I111*0.5</f>
        <v>0.5</v>
      </c>
      <c r="AF111" s="433">
        <f t="shared" ref="AF111" si="108">+AC111*E111</f>
        <v>3.3088235294117647E-2</v>
      </c>
      <c r="AG111" s="457">
        <f t="shared" si="100"/>
        <v>3.7499999999999999E-2</v>
      </c>
      <c r="AH111" s="458">
        <f t="shared" si="84"/>
        <v>1.8749999999999999E-2</v>
      </c>
      <c r="AI111" s="457">
        <f t="shared" ref="AI111" si="109">+P111/F111</f>
        <v>0.22058823529411764</v>
      </c>
      <c r="AJ111" s="458">
        <v>0.47058823529411764</v>
      </c>
      <c r="AK111" s="1310">
        <f>+AJ111+(AE111*0.25)</f>
        <v>0.59558823529411764</v>
      </c>
      <c r="AL111" s="457">
        <f t="shared" ref="AL111" si="110">+AI111*E111</f>
        <v>8.2720588235294119E-3</v>
      </c>
      <c r="AM111" s="458">
        <f t="shared" si="103"/>
        <v>1.7647058823529412E-2</v>
      </c>
      <c r="AN111" s="1310">
        <f t="shared" si="90"/>
        <v>2.2334558823529412E-2</v>
      </c>
      <c r="AO111" s="142" t="s">
        <v>1844</v>
      </c>
      <c r="AP111" s="634" t="s">
        <v>1885</v>
      </c>
      <c r="AQ111" s="634" t="s">
        <v>1986</v>
      </c>
      <c r="AR111" s="634" t="s">
        <v>2008</v>
      </c>
      <c r="AS111" s="634" t="s">
        <v>2106</v>
      </c>
      <c r="AT111" s="634" t="s">
        <v>2137</v>
      </c>
      <c r="AU111" s="634" t="s">
        <v>2190</v>
      </c>
      <c r="AV111" s="634" t="s">
        <v>1887</v>
      </c>
    </row>
    <row r="112" spans="1:48" ht="152.4" customHeight="1" thickBot="1" x14ac:dyDescent="0.4">
      <c r="A112" s="223"/>
      <c r="B112" s="1147" t="s">
        <v>194</v>
      </c>
      <c r="C112" s="1147" t="s">
        <v>195</v>
      </c>
      <c r="D112" s="361" t="s">
        <v>162</v>
      </c>
      <c r="E112" s="429">
        <v>3.7499999999999999E-2</v>
      </c>
      <c r="F112" s="383">
        <f>250*4</f>
        <v>1000</v>
      </c>
      <c r="G112" s="384">
        <v>250</v>
      </c>
      <c r="H112" s="385">
        <v>250</v>
      </c>
      <c r="I112" s="385">
        <v>250</v>
      </c>
      <c r="J112" s="386">
        <f t="shared" si="95"/>
        <v>0.25</v>
      </c>
      <c r="K112" s="402">
        <f t="shared" si="104"/>
        <v>0.25</v>
      </c>
      <c r="L112" s="403">
        <f t="shared" si="81"/>
        <v>0.25</v>
      </c>
      <c r="M112" s="428">
        <f>+(G112/F112)*E112</f>
        <v>9.3749999999999997E-3</v>
      </c>
      <c r="N112" s="428">
        <f t="shared" si="82"/>
        <v>9.3749999999999997E-3</v>
      </c>
      <c r="O112" s="428"/>
      <c r="P112" s="384">
        <v>250</v>
      </c>
      <c r="Q112" s="443">
        <v>0</v>
      </c>
      <c r="R112" s="439">
        <v>68</v>
      </c>
      <c r="S112" s="439">
        <v>121</v>
      </c>
      <c r="T112" s="439">
        <v>50</v>
      </c>
      <c r="U112" s="439">
        <v>11</v>
      </c>
      <c r="V112" s="385">
        <f t="shared" si="105"/>
        <v>250</v>
      </c>
      <c r="W112" s="385">
        <f t="shared" si="106"/>
        <v>567</v>
      </c>
      <c r="X112" s="439">
        <v>30</v>
      </c>
      <c r="Y112" s="439">
        <v>37</v>
      </c>
      <c r="Z112" s="385"/>
      <c r="AA112" s="385"/>
      <c r="AB112" s="385">
        <f t="shared" si="83"/>
        <v>67</v>
      </c>
      <c r="AC112" s="433">
        <f t="shared" si="97"/>
        <v>1</v>
      </c>
      <c r="AD112" s="419">
        <f t="shared" si="98"/>
        <v>1</v>
      </c>
      <c r="AE112" s="419">
        <f t="shared" si="92"/>
        <v>0.26800000000000002</v>
      </c>
      <c r="AF112" s="433">
        <f t="shared" si="99"/>
        <v>3.7499999999999999E-2</v>
      </c>
      <c r="AG112" s="457">
        <f t="shared" si="100"/>
        <v>3.7499999999999999E-2</v>
      </c>
      <c r="AH112" s="458">
        <f t="shared" si="84"/>
        <v>1.005E-2</v>
      </c>
      <c r="AI112" s="457">
        <f t="shared" si="101"/>
        <v>0.25</v>
      </c>
      <c r="AJ112" s="458">
        <v>0.5</v>
      </c>
      <c r="AK112" s="1310">
        <f t="shared" si="94"/>
        <v>0.56699999999999995</v>
      </c>
      <c r="AL112" s="457">
        <f t="shared" si="102"/>
        <v>9.3749999999999997E-3</v>
      </c>
      <c r="AM112" s="458">
        <f t="shared" si="103"/>
        <v>1.8749999999999999E-2</v>
      </c>
      <c r="AN112" s="1310">
        <f t="shared" si="90"/>
        <v>2.1262499999999997E-2</v>
      </c>
      <c r="AO112" s="142" t="s">
        <v>1844</v>
      </c>
      <c r="AP112" s="634" t="s">
        <v>1885</v>
      </c>
      <c r="AQ112" s="634" t="s">
        <v>1986</v>
      </c>
      <c r="AR112" s="634" t="s">
        <v>2008</v>
      </c>
      <c r="AS112" s="634" t="s">
        <v>2106</v>
      </c>
      <c r="AT112" s="634" t="s">
        <v>2137</v>
      </c>
      <c r="AU112" s="634" t="s">
        <v>2190</v>
      </c>
      <c r="AV112" s="634" t="s">
        <v>1887</v>
      </c>
    </row>
    <row r="113" spans="1:49" ht="150" customHeight="1" thickBot="1" x14ac:dyDescent="0.4">
      <c r="A113" s="223"/>
      <c r="B113" s="1147" t="s">
        <v>196</v>
      </c>
      <c r="C113" s="1147" t="s">
        <v>197</v>
      </c>
      <c r="D113" s="361" t="s">
        <v>162</v>
      </c>
      <c r="E113" s="429">
        <v>3.7499999999999999E-2</v>
      </c>
      <c r="F113" s="383">
        <v>17</v>
      </c>
      <c r="G113" s="384">
        <v>2</v>
      </c>
      <c r="H113" s="385">
        <v>5</v>
      </c>
      <c r="I113" s="385">
        <v>5</v>
      </c>
      <c r="J113" s="386">
        <f t="shared" si="95"/>
        <v>0.11764705882352941</v>
      </c>
      <c r="K113" s="402">
        <f t="shared" si="104"/>
        <v>0.29411764705882354</v>
      </c>
      <c r="L113" s="403">
        <f t="shared" si="81"/>
        <v>0.29411764705882354</v>
      </c>
      <c r="M113" s="428">
        <f t="shared" si="96"/>
        <v>4.4117647058823529E-3</v>
      </c>
      <c r="N113" s="428">
        <f t="shared" si="82"/>
        <v>1.1029411764705883E-2</v>
      </c>
      <c r="O113" s="428"/>
      <c r="P113" s="384">
        <v>2</v>
      </c>
      <c r="Q113" s="443">
        <v>0</v>
      </c>
      <c r="R113" s="439">
        <v>2.5</v>
      </c>
      <c r="S113" s="439">
        <v>1.5</v>
      </c>
      <c r="T113" s="439">
        <v>0</v>
      </c>
      <c r="U113" s="439">
        <v>1</v>
      </c>
      <c r="V113" s="385">
        <f t="shared" si="105"/>
        <v>5</v>
      </c>
      <c r="W113" s="385">
        <f t="shared" si="106"/>
        <v>7</v>
      </c>
      <c r="X113" s="439">
        <v>0</v>
      </c>
      <c r="Y113" s="439">
        <v>0</v>
      </c>
      <c r="Z113" s="385"/>
      <c r="AA113" s="385"/>
      <c r="AB113" s="385">
        <f t="shared" si="83"/>
        <v>0</v>
      </c>
      <c r="AC113" s="433">
        <f t="shared" si="97"/>
        <v>1</v>
      </c>
      <c r="AD113" s="419">
        <f t="shared" si="98"/>
        <v>1</v>
      </c>
      <c r="AE113" s="419">
        <f t="shared" si="92"/>
        <v>0</v>
      </c>
      <c r="AF113" s="433">
        <f t="shared" si="99"/>
        <v>3.7499999999999999E-2</v>
      </c>
      <c r="AG113" s="457">
        <f t="shared" si="100"/>
        <v>3.7499999999999999E-2</v>
      </c>
      <c r="AH113" s="458">
        <f t="shared" si="84"/>
        <v>0</v>
      </c>
      <c r="AI113" s="457">
        <f t="shared" si="101"/>
        <v>0.11764705882352941</v>
      </c>
      <c r="AJ113" s="458">
        <v>0.41176470588235292</v>
      </c>
      <c r="AK113" s="1310">
        <f t="shared" si="94"/>
        <v>0.41176470588235292</v>
      </c>
      <c r="AL113" s="457">
        <f t="shared" si="102"/>
        <v>4.4117647058823529E-3</v>
      </c>
      <c r="AM113" s="458">
        <f t="shared" si="103"/>
        <v>1.5441176470588234E-2</v>
      </c>
      <c r="AN113" s="1310">
        <f t="shared" si="90"/>
        <v>1.5441176470588234E-2</v>
      </c>
      <c r="AO113" s="142" t="s">
        <v>1844</v>
      </c>
      <c r="AP113" s="634" t="s">
        <v>1885</v>
      </c>
      <c r="AQ113" s="634" t="s">
        <v>1986</v>
      </c>
      <c r="AR113" s="634" t="s">
        <v>2008</v>
      </c>
      <c r="AS113" s="634" t="s">
        <v>2106</v>
      </c>
      <c r="AT113" s="634" t="s">
        <v>2137</v>
      </c>
      <c r="AU113" s="634" t="s">
        <v>2190</v>
      </c>
      <c r="AV113" s="634" t="s">
        <v>1887</v>
      </c>
    </row>
    <row r="114" spans="1:49" ht="164.4" customHeight="1" thickBot="1" x14ac:dyDescent="0.4">
      <c r="A114" s="223"/>
      <c r="B114" s="1147" t="s">
        <v>198</v>
      </c>
      <c r="C114" s="1147" t="s">
        <v>199</v>
      </c>
      <c r="D114" s="361" t="s">
        <v>162</v>
      </c>
      <c r="E114" s="429">
        <v>3.7499999999999999E-2</v>
      </c>
      <c r="F114" s="383">
        <v>160</v>
      </c>
      <c r="G114" s="384">
        <v>40</v>
      </c>
      <c r="H114" s="385">
        <v>40</v>
      </c>
      <c r="I114" s="385">
        <v>40</v>
      </c>
      <c r="J114" s="386">
        <f t="shared" si="95"/>
        <v>0.25</v>
      </c>
      <c r="K114" s="402">
        <f t="shared" si="104"/>
        <v>0.25</v>
      </c>
      <c r="L114" s="403">
        <f t="shared" si="81"/>
        <v>0.25</v>
      </c>
      <c r="M114" s="428">
        <f t="shared" si="96"/>
        <v>9.3749999999999997E-3</v>
      </c>
      <c r="N114" s="428">
        <f t="shared" si="82"/>
        <v>9.3749999999999997E-3</v>
      </c>
      <c r="O114" s="428"/>
      <c r="P114" s="384">
        <v>40</v>
      </c>
      <c r="Q114" s="443">
        <v>0</v>
      </c>
      <c r="R114" s="439">
        <v>33</v>
      </c>
      <c r="S114" s="439">
        <v>18</v>
      </c>
      <c r="T114" s="439">
        <v>18</v>
      </c>
      <c r="U114" s="439">
        <v>21</v>
      </c>
      <c r="V114" s="385">
        <v>40</v>
      </c>
      <c r="W114" s="385">
        <f t="shared" si="106"/>
        <v>96</v>
      </c>
      <c r="X114" s="439">
        <v>12</v>
      </c>
      <c r="Y114" s="439">
        <v>4</v>
      </c>
      <c r="Z114" s="385"/>
      <c r="AA114" s="385"/>
      <c r="AB114" s="385">
        <f t="shared" si="83"/>
        <v>16</v>
      </c>
      <c r="AC114" s="433">
        <v>1</v>
      </c>
      <c r="AD114" s="419">
        <v>1</v>
      </c>
      <c r="AE114" s="419">
        <f t="shared" si="92"/>
        <v>0.4</v>
      </c>
      <c r="AF114" s="433">
        <f t="shared" si="99"/>
        <v>3.7499999999999999E-2</v>
      </c>
      <c r="AG114" s="457">
        <f t="shared" si="100"/>
        <v>3.7499999999999999E-2</v>
      </c>
      <c r="AH114" s="458">
        <f t="shared" si="84"/>
        <v>1.4999999999999999E-2</v>
      </c>
      <c r="AI114" s="457">
        <f t="shared" si="101"/>
        <v>0.25</v>
      </c>
      <c r="AJ114" s="458">
        <v>0.8125</v>
      </c>
      <c r="AK114" s="1310">
        <f t="shared" si="94"/>
        <v>0.6</v>
      </c>
      <c r="AL114" s="457">
        <f t="shared" si="102"/>
        <v>9.3749999999999997E-3</v>
      </c>
      <c r="AM114" s="458">
        <f t="shared" si="103"/>
        <v>3.0468749999999999E-2</v>
      </c>
      <c r="AN114" s="1310">
        <f t="shared" si="90"/>
        <v>2.2499999999999999E-2</v>
      </c>
      <c r="AO114" s="142" t="s">
        <v>1844</v>
      </c>
      <c r="AP114" s="634" t="s">
        <v>1885</v>
      </c>
      <c r="AQ114" s="634" t="s">
        <v>1986</v>
      </c>
      <c r="AR114" s="634" t="s">
        <v>2008</v>
      </c>
      <c r="AS114" s="634" t="s">
        <v>2106</v>
      </c>
      <c r="AT114" s="634" t="s">
        <v>2137</v>
      </c>
      <c r="AU114" s="634" t="s">
        <v>2190</v>
      </c>
      <c r="AV114" s="634" t="s">
        <v>1887</v>
      </c>
    </row>
    <row r="115" spans="1:49" ht="80.400000000000006" customHeight="1" thickBot="1" x14ac:dyDescent="0.4">
      <c r="A115" s="223"/>
      <c r="B115" s="1147" t="s">
        <v>200</v>
      </c>
      <c r="C115" s="1147" t="s">
        <v>201</v>
      </c>
      <c r="D115" s="361" t="s">
        <v>162</v>
      </c>
      <c r="E115" s="429">
        <v>3.7499999999999999E-2</v>
      </c>
      <c r="F115" s="383">
        <v>14000</v>
      </c>
      <c r="G115" s="384">
        <v>3500</v>
      </c>
      <c r="H115" s="385">
        <v>3500</v>
      </c>
      <c r="I115" s="385">
        <v>3500</v>
      </c>
      <c r="J115" s="386">
        <f t="shared" si="95"/>
        <v>0.25</v>
      </c>
      <c r="K115" s="402">
        <f t="shared" si="104"/>
        <v>0.25</v>
      </c>
      <c r="L115" s="403">
        <f t="shared" si="81"/>
        <v>0.25</v>
      </c>
      <c r="M115" s="428">
        <f t="shared" si="96"/>
        <v>9.3749999999999997E-3</v>
      </c>
      <c r="N115" s="428">
        <f t="shared" si="82"/>
        <v>9.3749999999999997E-3</v>
      </c>
      <c r="O115" s="428"/>
      <c r="P115" s="384">
        <v>3500</v>
      </c>
      <c r="Q115" s="443">
        <v>650</v>
      </c>
      <c r="R115" s="439">
        <v>1058</v>
      </c>
      <c r="S115" s="439">
        <v>566</v>
      </c>
      <c r="T115" s="439">
        <v>699</v>
      </c>
      <c r="U115" s="439">
        <v>527</v>
      </c>
      <c r="V115" s="385">
        <f t="shared" si="105"/>
        <v>3500</v>
      </c>
      <c r="W115" s="385">
        <f t="shared" si="106"/>
        <v>7926</v>
      </c>
      <c r="X115" s="439">
        <v>648</v>
      </c>
      <c r="Y115" s="439">
        <v>278</v>
      </c>
      <c r="Z115" s="385"/>
      <c r="AA115" s="385"/>
      <c r="AB115" s="385">
        <f t="shared" si="83"/>
        <v>926</v>
      </c>
      <c r="AC115" s="433">
        <f t="shared" si="97"/>
        <v>1</v>
      </c>
      <c r="AD115" s="419">
        <f t="shared" si="98"/>
        <v>1</v>
      </c>
      <c r="AE115" s="419">
        <f>+AB115/I115</f>
        <v>0.26457142857142857</v>
      </c>
      <c r="AF115" s="433">
        <f t="shared" si="99"/>
        <v>3.7499999999999999E-2</v>
      </c>
      <c r="AG115" s="457">
        <f t="shared" si="100"/>
        <v>3.7499999999999999E-2</v>
      </c>
      <c r="AH115" s="458">
        <f t="shared" si="84"/>
        <v>9.9214285714285706E-3</v>
      </c>
      <c r="AI115" s="457">
        <f t="shared" si="101"/>
        <v>0.25</v>
      </c>
      <c r="AJ115" s="458">
        <v>0.5</v>
      </c>
      <c r="AK115" s="1310">
        <f t="shared" si="94"/>
        <v>0.56614285714285717</v>
      </c>
      <c r="AL115" s="457">
        <f t="shared" si="102"/>
        <v>9.3749999999999997E-3</v>
      </c>
      <c r="AM115" s="458">
        <f t="shared" si="103"/>
        <v>1.8749999999999999E-2</v>
      </c>
      <c r="AN115" s="1310">
        <f t="shared" si="90"/>
        <v>2.1230357142857145E-2</v>
      </c>
      <c r="AO115" s="142" t="s">
        <v>1844</v>
      </c>
      <c r="AP115" s="634" t="s">
        <v>1885</v>
      </c>
      <c r="AQ115" s="634" t="s">
        <v>1986</v>
      </c>
      <c r="AR115" s="634" t="s">
        <v>2008</v>
      </c>
      <c r="AS115" s="634" t="s">
        <v>2106</v>
      </c>
      <c r="AT115" s="634" t="s">
        <v>2137</v>
      </c>
      <c r="AU115" s="634" t="s">
        <v>2190</v>
      </c>
      <c r="AV115" s="634" t="s">
        <v>1887</v>
      </c>
    </row>
    <row r="116" spans="1:49" ht="91.95" customHeight="1" thickBot="1" x14ac:dyDescent="0.4">
      <c r="A116" s="223"/>
      <c r="B116" s="1147" t="s">
        <v>202</v>
      </c>
      <c r="C116" s="1147" t="s">
        <v>203</v>
      </c>
      <c r="D116" s="361" t="s">
        <v>162</v>
      </c>
      <c r="E116" s="429">
        <v>3.7499999999999999E-2</v>
      </c>
      <c r="F116" s="383">
        <v>380</v>
      </c>
      <c r="G116" s="384">
        <v>95</v>
      </c>
      <c r="H116" s="385">
        <v>95</v>
      </c>
      <c r="I116" s="1015">
        <v>95</v>
      </c>
      <c r="J116" s="386">
        <f t="shared" si="95"/>
        <v>0.25</v>
      </c>
      <c r="K116" s="402">
        <f t="shared" si="104"/>
        <v>0.25</v>
      </c>
      <c r="L116" s="403">
        <f t="shared" si="81"/>
        <v>0.25</v>
      </c>
      <c r="M116" s="428">
        <f t="shared" si="96"/>
        <v>9.3749999999999997E-3</v>
      </c>
      <c r="N116" s="428">
        <f t="shared" si="82"/>
        <v>9.3749999999999997E-3</v>
      </c>
      <c r="O116" s="428"/>
      <c r="P116" s="384">
        <v>94</v>
      </c>
      <c r="Q116" s="443">
        <v>0</v>
      </c>
      <c r="R116" s="439">
        <v>31</v>
      </c>
      <c r="S116" s="439">
        <v>20</v>
      </c>
      <c r="T116" s="439">
        <v>22</v>
      </c>
      <c r="U116" s="439">
        <v>22</v>
      </c>
      <c r="V116" s="385">
        <f t="shared" si="105"/>
        <v>95</v>
      </c>
      <c r="W116" s="385">
        <f t="shared" si="106"/>
        <v>209.66</v>
      </c>
      <c r="X116" s="439">
        <v>12.06</v>
      </c>
      <c r="Y116" s="439">
        <v>8.6</v>
      </c>
      <c r="Z116" s="385"/>
      <c r="AA116" s="385"/>
      <c r="AB116" s="385">
        <f t="shared" si="83"/>
        <v>20.66</v>
      </c>
      <c r="AC116" s="433">
        <f t="shared" si="97"/>
        <v>0.98947368421052628</v>
      </c>
      <c r="AD116" s="419">
        <f t="shared" si="98"/>
        <v>1</v>
      </c>
      <c r="AE116" s="419">
        <f t="shared" si="92"/>
        <v>0.21747368421052632</v>
      </c>
      <c r="AF116" s="433">
        <f t="shared" si="99"/>
        <v>3.7105263157894731E-2</v>
      </c>
      <c r="AG116" s="457">
        <f t="shared" si="100"/>
        <v>3.7499999999999999E-2</v>
      </c>
      <c r="AH116" s="458">
        <f t="shared" si="84"/>
        <v>8.1552631578947366E-3</v>
      </c>
      <c r="AI116" s="457">
        <f t="shared" si="101"/>
        <v>0.24736842105263157</v>
      </c>
      <c r="AJ116" s="458">
        <v>0.49736842105263157</v>
      </c>
      <c r="AK116" s="1310">
        <f t="shared" si="94"/>
        <v>0.55173684210526319</v>
      </c>
      <c r="AL116" s="457">
        <f t="shared" si="102"/>
        <v>9.2763157894736829E-3</v>
      </c>
      <c r="AM116" s="458">
        <f t="shared" si="103"/>
        <v>1.8651315789473683E-2</v>
      </c>
      <c r="AN116" s="1310">
        <f t="shared" si="90"/>
        <v>2.069013157894737E-2</v>
      </c>
      <c r="AO116" s="142" t="s">
        <v>1844</v>
      </c>
      <c r="AP116" s="634" t="s">
        <v>1885</v>
      </c>
      <c r="AQ116" s="634" t="s">
        <v>1986</v>
      </c>
      <c r="AR116" s="634" t="s">
        <v>2008</v>
      </c>
      <c r="AS116" s="634" t="s">
        <v>2106</v>
      </c>
      <c r="AT116" s="634" t="s">
        <v>2137</v>
      </c>
      <c r="AU116" s="634" t="s">
        <v>2190</v>
      </c>
      <c r="AV116" s="634" t="s">
        <v>1887</v>
      </c>
    </row>
    <row r="117" spans="1:49" ht="163.19999999999999" customHeight="1" thickBot="1" x14ac:dyDescent="0.4">
      <c r="A117" s="223"/>
      <c r="B117" s="1147" t="s">
        <v>204</v>
      </c>
      <c r="C117" s="1147" t="s">
        <v>205</v>
      </c>
      <c r="D117" s="361" t="s">
        <v>162</v>
      </c>
      <c r="E117" s="429">
        <v>3.7499999999999999E-2</v>
      </c>
      <c r="F117" s="383">
        <v>2700</v>
      </c>
      <c r="G117" s="384">
        <v>675</v>
      </c>
      <c r="H117" s="385">
        <v>675</v>
      </c>
      <c r="I117" s="385">
        <v>675</v>
      </c>
      <c r="J117" s="386">
        <f t="shared" si="95"/>
        <v>0.25</v>
      </c>
      <c r="K117" s="402">
        <f t="shared" si="104"/>
        <v>0.25</v>
      </c>
      <c r="L117" s="403">
        <f>+I117/F117</f>
        <v>0.25</v>
      </c>
      <c r="M117" s="428">
        <f t="shared" si="96"/>
        <v>9.3749999999999997E-3</v>
      </c>
      <c r="N117" s="428">
        <f t="shared" si="82"/>
        <v>9.3749999999999997E-3</v>
      </c>
      <c r="O117" s="428"/>
      <c r="P117" s="384">
        <v>674</v>
      </c>
      <c r="Q117" s="443">
        <v>7</v>
      </c>
      <c r="R117" s="439">
        <v>212</v>
      </c>
      <c r="S117" s="439">
        <v>98</v>
      </c>
      <c r="T117" s="439">
        <v>244</v>
      </c>
      <c r="U117" s="439">
        <v>114</v>
      </c>
      <c r="V117" s="385">
        <f t="shared" si="105"/>
        <v>675</v>
      </c>
      <c r="W117" s="385">
        <f t="shared" si="106"/>
        <v>1541</v>
      </c>
      <c r="X117" s="439">
        <v>124</v>
      </c>
      <c r="Y117" s="439">
        <v>68</v>
      </c>
      <c r="Z117" s="385"/>
      <c r="AA117" s="385"/>
      <c r="AB117" s="385">
        <f t="shared" si="83"/>
        <v>192</v>
      </c>
      <c r="AC117" s="433">
        <f t="shared" si="97"/>
        <v>0.99851851851851847</v>
      </c>
      <c r="AD117" s="419">
        <f t="shared" si="98"/>
        <v>1</v>
      </c>
      <c r="AE117" s="419">
        <f t="shared" si="92"/>
        <v>0.28444444444444444</v>
      </c>
      <c r="AF117" s="433">
        <f t="shared" si="99"/>
        <v>3.744444444444444E-2</v>
      </c>
      <c r="AG117" s="457">
        <f t="shared" si="100"/>
        <v>3.7499999999999999E-2</v>
      </c>
      <c r="AH117" s="458">
        <f t="shared" si="84"/>
        <v>1.0666666666666666E-2</v>
      </c>
      <c r="AI117" s="457">
        <f t="shared" si="101"/>
        <v>0.24962962962962962</v>
      </c>
      <c r="AJ117" s="458">
        <v>0.49962962962962965</v>
      </c>
      <c r="AK117" s="1310">
        <f t="shared" si="94"/>
        <v>0.57074074074074077</v>
      </c>
      <c r="AL117" s="457">
        <f t="shared" si="102"/>
        <v>9.36111111111111E-3</v>
      </c>
      <c r="AM117" s="458">
        <f t="shared" si="103"/>
        <v>1.873611111111111E-2</v>
      </c>
      <c r="AN117" s="1310">
        <f t="shared" si="90"/>
        <v>2.1402777777777778E-2</v>
      </c>
      <c r="AO117" s="142" t="s">
        <v>1844</v>
      </c>
      <c r="AP117" s="634" t="s">
        <v>1885</v>
      </c>
      <c r="AQ117" s="634" t="s">
        <v>1986</v>
      </c>
      <c r="AR117" s="634" t="s">
        <v>2008</v>
      </c>
      <c r="AS117" s="634" t="s">
        <v>2106</v>
      </c>
      <c r="AT117" s="634" t="s">
        <v>2137</v>
      </c>
      <c r="AU117" s="634" t="s">
        <v>2190</v>
      </c>
      <c r="AV117" s="634" t="s">
        <v>1887</v>
      </c>
    </row>
    <row r="118" spans="1:49" ht="100.2" customHeight="1" thickBot="1" x14ac:dyDescent="0.4">
      <c r="A118" s="223"/>
      <c r="B118" s="1147" t="s">
        <v>206</v>
      </c>
      <c r="C118" s="1147" t="s">
        <v>207</v>
      </c>
      <c r="D118" s="361" t="s">
        <v>162</v>
      </c>
      <c r="E118" s="429">
        <v>0.2</v>
      </c>
      <c r="F118" s="383">
        <v>59184</v>
      </c>
      <c r="G118" s="384">
        <v>14796</v>
      </c>
      <c r="H118" s="384">
        <v>14796</v>
      </c>
      <c r="I118" s="385">
        <v>14796</v>
      </c>
      <c r="J118" s="386">
        <f t="shared" si="95"/>
        <v>0.25</v>
      </c>
      <c r="K118" s="402">
        <f t="shared" si="104"/>
        <v>0.25</v>
      </c>
      <c r="L118" s="403">
        <f>+I118/F118</f>
        <v>0.25</v>
      </c>
      <c r="M118" s="428">
        <f t="shared" si="96"/>
        <v>0.05</v>
      </c>
      <c r="N118" s="428">
        <f t="shared" si="82"/>
        <v>0.05</v>
      </c>
      <c r="O118" s="428"/>
      <c r="P118" s="384">
        <v>12957</v>
      </c>
      <c r="Q118" s="443">
        <v>1876</v>
      </c>
      <c r="R118" s="443">
        <v>3026</v>
      </c>
      <c r="S118" s="439">
        <v>2890</v>
      </c>
      <c r="T118" s="439">
        <v>1371</v>
      </c>
      <c r="U118" s="439">
        <v>1057</v>
      </c>
      <c r="V118" s="385">
        <f t="shared" si="105"/>
        <v>10220</v>
      </c>
      <c r="W118" s="385">
        <f t="shared" si="106"/>
        <v>26270</v>
      </c>
      <c r="X118" s="439">
        <v>2013</v>
      </c>
      <c r="Y118" s="439">
        <v>1080</v>
      </c>
      <c r="Z118" s="385"/>
      <c r="AA118" s="385"/>
      <c r="AB118" s="385">
        <f t="shared" si="83"/>
        <v>3093</v>
      </c>
      <c r="AC118" s="433">
        <f t="shared" si="97"/>
        <v>0.87570965125709654</v>
      </c>
      <c r="AD118" s="419">
        <f t="shared" si="98"/>
        <v>0.6907272235739389</v>
      </c>
      <c r="AE118" s="419">
        <f t="shared" si="92"/>
        <v>0.20904298459042986</v>
      </c>
      <c r="AF118" s="433">
        <f t="shared" si="99"/>
        <v>0.17514193025141933</v>
      </c>
      <c r="AG118" s="457">
        <f t="shared" si="100"/>
        <v>0.13814544471478779</v>
      </c>
      <c r="AH118" s="458">
        <f t="shared" si="84"/>
        <v>4.1808596918085972E-2</v>
      </c>
      <c r="AI118" s="457">
        <f t="shared" si="101"/>
        <v>0.21892741281427414</v>
      </c>
      <c r="AJ118" s="458">
        <v>0.39160921870775883</v>
      </c>
      <c r="AK118" s="1310">
        <f t="shared" si="94"/>
        <v>0.44386996485536634</v>
      </c>
      <c r="AL118" s="457">
        <f t="shared" si="102"/>
        <v>4.3785482562854833E-2</v>
      </c>
      <c r="AM118" s="458">
        <f t="shared" si="103"/>
        <v>7.8321843741551767E-2</v>
      </c>
      <c r="AN118" s="1310">
        <f t="shared" si="90"/>
        <v>8.8773992971073273E-2</v>
      </c>
      <c r="AO118" s="142" t="s">
        <v>1844</v>
      </c>
      <c r="AP118" s="634" t="s">
        <v>1885</v>
      </c>
      <c r="AQ118" s="634" t="s">
        <v>1986</v>
      </c>
      <c r="AR118" s="634" t="s">
        <v>2008</v>
      </c>
      <c r="AS118" s="634" t="s">
        <v>2106</v>
      </c>
      <c r="AT118" s="634" t="s">
        <v>2137</v>
      </c>
      <c r="AU118" s="634" t="s">
        <v>2190</v>
      </c>
      <c r="AV118" s="634" t="s">
        <v>1887</v>
      </c>
    </row>
    <row r="119" spans="1:49" ht="94.95" customHeight="1" thickBot="1" x14ac:dyDescent="0.4">
      <c r="A119" s="223"/>
      <c r="B119" s="1147" t="s">
        <v>208</v>
      </c>
      <c r="C119" s="1147" t="s">
        <v>209</v>
      </c>
      <c r="D119" s="361" t="s">
        <v>162</v>
      </c>
      <c r="E119" s="429">
        <v>3.7499999999999999E-2</v>
      </c>
      <c r="F119" s="383">
        <v>28</v>
      </c>
      <c r="G119" s="384">
        <v>7</v>
      </c>
      <c r="H119" s="385">
        <v>7</v>
      </c>
      <c r="I119" s="385">
        <v>7</v>
      </c>
      <c r="J119" s="386">
        <f t="shared" si="95"/>
        <v>0.25</v>
      </c>
      <c r="K119" s="402">
        <f t="shared" si="104"/>
        <v>0.25</v>
      </c>
      <c r="L119" s="403">
        <f t="shared" si="81"/>
        <v>0.25</v>
      </c>
      <c r="M119" s="428">
        <f t="shared" si="96"/>
        <v>9.3749999999999997E-3</v>
      </c>
      <c r="N119" s="428">
        <f t="shared" si="82"/>
        <v>9.3749999999999997E-3</v>
      </c>
      <c r="O119" s="428"/>
      <c r="P119" s="384">
        <v>7</v>
      </c>
      <c r="Q119" s="443">
        <v>0</v>
      </c>
      <c r="R119" s="439">
        <v>3.7</v>
      </c>
      <c r="S119" s="439">
        <v>0.69</v>
      </c>
      <c r="T119" s="439">
        <v>0.6</v>
      </c>
      <c r="U119" s="439">
        <v>2</v>
      </c>
      <c r="V119" s="449">
        <f t="shared" si="105"/>
        <v>6.99</v>
      </c>
      <c r="W119" s="385">
        <f t="shared" si="106"/>
        <v>15.88</v>
      </c>
      <c r="X119" s="439">
        <v>1.26</v>
      </c>
      <c r="Y119" s="439">
        <v>0.63</v>
      </c>
      <c r="Z119" s="385"/>
      <c r="AA119" s="385"/>
      <c r="AB119" s="385">
        <f t="shared" si="83"/>
        <v>1.8900000000000001</v>
      </c>
      <c r="AC119" s="433">
        <f t="shared" si="97"/>
        <v>1</v>
      </c>
      <c r="AD119" s="419">
        <f t="shared" si="98"/>
        <v>0.99857142857142855</v>
      </c>
      <c r="AE119" s="419">
        <f t="shared" si="92"/>
        <v>0.27</v>
      </c>
      <c r="AF119" s="433">
        <f t="shared" si="99"/>
        <v>3.7499999999999999E-2</v>
      </c>
      <c r="AG119" s="457">
        <f t="shared" si="100"/>
        <v>3.7446428571428568E-2</v>
      </c>
      <c r="AH119" s="458">
        <f t="shared" si="84"/>
        <v>1.0125E-2</v>
      </c>
      <c r="AI119" s="457">
        <f t="shared" si="101"/>
        <v>0.25</v>
      </c>
      <c r="AJ119" s="458">
        <v>0.49964285714285717</v>
      </c>
      <c r="AK119" s="1310">
        <f t="shared" si="94"/>
        <v>0.56714285714285717</v>
      </c>
      <c r="AL119" s="457">
        <f t="shared" si="102"/>
        <v>9.3749999999999997E-3</v>
      </c>
      <c r="AM119" s="458">
        <f t="shared" si="103"/>
        <v>1.8736607142857142E-2</v>
      </c>
      <c r="AN119" s="1310">
        <f t="shared" si="90"/>
        <v>2.1267857142857144E-2</v>
      </c>
      <c r="AO119" s="142" t="s">
        <v>1844</v>
      </c>
      <c r="AP119" s="634" t="s">
        <v>1885</v>
      </c>
      <c r="AQ119" s="634" t="s">
        <v>1986</v>
      </c>
      <c r="AR119" s="634" t="s">
        <v>2008</v>
      </c>
      <c r="AS119" s="634" t="s">
        <v>2106</v>
      </c>
      <c r="AT119" s="634" t="s">
        <v>2137</v>
      </c>
      <c r="AU119" s="634" t="s">
        <v>2190</v>
      </c>
      <c r="AV119" s="634" t="s">
        <v>1887</v>
      </c>
    </row>
    <row r="120" spans="1:49" ht="153.6" customHeight="1" thickBot="1" x14ac:dyDescent="0.4">
      <c r="A120" s="223"/>
      <c r="B120" s="1147" t="s">
        <v>210</v>
      </c>
      <c r="C120" s="1147" t="s">
        <v>211</v>
      </c>
      <c r="D120" s="361" t="s">
        <v>162</v>
      </c>
      <c r="E120" s="429">
        <v>0.1</v>
      </c>
      <c r="F120" s="383">
        <v>32</v>
      </c>
      <c r="G120" s="384">
        <v>4</v>
      </c>
      <c r="H120" s="385">
        <v>8</v>
      </c>
      <c r="I120" s="385">
        <v>11</v>
      </c>
      <c r="J120" s="386">
        <f t="shared" si="95"/>
        <v>0.125</v>
      </c>
      <c r="K120" s="402">
        <f t="shared" si="104"/>
        <v>0.25</v>
      </c>
      <c r="L120" s="403">
        <f t="shared" si="81"/>
        <v>0.34375</v>
      </c>
      <c r="M120" s="428">
        <f t="shared" si="96"/>
        <v>1.2500000000000001E-2</v>
      </c>
      <c r="N120" s="428">
        <f>+(H120/F120)*E120</f>
        <v>2.5000000000000001E-2</v>
      </c>
      <c r="O120" s="428"/>
      <c r="P120" s="384">
        <v>8</v>
      </c>
      <c r="Q120" s="443">
        <v>0</v>
      </c>
      <c r="R120" s="439">
        <v>12</v>
      </c>
      <c r="S120" s="439">
        <v>3</v>
      </c>
      <c r="T120" s="439">
        <v>4</v>
      </c>
      <c r="U120" s="439">
        <v>31</v>
      </c>
      <c r="V120" s="385">
        <f t="shared" si="105"/>
        <v>50</v>
      </c>
      <c r="W120" s="385">
        <f t="shared" si="106"/>
        <v>58</v>
      </c>
      <c r="X120" s="439">
        <v>0</v>
      </c>
      <c r="Y120" s="439">
        <v>0</v>
      </c>
      <c r="Z120" s="385"/>
      <c r="AA120" s="385"/>
      <c r="AB120" s="385">
        <f t="shared" si="83"/>
        <v>0</v>
      </c>
      <c r="AC120" s="433">
        <v>1</v>
      </c>
      <c r="AD120" s="419">
        <v>1</v>
      </c>
      <c r="AE120" s="419">
        <f t="shared" si="92"/>
        <v>0</v>
      </c>
      <c r="AF120" s="433">
        <f t="shared" si="99"/>
        <v>0.1</v>
      </c>
      <c r="AG120" s="457">
        <f t="shared" si="100"/>
        <v>0.1</v>
      </c>
      <c r="AH120" s="458">
        <f t="shared" si="84"/>
        <v>0</v>
      </c>
      <c r="AI120" s="457">
        <f>+P120/F120</f>
        <v>0.25</v>
      </c>
      <c r="AJ120" s="458">
        <v>1</v>
      </c>
      <c r="AK120" s="1310">
        <v>1</v>
      </c>
      <c r="AL120" s="457">
        <f t="shared" si="102"/>
        <v>2.5000000000000001E-2</v>
      </c>
      <c r="AM120" s="458">
        <f t="shared" si="103"/>
        <v>0.1</v>
      </c>
      <c r="AN120" s="1310">
        <f t="shared" si="90"/>
        <v>0.1</v>
      </c>
      <c r="AO120" s="553" t="s">
        <v>1845</v>
      </c>
      <c r="AP120" s="634" t="s">
        <v>1885</v>
      </c>
      <c r="AQ120" s="634" t="s">
        <v>1986</v>
      </c>
      <c r="AR120" s="634" t="s">
        <v>2008</v>
      </c>
      <c r="AS120" s="634" t="s">
        <v>2106</v>
      </c>
      <c r="AT120" s="634" t="s">
        <v>2137</v>
      </c>
      <c r="AU120" s="634" t="s">
        <v>2190</v>
      </c>
      <c r="AV120" s="634" t="s">
        <v>1887</v>
      </c>
    </row>
    <row r="121" spans="1:49" ht="176.4" customHeight="1" thickBot="1" x14ac:dyDescent="0.4">
      <c r="A121" s="223"/>
      <c r="B121" s="1147" t="s">
        <v>212</v>
      </c>
      <c r="C121" s="1147" t="s">
        <v>213</v>
      </c>
      <c r="D121" s="361" t="s">
        <v>162</v>
      </c>
      <c r="E121" s="429">
        <v>3.7499999999999999E-2</v>
      </c>
      <c r="F121" s="383">
        <f>72*4</f>
        <v>288</v>
      </c>
      <c r="G121" s="384">
        <v>72</v>
      </c>
      <c r="H121" s="385">
        <v>72</v>
      </c>
      <c r="I121" s="385">
        <v>72</v>
      </c>
      <c r="J121" s="386">
        <f t="shared" si="95"/>
        <v>0.25</v>
      </c>
      <c r="K121" s="402">
        <f t="shared" si="104"/>
        <v>0.25</v>
      </c>
      <c r="L121" s="403">
        <f t="shared" si="81"/>
        <v>0.25</v>
      </c>
      <c r="M121" s="428">
        <f t="shared" si="96"/>
        <v>9.3749999999999997E-3</v>
      </c>
      <c r="N121" s="428">
        <f t="shared" si="82"/>
        <v>9.3749999999999997E-3</v>
      </c>
      <c r="O121" s="428"/>
      <c r="P121" s="384">
        <v>70</v>
      </c>
      <c r="Q121" s="443">
        <v>0</v>
      </c>
      <c r="R121" s="439">
        <v>36</v>
      </c>
      <c r="S121" s="439">
        <v>30</v>
      </c>
      <c r="T121" s="439">
        <v>5</v>
      </c>
      <c r="U121" s="439">
        <f>26-T121</f>
        <v>21</v>
      </c>
      <c r="V121" s="385">
        <f t="shared" si="105"/>
        <v>92</v>
      </c>
      <c r="W121" s="385">
        <f t="shared" si="106"/>
        <v>191</v>
      </c>
      <c r="X121" s="439">
        <v>18</v>
      </c>
      <c r="Y121" s="439">
        <v>11</v>
      </c>
      <c r="Z121" s="385"/>
      <c r="AA121" s="385"/>
      <c r="AB121" s="385">
        <f t="shared" si="83"/>
        <v>29</v>
      </c>
      <c r="AC121" s="433">
        <f t="shared" si="97"/>
        <v>0.97222222222222221</v>
      </c>
      <c r="AD121" s="419">
        <v>1</v>
      </c>
      <c r="AE121" s="419">
        <f t="shared" si="92"/>
        <v>0.40277777777777779</v>
      </c>
      <c r="AF121" s="433">
        <f t="shared" si="99"/>
        <v>3.6458333333333329E-2</v>
      </c>
      <c r="AG121" s="457">
        <f t="shared" si="100"/>
        <v>3.7499999999999999E-2</v>
      </c>
      <c r="AH121" s="458">
        <f t="shared" si="84"/>
        <v>1.5104166666666667E-2</v>
      </c>
      <c r="AI121" s="457">
        <f t="shared" si="101"/>
        <v>0.24305555555555555</v>
      </c>
      <c r="AJ121" s="458">
        <v>0.5625</v>
      </c>
      <c r="AK121" s="1310">
        <f t="shared" si="94"/>
        <v>0.66319444444444442</v>
      </c>
      <c r="AL121" s="457">
        <f t="shared" si="102"/>
        <v>9.1145833333333322E-3</v>
      </c>
      <c r="AM121" s="458">
        <f t="shared" si="103"/>
        <v>2.1093749999999998E-2</v>
      </c>
      <c r="AN121" s="1310">
        <f t="shared" si="90"/>
        <v>2.4869791666666665E-2</v>
      </c>
      <c r="AO121" s="553" t="s">
        <v>1844</v>
      </c>
      <c r="AP121" s="634" t="s">
        <v>1885</v>
      </c>
      <c r="AQ121" s="634" t="s">
        <v>1986</v>
      </c>
      <c r="AR121" s="634" t="s">
        <v>2008</v>
      </c>
      <c r="AS121" s="634" t="s">
        <v>2106</v>
      </c>
      <c r="AT121" s="634" t="s">
        <v>2137</v>
      </c>
      <c r="AU121" s="634" t="s">
        <v>2190</v>
      </c>
      <c r="AV121" s="634" t="s">
        <v>1887</v>
      </c>
    </row>
    <row r="122" spans="1:49" ht="114.6" customHeight="1" thickBot="1" x14ac:dyDescent="0.4">
      <c r="A122" s="223"/>
      <c r="B122" s="1147" t="s">
        <v>214</v>
      </c>
      <c r="C122" s="1147" t="s">
        <v>215</v>
      </c>
      <c r="D122" s="361" t="s">
        <v>162</v>
      </c>
      <c r="E122" s="429">
        <v>3.7499999999999999E-2</v>
      </c>
      <c r="F122" s="383">
        <v>300</v>
      </c>
      <c r="G122" s="384">
        <v>75</v>
      </c>
      <c r="H122" s="385">
        <v>75</v>
      </c>
      <c r="I122" s="385">
        <v>75</v>
      </c>
      <c r="J122" s="386">
        <f t="shared" si="95"/>
        <v>0.25</v>
      </c>
      <c r="K122" s="402">
        <f t="shared" si="104"/>
        <v>0.25</v>
      </c>
      <c r="L122" s="403">
        <f t="shared" si="81"/>
        <v>0.25</v>
      </c>
      <c r="M122" s="428">
        <f t="shared" si="96"/>
        <v>9.3749999999999997E-3</v>
      </c>
      <c r="N122" s="428">
        <f t="shared" si="82"/>
        <v>9.3749999999999997E-3</v>
      </c>
      <c r="O122" s="428"/>
      <c r="P122" s="384">
        <v>75</v>
      </c>
      <c r="Q122" s="443">
        <v>0</v>
      </c>
      <c r="R122" s="439">
        <v>20</v>
      </c>
      <c r="S122" s="439">
        <v>32</v>
      </c>
      <c r="T122" s="439">
        <v>18</v>
      </c>
      <c r="U122" s="439">
        <v>12</v>
      </c>
      <c r="V122" s="385">
        <f t="shared" si="105"/>
        <v>82</v>
      </c>
      <c r="W122" s="385">
        <f t="shared" si="106"/>
        <v>177</v>
      </c>
      <c r="X122" s="439">
        <v>19</v>
      </c>
      <c r="Y122" s="439">
        <v>1</v>
      </c>
      <c r="Z122" s="385"/>
      <c r="AA122" s="385"/>
      <c r="AB122" s="385">
        <f t="shared" si="83"/>
        <v>20</v>
      </c>
      <c r="AC122" s="433">
        <f t="shared" si="97"/>
        <v>1</v>
      </c>
      <c r="AD122" s="419">
        <v>1</v>
      </c>
      <c r="AE122" s="419">
        <f t="shared" si="92"/>
        <v>0.26666666666666666</v>
      </c>
      <c r="AF122" s="433">
        <f t="shared" si="99"/>
        <v>3.7499999999999999E-2</v>
      </c>
      <c r="AG122" s="457">
        <f>+AD122*E122</f>
        <v>3.7499999999999999E-2</v>
      </c>
      <c r="AH122" s="458">
        <f t="shared" si="84"/>
        <v>0.01</v>
      </c>
      <c r="AI122" s="457">
        <f t="shared" si="101"/>
        <v>0.25</v>
      </c>
      <c r="AJ122" s="458">
        <v>0.52333333333333332</v>
      </c>
      <c r="AK122" s="1310">
        <f t="shared" si="94"/>
        <v>0.59</v>
      </c>
      <c r="AL122" s="457">
        <f t="shared" si="102"/>
        <v>9.3749999999999997E-3</v>
      </c>
      <c r="AM122" s="458">
        <f t="shared" si="103"/>
        <v>1.9625E-2</v>
      </c>
      <c r="AN122" s="1310">
        <f t="shared" si="90"/>
        <v>2.2124999999999999E-2</v>
      </c>
      <c r="AO122" s="553" t="s">
        <v>1844</v>
      </c>
      <c r="AP122" s="634" t="s">
        <v>1885</v>
      </c>
      <c r="AQ122" s="634" t="s">
        <v>1986</v>
      </c>
      <c r="AR122" s="634" t="s">
        <v>2008</v>
      </c>
      <c r="AS122" s="634" t="s">
        <v>2106</v>
      </c>
      <c r="AT122" s="634" t="s">
        <v>2137</v>
      </c>
      <c r="AU122" s="634" t="s">
        <v>2190</v>
      </c>
      <c r="AV122" s="634" t="s">
        <v>1887</v>
      </c>
    </row>
    <row r="123" spans="1:49" ht="105.6" customHeight="1" thickBot="1" x14ac:dyDescent="0.4">
      <c r="A123" s="223"/>
      <c r="B123" s="1147" t="s">
        <v>216</v>
      </c>
      <c r="C123" s="1147" t="s">
        <v>217</v>
      </c>
      <c r="D123" s="361" t="s">
        <v>162</v>
      </c>
      <c r="E123" s="429">
        <v>3.7499999999999999E-2</v>
      </c>
      <c r="F123" s="383">
        <v>300</v>
      </c>
      <c r="G123" s="384">
        <v>75</v>
      </c>
      <c r="H123" s="385">
        <v>75</v>
      </c>
      <c r="I123" s="385">
        <v>75</v>
      </c>
      <c r="J123" s="386">
        <f t="shared" si="95"/>
        <v>0.25</v>
      </c>
      <c r="K123" s="402">
        <f t="shared" si="104"/>
        <v>0.25</v>
      </c>
      <c r="L123" s="403">
        <f t="shared" si="81"/>
        <v>0.25</v>
      </c>
      <c r="M123" s="428">
        <f t="shared" si="96"/>
        <v>9.3749999999999997E-3</v>
      </c>
      <c r="N123" s="428">
        <f t="shared" si="82"/>
        <v>9.3749999999999997E-3</v>
      </c>
      <c r="O123" s="428"/>
      <c r="P123" s="384">
        <v>75</v>
      </c>
      <c r="Q123" s="443">
        <v>0</v>
      </c>
      <c r="R123" s="439">
        <v>19</v>
      </c>
      <c r="S123" s="439">
        <v>37</v>
      </c>
      <c r="T123" s="439">
        <v>18</v>
      </c>
      <c r="U123" s="439">
        <v>11</v>
      </c>
      <c r="V123" s="385">
        <f t="shared" si="105"/>
        <v>85</v>
      </c>
      <c r="W123" s="385">
        <f t="shared" si="106"/>
        <v>203</v>
      </c>
      <c r="X123" s="439">
        <v>26</v>
      </c>
      <c r="Y123" s="439">
        <v>17</v>
      </c>
      <c r="Z123" s="385"/>
      <c r="AA123" s="385"/>
      <c r="AB123" s="385">
        <f t="shared" si="83"/>
        <v>43</v>
      </c>
      <c r="AC123" s="433">
        <f t="shared" si="97"/>
        <v>1</v>
      </c>
      <c r="AD123" s="419">
        <v>1</v>
      </c>
      <c r="AE123" s="419">
        <f t="shared" si="92"/>
        <v>0.57333333333333336</v>
      </c>
      <c r="AF123" s="433">
        <f t="shared" si="99"/>
        <v>3.7499999999999999E-2</v>
      </c>
      <c r="AG123" s="457">
        <f t="shared" si="100"/>
        <v>3.7499999999999999E-2</v>
      </c>
      <c r="AH123" s="458">
        <f t="shared" si="84"/>
        <v>2.1500000000000002E-2</v>
      </c>
      <c r="AI123" s="457">
        <f t="shared" si="101"/>
        <v>0.25</v>
      </c>
      <c r="AJ123" s="458">
        <v>0.53333333333333333</v>
      </c>
      <c r="AK123" s="1310">
        <f t="shared" si="94"/>
        <v>0.67666666666666664</v>
      </c>
      <c r="AL123" s="457">
        <f t="shared" si="102"/>
        <v>9.3749999999999997E-3</v>
      </c>
      <c r="AM123" s="458">
        <f t="shared" si="103"/>
        <v>0.02</v>
      </c>
      <c r="AN123" s="1310">
        <f t="shared" si="90"/>
        <v>2.5374999999999998E-2</v>
      </c>
      <c r="AO123" s="553" t="s">
        <v>1844</v>
      </c>
      <c r="AP123" s="634" t="s">
        <v>1885</v>
      </c>
      <c r="AQ123" s="634" t="s">
        <v>1986</v>
      </c>
      <c r="AR123" s="634" t="s">
        <v>2008</v>
      </c>
      <c r="AS123" s="634" t="s">
        <v>2106</v>
      </c>
      <c r="AT123" s="634" t="s">
        <v>2137</v>
      </c>
      <c r="AU123" s="634" t="s">
        <v>2190</v>
      </c>
      <c r="AV123" s="634" t="s">
        <v>1887</v>
      </c>
    </row>
    <row r="124" spans="1:49" ht="92.4" customHeight="1" thickBot="1" x14ac:dyDescent="0.4">
      <c r="A124" s="223"/>
      <c r="B124" s="1147" t="s">
        <v>218</v>
      </c>
      <c r="C124" s="1147" t="s">
        <v>219</v>
      </c>
      <c r="D124" s="361" t="s">
        <v>162</v>
      </c>
      <c r="E124" s="429">
        <v>3.7499999999999999E-2</v>
      </c>
      <c r="F124" s="383">
        <v>720</v>
      </c>
      <c r="G124" s="384">
        <v>180</v>
      </c>
      <c r="H124" s="385">
        <v>180</v>
      </c>
      <c r="I124" s="385">
        <v>180</v>
      </c>
      <c r="J124" s="386">
        <f t="shared" si="95"/>
        <v>0.25</v>
      </c>
      <c r="K124" s="402">
        <f t="shared" si="104"/>
        <v>0.25</v>
      </c>
      <c r="L124" s="403">
        <f>+I124/F124</f>
        <v>0.25</v>
      </c>
      <c r="M124" s="428">
        <f t="shared" si="96"/>
        <v>9.3749999999999997E-3</v>
      </c>
      <c r="N124" s="428">
        <f t="shared" si="82"/>
        <v>9.3749999999999997E-3</v>
      </c>
      <c r="O124" s="428"/>
      <c r="P124" s="384">
        <v>224</v>
      </c>
      <c r="Q124" s="443">
        <v>3</v>
      </c>
      <c r="R124" s="439">
        <v>76</v>
      </c>
      <c r="S124" s="439">
        <v>48</v>
      </c>
      <c r="T124" s="439">
        <v>39</v>
      </c>
      <c r="U124" s="439">
        <v>14</v>
      </c>
      <c r="V124" s="385">
        <f t="shared" si="105"/>
        <v>180</v>
      </c>
      <c r="W124" s="385">
        <f>+V124+P124+AB124</f>
        <v>434</v>
      </c>
      <c r="X124" s="439">
        <v>19</v>
      </c>
      <c r="Y124" s="439">
        <v>11</v>
      </c>
      <c r="Z124" s="385"/>
      <c r="AA124" s="385"/>
      <c r="AB124" s="385">
        <f t="shared" si="83"/>
        <v>30</v>
      </c>
      <c r="AC124" s="433">
        <v>1</v>
      </c>
      <c r="AD124" s="419">
        <f>+V124/H124</f>
        <v>1</v>
      </c>
      <c r="AE124" s="419">
        <f t="shared" si="92"/>
        <v>0.16666666666666666</v>
      </c>
      <c r="AF124" s="433">
        <f>+AC124*E124</f>
        <v>3.7499999999999999E-2</v>
      </c>
      <c r="AG124" s="457">
        <f t="shared" si="100"/>
        <v>3.7499999999999999E-2</v>
      </c>
      <c r="AH124" s="459">
        <f t="shared" si="84"/>
        <v>6.2499999999999995E-3</v>
      </c>
      <c r="AI124" s="457">
        <f t="shared" si="101"/>
        <v>0.31111111111111112</v>
      </c>
      <c r="AJ124" s="459">
        <v>0.56111111111111112</v>
      </c>
      <c r="AK124" s="1310">
        <f t="shared" si="94"/>
        <v>0.60277777777777775</v>
      </c>
      <c r="AL124" s="457">
        <f>+AI124*E124</f>
        <v>1.1666666666666667E-2</v>
      </c>
      <c r="AM124" s="458">
        <f t="shared" si="103"/>
        <v>2.1041666666666667E-2</v>
      </c>
      <c r="AN124" s="404">
        <f t="shared" si="90"/>
        <v>2.2604166666666665E-2</v>
      </c>
      <c r="AO124" s="553" t="s">
        <v>1844</v>
      </c>
      <c r="AP124" s="634" t="s">
        <v>1885</v>
      </c>
      <c r="AQ124" s="634" t="s">
        <v>1986</v>
      </c>
      <c r="AR124" s="634" t="s">
        <v>2008</v>
      </c>
      <c r="AS124" s="634" t="s">
        <v>2106</v>
      </c>
      <c r="AT124" s="634" t="s">
        <v>2137</v>
      </c>
      <c r="AU124" s="634" t="s">
        <v>2137</v>
      </c>
      <c r="AV124" s="634" t="s">
        <v>1887</v>
      </c>
    </row>
    <row r="125" spans="1:49" ht="99" customHeight="1" thickBot="1" x14ac:dyDescent="0.45">
      <c r="A125" s="223"/>
      <c r="B125" s="1295" t="s">
        <v>1607</v>
      </c>
      <c r="C125" s="1292"/>
      <c r="D125" s="361"/>
      <c r="E125" s="379">
        <v>0.05</v>
      </c>
      <c r="F125" s="382"/>
      <c r="G125" s="384"/>
      <c r="H125" s="385"/>
      <c r="I125" s="385"/>
      <c r="J125" s="381">
        <f>+AVERAGE(J126:J129)</f>
        <v>0.25</v>
      </c>
      <c r="K125" s="401">
        <f>+AVERAGE(K126:K129)</f>
        <v>0.25</v>
      </c>
      <c r="L125" s="453">
        <f>+AVERAGE(L126:L129)</f>
        <v>0.25</v>
      </c>
      <c r="M125" s="381">
        <f>+M126+M127+M128+M129</f>
        <v>0.15</v>
      </c>
      <c r="N125" s="381">
        <f>+N126+N127+N128+N129</f>
        <v>0.15</v>
      </c>
      <c r="O125" s="381"/>
      <c r="P125" s="382"/>
      <c r="Q125" s="388"/>
      <c r="R125" s="388"/>
      <c r="S125" s="388"/>
      <c r="T125" s="388"/>
      <c r="U125" s="833"/>
      <c r="V125" s="388"/>
      <c r="W125" s="388"/>
      <c r="X125" s="385"/>
      <c r="Y125" s="385"/>
      <c r="Z125" s="385"/>
      <c r="AA125" s="385"/>
      <c r="AB125" s="385"/>
      <c r="AC125" s="441">
        <f>+AVERAGE(AC126:AC129)</f>
        <v>1</v>
      </c>
      <c r="AD125" s="441">
        <f>+AVERAGE(AD126:AD129)</f>
        <v>1</v>
      </c>
      <c r="AE125" s="441">
        <f>+AVERAGE(AE126:AE129)</f>
        <v>0.6</v>
      </c>
      <c r="AF125" s="441">
        <f>+(AF126+AF127+AF128+AF129)*E125</f>
        <v>0.03</v>
      </c>
      <c r="AG125" s="460">
        <f>+(AG126+AG127+AG128+AG129)*F125</f>
        <v>0</v>
      </c>
      <c r="AH125" s="882">
        <f>+(AH126+AH127+AH128+AH129)*E125</f>
        <v>1.7999999999999999E-2</v>
      </c>
      <c r="AI125" s="401">
        <f>+AVERAGE(AI126:AI129)</f>
        <v>0.25</v>
      </c>
      <c r="AJ125" s="461">
        <v>0.3125</v>
      </c>
      <c r="AK125" s="461">
        <f>+AJ125+((AK127-AJ127)/4)</f>
        <v>0.35</v>
      </c>
      <c r="AL125" s="401">
        <f>+(AL126+AL127+AL128+AL129)*E125</f>
        <v>7.4999999999999997E-3</v>
      </c>
      <c r="AM125" s="453">
        <f>+(AM126+AM127+AM128+AM129)</f>
        <v>0.3</v>
      </c>
      <c r="AN125" s="453">
        <f>+(AN126+AN127+AN128+AN129)</f>
        <v>0.39</v>
      </c>
      <c r="AO125" s="136"/>
      <c r="AP125" s="539" t="s">
        <v>1959</v>
      </c>
      <c r="AQ125" s="359"/>
      <c r="AR125" s="539" t="s">
        <v>1959</v>
      </c>
      <c r="AS125" s="359"/>
      <c r="AT125" s="359"/>
      <c r="AU125" s="158"/>
      <c r="AV125" s="158"/>
    </row>
    <row r="126" spans="1:49" ht="118.2" customHeight="1" thickBot="1" x14ac:dyDescent="0.4">
      <c r="A126" s="223"/>
      <c r="B126" s="1147" t="s">
        <v>220</v>
      </c>
      <c r="C126" s="1147" t="s">
        <v>221</v>
      </c>
      <c r="D126" s="361" t="s">
        <v>222</v>
      </c>
      <c r="E126" s="269">
        <v>0.1</v>
      </c>
      <c r="F126" s="383">
        <v>1</v>
      </c>
      <c r="G126" s="384">
        <v>0</v>
      </c>
      <c r="H126" s="385">
        <v>0</v>
      </c>
      <c r="I126" s="385">
        <v>0</v>
      </c>
      <c r="J126" s="386"/>
      <c r="K126" s="402"/>
      <c r="L126" s="884"/>
      <c r="M126" s="428"/>
      <c r="N126" s="428"/>
      <c r="O126" s="428"/>
      <c r="P126" s="384"/>
      <c r="Q126" s="443"/>
      <c r="R126" s="439"/>
      <c r="S126" s="439"/>
      <c r="T126" s="439"/>
      <c r="U126" s="439"/>
      <c r="V126" s="385">
        <f>+Q126+R126+S126+T126+U126</f>
        <v>0</v>
      </c>
      <c r="W126" s="385">
        <f>+V126+P126+AB126</f>
        <v>0</v>
      </c>
      <c r="X126" s="439"/>
      <c r="Y126" s="439"/>
      <c r="Z126" s="385"/>
      <c r="AA126" s="385"/>
      <c r="AB126" s="385">
        <f t="shared" si="83"/>
        <v>0</v>
      </c>
      <c r="AC126" s="427"/>
      <c r="AD126" s="428"/>
      <c r="AE126" s="428"/>
      <c r="AF126" s="427"/>
      <c r="AG126" s="465"/>
      <c r="AH126" s="1320"/>
      <c r="AI126" s="402"/>
      <c r="AJ126" s="462">
        <v>0</v>
      </c>
      <c r="AK126" s="1321">
        <f t="shared" si="94"/>
        <v>0</v>
      </c>
      <c r="AL126" s="457"/>
      <c r="AM126" s="458"/>
      <c r="AN126" s="1310">
        <f t="shared" si="90"/>
        <v>0</v>
      </c>
      <c r="AO126" s="142" t="s">
        <v>1844</v>
      </c>
      <c r="AP126" s="634" t="s">
        <v>1885</v>
      </c>
      <c r="AQ126" s="634" t="s">
        <v>1986</v>
      </c>
      <c r="AR126" s="634" t="s">
        <v>2008</v>
      </c>
      <c r="AS126" s="634" t="s">
        <v>2106</v>
      </c>
      <c r="AT126" s="634" t="s">
        <v>2137</v>
      </c>
      <c r="AU126" s="634" t="s">
        <v>2190</v>
      </c>
      <c r="AV126" s="634" t="s">
        <v>1887</v>
      </c>
      <c r="AW126" s="634" t="s">
        <v>2294</v>
      </c>
    </row>
    <row r="127" spans="1:49" ht="117" customHeight="1" thickBot="1" x14ac:dyDescent="0.4">
      <c r="A127" s="223"/>
      <c r="B127" s="1147" t="s">
        <v>223</v>
      </c>
      <c r="C127" s="1147" t="s">
        <v>224</v>
      </c>
      <c r="D127" s="361" t="s">
        <v>222</v>
      </c>
      <c r="E127" s="269">
        <v>0.6</v>
      </c>
      <c r="F127" s="383">
        <v>4</v>
      </c>
      <c r="G127" s="384">
        <v>1</v>
      </c>
      <c r="H127" s="385">
        <v>1</v>
      </c>
      <c r="I127" s="385">
        <v>1</v>
      </c>
      <c r="J127" s="386">
        <f>+G127/F127</f>
        <v>0.25</v>
      </c>
      <c r="K127" s="402">
        <f t="shared" ref="K127" si="111">+H127/F127</f>
        <v>0.25</v>
      </c>
      <c r="L127" s="884">
        <f t="shared" ref="L127" si="112">+I127/F127</f>
        <v>0.25</v>
      </c>
      <c r="M127" s="428">
        <f>+(G127/F127)*E127</f>
        <v>0.15</v>
      </c>
      <c r="N127" s="428">
        <f>+(H127/F127)*E127</f>
        <v>0.15</v>
      </c>
      <c r="O127" s="428"/>
      <c r="P127" s="384">
        <v>1</v>
      </c>
      <c r="Q127" s="443">
        <v>0.4</v>
      </c>
      <c r="R127" s="439">
        <v>0.1</v>
      </c>
      <c r="S127" s="439">
        <v>0.4</v>
      </c>
      <c r="T127" s="439">
        <v>0.1</v>
      </c>
      <c r="U127" s="439">
        <v>0</v>
      </c>
      <c r="V127" s="385">
        <f t="shared" ref="V127:V129" si="113">+Q127+R127+S127+T127+U127</f>
        <v>1</v>
      </c>
      <c r="W127" s="385">
        <f>+V127+P127+AB127</f>
        <v>2.6</v>
      </c>
      <c r="X127" s="439">
        <v>0.3</v>
      </c>
      <c r="Y127" s="439">
        <v>0.3</v>
      </c>
      <c r="Z127" s="385"/>
      <c r="AA127" s="385"/>
      <c r="AB127" s="385">
        <f t="shared" si="83"/>
        <v>0.6</v>
      </c>
      <c r="AC127" s="427">
        <f>+(P127/G127)</f>
        <v>1</v>
      </c>
      <c r="AD127" s="428">
        <f t="shared" ref="AD127" si="114">+V127/H127</f>
        <v>1</v>
      </c>
      <c r="AE127" s="428">
        <f t="shared" si="92"/>
        <v>0.6</v>
      </c>
      <c r="AF127" s="427">
        <f>+AC127*E127</f>
        <v>0.6</v>
      </c>
      <c r="AG127" s="465">
        <f t="shared" si="100"/>
        <v>0.6</v>
      </c>
      <c r="AH127" s="1322">
        <f t="shared" si="84"/>
        <v>0.36</v>
      </c>
      <c r="AI127" s="402">
        <f>+P127/F127</f>
        <v>0.25</v>
      </c>
      <c r="AJ127" s="403">
        <v>0.5</v>
      </c>
      <c r="AK127" s="1045">
        <f t="shared" si="94"/>
        <v>0.65</v>
      </c>
      <c r="AL127" s="457">
        <f>+AI127*E127</f>
        <v>0.15</v>
      </c>
      <c r="AM127" s="458">
        <f>+AJ127*E127</f>
        <v>0.3</v>
      </c>
      <c r="AN127" s="1310">
        <f t="shared" si="90"/>
        <v>0.39</v>
      </c>
      <c r="AO127" s="142" t="s">
        <v>1844</v>
      </c>
      <c r="AP127" s="634" t="s">
        <v>1885</v>
      </c>
      <c r="AQ127" s="634" t="s">
        <v>1986</v>
      </c>
      <c r="AR127" s="634" t="s">
        <v>2008</v>
      </c>
      <c r="AS127" s="634" t="s">
        <v>2106</v>
      </c>
      <c r="AT127" s="634" t="s">
        <v>2137</v>
      </c>
      <c r="AU127" s="634" t="s">
        <v>2190</v>
      </c>
      <c r="AV127" s="634" t="s">
        <v>1887</v>
      </c>
      <c r="AW127" s="634" t="s">
        <v>2294</v>
      </c>
    </row>
    <row r="128" spans="1:49" ht="90" customHeight="1" thickBot="1" x14ac:dyDescent="0.4">
      <c r="A128" s="223"/>
      <c r="B128" s="1147" t="s">
        <v>225</v>
      </c>
      <c r="C128" s="1147" t="s">
        <v>226</v>
      </c>
      <c r="D128" s="361" t="s">
        <v>222</v>
      </c>
      <c r="E128" s="269">
        <v>0.2</v>
      </c>
      <c r="F128" s="383">
        <v>1</v>
      </c>
      <c r="G128" s="384">
        <v>0</v>
      </c>
      <c r="H128" s="385">
        <v>0</v>
      </c>
      <c r="I128" s="385">
        <v>0</v>
      </c>
      <c r="J128" s="386"/>
      <c r="K128" s="402"/>
      <c r="L128" s="884"/>
      <c r="M128" s="428"/>
      <c r="N128" s="428"/>
      <c r="O128" s="428"/>
      <c r="P128" s="384"/>
      <c r="Q128" s="443"/>
      <c r="R128" s="439"/>
      <c r="S128" s="439"/>
      <c r="T128" s="439"/>
      <c r="U128" s="439"/>
      <c r="V128" s="385">
        <f t="shared" si="113"/>
        <v>0</v>
      </c>
      <c r="W128" s="385">
        <f t="shared" ref="W128:W129" si="115">+V128+P128+AB128</f>
        <v>0</v>
      </c>
      <c r="X128" s="439"/>
      <c r="Y128" s="439"/>
      <c r="Z128" s="385"/>
      <c r="AA128" s="385"/>
      <c r="AB128" s="385">
        <f t="shared" si="83"/>
        <v>0</v>
      </c>
      <c r="AC128" s="427"/>
      <c r="AD128" s="428"/>
      <c r="AE128" s="428"/>
      <c r="AF128" s="427"/>
      <c r="AG128" s="465"/>
      <c r="AH128" s="1322"/>
      <c r="AI128" s="402"/>
      <c r="AJ128" s="403">
        <v>0</v>
      </c>
      <c r="AK128" s="1045">
        <f t="shared" si="94"/>
        <v>0</v>
      </c>
      <c r="AL128" s="457"/>
      <c r="AM128" s="458"/>
      <c r="AN128" s="1310">
        <f t="shared" si="90"/>
        <v>0</v>
      </c>
      <c r="AO128" s="142" t="s">
        <v>1844</v>
      </c>
      <c r="AP128" s="634" t="s">
        <v>1885</v>
      </c>
      <c r="AQ128" s="634" t="s">
        <v>1986</v>
      </c>
      <c r="AR128" s="634" t="s">
        <v>2008</v>
      </c>
      <c r="AS128" s="634" t="s">
        <v>2106</v>
      </c>
      <c r="AT128" s="634" t="s">
        <v>2137</v>
      </c>
      <c r="AU128" s="634" t="s">
        <v>2190</v>
      </c>
      <c r="AV128" s="634" t="s">
        <v>1887</v>
      </c>
      <c r="AW128" s="634" t="s">
        <v>2294</v>
      </c>
    </row>
    <row r="129" spans="1:49" ht="75.599999999999994" customHeight="1" thickBot="1" x14ac:dyDescent="0.4">
      <c r="A129" s="223"/>
      <c r="B129" s="1147" t="s">
        <v>227</v>
      </c>
      <c r="C129" s="1147" t="s">
        <v>228</v>
      </c>
      <c r="D129" s="361" t="s">
        <v>222</v>
      </c>
      <c r="E129" s="269">
        <v>0.1</v>
      </c>
      <c r="F129" s="383">
        <v>1</v>
      </c>
      <c r="G129" s="384">
        <v>0</v>
      </c>
      <c r="H129" s="385">
        <v>0</v>
      </c>
      <c r="I129" s="385">
        <v>0</v>
      </c>
      <c r="J129" s="386"/>
      <c r="K129" s="402"/>
      <c r="L129" s="884"/>
      <c r="M129" s="428"/>
      <c r="N129" s="428"/>
      <c r="O129" s="428"/>
      <c r="P129" s="384"/>
      <c r="Q129" s="443"/>
      <c r="R129" s="439"/>
      <c r="S129" s="439"/>
      <c r="T129" s="439"/>
      <c r="U129" s="439"/>
      <c r="V129" s="385">
        <f t="shared" si="113"/>
        <v>0</v>
      </c>
      <c r="W129" s="385">
        <f t="shared" si="115"/>
        <v>0</v>
      </c>
      <c r="X129" s="439"/>
      <c r="Y129" s="439"/>
      <c r="Z129" s="385"/>
      <c r="AA129" s="385"/>
      <c r="AB129" s="385">
        <f t="shared" si="83"/>
        <v>0</v>
      </c>
      <c r="AC129" s="427"/>
      <c r="AD129" s="428"/>
      <c r="AE129" s="428"/>
      <c r="AF129" s="427"/>
      <c r="AG129" s="465"/>
      <c r="AH129" s="1323"/>
      <c r="AI129" s="402"/>
      <c r="AJ129" s="463">
        <v>0</v>
      </c>
      <c r="AK129" s="1324">
        <f t="shared" si="94"/>
        <v>0</v>
      </c>
      <c r="AL129" s="457"/>
      <c r="AM129" s="458"/>
      <c r="AN129" s="1310">
        <f t="shared" si="90"/>
        <v>0</v>
      </c>
      <c r="AO129" s="142" t="s">
        <v>1844</v>
      </c>
      <c r="AP129" s="634" t="s">
        <v>1885</v>
      </c>
      <c r="AQ129" s="634" t="s">
        <v>1986</v>
      </c>
      <c r="AR129" s="634" t="s">
        <v>2008</v>
      </c>
      <c r="AS129" s="634" t="s">
        <v>2106</v>
      </c>
      <c r="AT129" s="634" t="s">
        <v>2137</v>
      </c>
      <c r="AU129" s="634" t="s">
        <v>2190</v>
      </c>
      <c r="AV129" s="634" t="s">
        <v>1887</v>
      </c>
      <c r="AW129" s="634" t="s">
        <v>2294</v>
      </c>
    </row>
    <row r="130" spans="1:49" ht="147" customHeight="1" thickBot="1" x14ac:dyDescent="0.45">
      <c r="A130" s="223"/>
      <c r="B130" s="1296" t="s">
        <v>229</v>
      </c>
      <c r="C130" s="1292"/>
      <c r="D130" s="358"/>
      <c r="E130" s="391">
        <v>0.2</v>
      </c>
      <c r="F130" s="391">
        <f>+E130*AF130</f>
        <v>0.13438738197424893</v>
      </c>
      <c r="G130" s="382"/>
      <c r="H130" s="391">
        <f>E130*AG130</f>
        <v>0.18170884995371539</v>
      </c>
      <c r="I130" s="391">
        <f>+E130*AH130</f>
        <v>8.7328195234379055E-2</v>
      </c>
      <c r="J130" s="376">
        <f>+(J131+J140+J143+J148+J153+J160+J166)/6</f>
        <v>0.3193759495300631</v>
      </c>
      <c r="K130" s="456">
        <f>+(K131+K140+K143+K148+K153+K160+K166)/7</f>
        <v>0.36067241266804129</v>
      </c>
      <c r="L130" s="452">
        <f>+(L131+L140+L143+L148+L153+L160+L166)/7</f>
        <v>0.28501877948421306</v>
      </c>
      <c r="M130" s="431">
        <f>+(M131+M140+M143+M148+M153+M160+M166)/6</f>
        <v>0.17451004248744692</v>
      </c>
      <c r="N130" s="431">
        <f>+(N131+N140+N143+N148+N153+N160+N166)/7</f>
        <v>0.31558347607692649</v>
      </c>
      <c r="O130" s="431"/>
      <c r="P130" s="382"/>
      <c r="Q130" s="542"/>
      <c r="R130" s="388"/>
      <c r="S130" s="388"/>
      <c r="T130" s="388"/>
      <c r="U130" s="833"/>
      <c r="V130" s="388"/>
      <c r="W130" s="388"/>
      <c r="X130" s="385"/>
      <c r="Y130" s="385"/>
      <c r="Z130" s="385"/>
      <c r="AA130" s="385"/>
      <c r="AB130" s="385"/>
      <c r="AC130" s="376">
        <f>+(AC131+AC140+AC143+AC148+AC153+AC160+AC166)/6</f>
        <v>0.73629960790547333</v>
      </c>
      <c r="AD130" s="376">
        <f>+(AD131+AD140+AD143+AD148+AD153+AD160+AD166)/7</f>
        <v>0.95449776895021254</v>
      </c>
      <c r="AE130" s="376">
        <f>+(AE131+AE140+AE143+AE148+AE153+AE160+AE166)/7</f>
        <v>0.4866977550843446</v>
      </c>
      <c r="AF130" s="431">
        <f>+AF131+AF140+AF143+AF148+AF153+AF160+AF166</f>
        <v>0.67193690987124466</v>
      </c>
      <c r="AG130" s="870">
        <f>+AG131+AG140+AG143+AG148+AG153+AG160+AG166</f>
        <v>0.90854424976857695</v>
      </c>
      <c r="AH130" s="1325">
        <f>+AH131+AH140+AH143+AH148+AH153+AH160+AH166</f>
        <v>0.43664097617189523</v>
      </c>
      <c r="AI130" s="456">
        <f>+(AI131+AI140+AI143+AI148+AI153+AI160+AI166)/6</f>
        <v>0.24621230380461609</v>
      </c>
      <c r="AJ130" s="467">
        <v>0.53900494378103292</v>
      </c>
      <c r="AK130" s="467">
        <f>+(AK131+AK140+AK143+AK148+AK153+AK160+AK166)/7</f>
        <v>0.63822934309092427</v>
      </c>
      <c r="AL130" s="466">
        <f>+AL131+AL140+AL143+AL148+AL153+AL160+AL166</f>
        <v>0.18458001541682623</v>
      </c>
      <c r="AM130" s="556">
        <f>+(AM131*E131)+(AM140*E140)+(AM143*E143)+(AM148*E148)+(AM153*E153)+(AM160*E160)+(AM166*E166)</f>
        <v>0.47851879245993212</v>
      </c>
      <c r="AN130" s="556">
        <f>+(AN131*E131)+(AN140*E140)+(AN143*E143)+(AN148*E148)+(AN153*E153)+(AN160*E160)+(AN166*E166)</f>
        <v>0.58942016663062069</v>
      </c>
      <c r="AO130" s="148"/>
      <c r="AP130" s="148"/>
      <c r="AQ130" s="359"/>
      <c r="AR130" s="359"/>
      <c r="AS130" s="359"/>
      <c r="AT130" s="359"/>
      <c r="AU130" s="158"/>
      <c r="AV130" s="158"/>
    </row>
    <row r="131" spans="1:49" ht="86.25" customHeight="1" thickBot="1" x14ac:dyDescent="0.45">
      <c r="A131" s="223"/>
      <c r="B131" s="1295" t="s">
        <v>1608</v>
      </c>
      <c r="C131" s="1292"/>
      <c r="D131" s="360"/>
      <c r="E131" s="379">
        <v>0.2</v>
      </c>
      <c r="F131" s="382"/>
      <c r="G131" s="384"/>
      <c r="H131" s="385"/>
      <c r="I131" s="385"/>
      <c r="J131" s="381">
        <f>+AVERAGE(J132:J139)</f>
        <v>0.33333333333333331</v>
      </c>
      <c r="K131" s="401">
        <f>+AVERAGE(K132:K139)</f>
        <v>0.39999999999999997</v>
      </c>
      <c r="L131" s="453">
        <f>+AVERAGE(L132:L139)</f>
        <v>0.32999999999999996</v>
      </c>
      <c r="M131" s="381">
        <f>+M132+M133+M134+M135+M136+M137+M138+M139</f>
        <v>0.21750000000000003</v>
      </c>
      <c r="N131" s="381">
        <f>+N132+N133+N134+N135+N136+N137+N138+N139</f>
        <v>0.21250000000000002</v>
      </c>
      <c r="O131" s="381"/>
      <c r="P131" s="382"/>
      <c r="Q131" s="388"/>
      <c r="R131" s="388"/>
      <c r="S131" s="388"/>
      <c r="T131" s="388"/>
      <c r="U131" s="833"/>
      <c r="V131" s="388"/>
      <c r="W131" s="388"/>
      <c r="X131" s="385"/>
      <c r="Y131" s="385"/>
      <c r="Z131" s="385"/>
      <c r="AA131" s="385"/>
      <c r="AB131" s="385"/>
      <c r="AC131" s="441">
        <f>+AVERAGE(AC132:AC139)</f>
        <v>0.60613098076617389</v>
      </c>
      <c r="AD131" s="441">
        <f>+AVERAGE(AD132:AD139)</f>
        <v>0.95842359833776136</v>
      </c>
      <c r="AE131" s="441">
        <f>+AVERAGE(AE132:AE139)</f>
        <v>0.54636841257453894</v>
      </c>
      <c r="AF131" s="441">
        <f>+(AF132+AF133+AF134+AF135+AF136+AF137+AF138+AF139)*E131</f>
        <v>9.023690987124465E-2</v>
      </c>
      <c r="AG131" s="460">
        <f>+(AG132+AG133+AG134+AG135+AG136+AG137+AG138+AG139)*E131</f>
        <v>0.13693562231759657</v>
      </c>
      <c r="AH131" s="882">
        <f>+(AH132+AH133+AH134+AH135+AH136+AH137+AH138+AH139)*E131</f>
        <v>7.1655261886180863E-2</v>
      </c>
      <c r="AI131" s="401">
        <f>+AVERAGE(AI132:AI139)</f>
        <v>0.22653274519154346</v>
      </c>
      <c r="AJ131" s="461">
        <v>0.56705472103004295</v>
      </c>
      <c r="AK131" s="461">
        <f>+AVERAGE(AK132:AK139)</f>
        <v>0.65336228549481457</v>
      </c>
      <c r="AL131" s="401">
        <f>+(AL132+AL133+AL134+AL135+AL136+AL137+AL138+AL139)*E131</f>
        <v>3.155922746781116E-2</v>
      </c>
      <c r="AM131" s="453">
        <f>+(AM132+AM133+AM134+AM135+AM136+AM137+AM138+AM139)</f>
        <v>0.42271566523605159</v>
      </c>
      <c r="AN131" s="453">
        <f>+(AN132+AN133+AN134+AN135+AN136+AN137+AN138+AN139)</f>
        <v>0.51303474259377757</v>
      </c>
      <c r="AO131" s="136"/>
      <c r="AP131" s="359"/>
      <c r="AQ131" s="359"/>
      <c r="AR131" s="359"/>
      <c r="AS131" s="359"/>
      <c r="AT131" s="359"/>
      <c r="AU131" s="158"/>
      <c r="AV131" s="158"/>
    </row>
    <row r="132" spans="1:49" ht="72.599999999999994" customHeight="1" thickBot="1" x14ac:dyDescent="0.4">
      <c r="A132" s="223"/>
      <c r="B132" s="1147" t="s">
        <v>230</v>
      </c>
      <c r="C132" s="1147" t="s">
        <v>231</v>
      </c>
      <c r="D132" s="361" t="s">
        <v>58</v>
      </c>
      <c r="E132" s="269">
        <v>0.15</v>
      </c>
      <c r="F132" s="383">
        <v>16776</v>
      </c>
      <c r="G132" s="384">
        <v>4194</v>
      </c>
      <c r="H132" s="385">
        <v>4194</v>
      </c>
      <c r="I132" s="385">
        <v>4194</v>
      </c>
      <c r="J132" s="386">
        <f t="shared" ref="J132:J139" si="116">+G132/F132</f>
        <v>0.25</v>
      </c>
      <c r="K132" s="402">
        <f t="shared" ref="K132:K170" si="117">+H132/F132</f>
        <v>0.25</v>
      </c>
      <c r="L132" s="403">
        <f t="shared" ref="L132:L168" si="118">+I132/F132</f>
        <v>0.25</v>
      </c>
      <c r="M132" s="389">
        <f t="shared" ref="M132:M139" si="119">+(G132/F132)*E132</f>
        <v>3.7499999999999999E-2</v>
      </c>
      <c r="N132" s="389">
        <f t="shared" ref="N132:N170" si="120">+(H132/F132)*E132</f>
        <v>3.7499999999999999E-2</v>
      </c>
      <c r="O132" s="389"/>
      <c r="P132" s="384">
        <v>3146</v>
      </c>
      <c r="Q132" s="443">
        <v>2976</v>
      </c>
      <c r="R132" s="439">
        <v>3032</v>
      </c>
      <c r="S132" s="439">
        <v>3146</v>
      </c>
      <c r="T132" s="439">
        <v>3253</v>
      </c>
      <c r="U132" s="439">
        <v>3253</v>
      </c>
      <c r="V132" s="385">
        <f>+P132+U132</f>
        <v>6399</v>
      </c>
      <c r="W132" s="385">
        <f>+P132+U132+AB132</f>
        <v>12765</v>
      </c>
      <c r="X132" s="439">
        <v>3091</v>
      </c>
      <c r="Y132" s="439">
        <v>3275</v>
      </c>
      <c r="Z132" s="385"/>
      <c r="AA132" s="385"/>
      <c r="AB132" s="385">
        <f t="shared" ref="AB132:AB194" si="121">+X132+Y132+Z132+AA132</f>
        <v>6366</v>
      </c>
      <c r="AC132" s="386">
        <f>+(P132/G132)</f>
        <v>0.75011921793037672</v>
      </c>
      <c r="AD132" s="596">
        <f>+U132/H132</f>
        <v>0.77563185503099663</v>
      </c>
      <c r="AE132" s="596">
        <f>+Y132/I132</f>
        <v>0.78087744396757275</v>
      </c>
      <c r="AF132" s="386">
        <f t="shared" ref="AF132:AF139" si="122">+AC132*E132</f>
        <v>0.11251788268955651</v>
      </c>
      <c r="AG132" s="402">
        <f>+AD132*E132</f>
        <v>0.11634477825464949</v>
      </c>
      <c r="AH132" s="462">
        <f t="shared" ref="AH132:AH141" si="123">+AE132*E132</f>
        <v>0.11713161659513591</v>
      </c>
      <c r="AI132" s="465">
        <f>+P132/F132</f>
        <v>0.18752980448259418</v>
      </c>
      <c r="AJ132" s="464">
        <v>0.38143776824034337</v>
      </c>
      <c r="AK132" s="464">
        <f>+(U132/(I132*4))+(P132/(I132*4))+(Y132/(I132*4))</f>
        <v>0.57665712923223655</v>
      </c>
      <c r="AL132" s="402">
        <f>+AI132*E132</f>
        <v>2.8129470672389127E-2</v>
      </c>
      <c r="AM132" s="403">
        <f>+AJ132*E132</f>
        <v>5.7215665236051504E-2</v>
      </c>
      <c r="AN132" s="404">
        <f t="shared" ref="AN132:AN170" si="124">+AK132*E132</f>
        <v>8.649856938483548E-2</v>
      </c>
      <c r="AO132" s="142" t="s">
        <v>1844</v>
      </c>
      <c r="AP132" s="538" t="s">
        <v>1911</v>
      </c>
      <c r="AQ132" s="634" t="s">
        <v>1986</v>
      </c>
      <c r="AR132" s="634" t="s">
        <v>2008</v>
      </c>
      <c r="AS132" s="634" t="s">
        <v>2106</v>
      </c>
      <c r="AT132" s="634" t="s">
        <v>2137</v>
      </c>
      <c r="AU132" s="634" t="s">
        <v>2190</v>
      </c>
      <c r="AV132" s="634" t="s">
        <v>1887</v>
      </c>
      <c r="AW132" s="634" t="s">
        <v>2294</v>
      </c>
    </row>
    <row r="133" spans="1:49" ht="72.599999999999994" customHeight="1" thickBot="1" x14ac:dyDescent="0.4">
      <c r="A133" s="223"/>
      <c r="B133" s="1147" t="s">
        <v>232</v>
      </c>
      <c r="C133" s="1147" t="s">
        <v>233</v>
      </c>
      <c r="D133" s="361" t="s">
        <v>58</v>
      </c>
      <c r="E133" s="269">
        <v>0.15</v>
      </c>
      <c r="F133" s="383">
        <v>22724</v>
      </c>
      <c r="G133" s="384">
        <v>5681</v>
      </c>
      <c r="H133" s="385">
        <v>5681</v>
      </c>
      <c r="I133" s="385">
        <v>5681</v>
      </c>
      <c r="J133" s="386">
        <f t="shared" si="116"/>
        <v>0.25</v>
      </c>
      <c r="K133" s="402">
        <f t="shared" si="117"/>
        <v>0.25</v>
      </c>
      <c r="L133" s="403">
        <f t="shared" si="118"/>
        <v>0.25</v>
      </c>
      <c r="M133" s="389">
        <f t="shared" si="119"/>
        <v>3.7499999999999999E-2</v>
      </c>
      <c r="N133" s="389">
        <f t="shared" si="120"/>
        <v>3.7499999999999999E-2</v>
      </c>
      <c r="O133" s="389"/>
      <c r="P133" s="384">
        <v>5681</v>
      </c>
      <c r="Q133" s="443">
        <v>5455</v>
      </c>
      <c r="R133" s="439">
        <v>5455</v>
      </c>
      <c r="S133" s="439">
        <v>5681</v>
      </c>
      <c r="T133" s="439">
        <v>5500</v>
      </c>
      <c r="U133" s="439">
        <v>5681</v>
      </c>
      <c r="V133" s="385">
        <f>+U133</f>
        <v>5681</v>
      </c>
      <c r="W133" s="385">
        <f t="shared" ref="W133:W136" si="125">+P133+U133+AB133</f>
        <v>21011</v>
      </c>
      <c r="X133" s="439">
        <v>4417</v>
      </c>
      <c r="Y133" s="439">
        <v>5232</v>
      </c>
      <c r="Z133" s="385"/>
      <c r="AA133" s="385"/>
      <c r="AB133" s="385">
        <f t="shared" si="121"/>
        <v>9649</v>
      </c>
      <c r="AC133" s="386">
        <f t="shared" ref="AC133:AC139" si="126">+(P133/G133)</f>
        <v>1</v>
      </c>
      <c r="AD133" s="596">
        <f>+S133/H133</f>
        <v>1</v>
      </c>
      <c r="AE133" s="596">
        <f>+Y133/I133</f>
        <v>0.92096461890512238</v>
      </c>
      <c r="AF133" s="386">
        <f t="shared" si="122"/>
        <v>0.15</v>
      </c>
      <c r="AG133" s="402">
        <f t="shared" ref="AG133:AG141" si="127">+AD133*E133</f>
        <v>0.15</v>
      </c>
      <c r="AH133" s="403">
        <f t="shared" si="123"/>
        <v>0.13814469283576836</v>
      </c>
      <c r="AI133" s="402">
        <f t="shared" ref="AI133:AI139" si="128">+P133/F133</f>
        <v>0.25</v>
      </c>
      <c r="AJ133" s="458">
        <v>0.5</v>
      </c>
      <c r="AK133" s="458">
        <f>+AJ133+(AE133*0.25)</f>
        <v>0.73024115472628059</v>
      </c>
      <c r="AL133" s="402">
        <f t="shared" ref="AL133:AL139" si="129">+AI133*E133</f>
        <v>3.7499999999999999E-2</v>
      </c>
      <c r="AM133" s="403">
        <f>+AJ133*E133</f>
        <v>7.4999999999999997E-2</v>
      </c>
      <c r="AN133" s="404">
        <f t="shared" si="124"/>
        <v>0.10953617320894209</v>
      </c>
      <c r="AO133" s="142" t="s">
        <v>1844</v>
      </c>
      <c r="AP133" s="538" t="s">
        <v>1911</v>
      </c>
      <c r="AQ133" s="634" t="s">
        <v>1986</v>
      </c>
      <c r="AR133" s="634" t="s">
        <v>2008</v>
      </c>
      <c r="AS133" s="634" t="s">
        <v>2106</v>
      </c>
      <c r="AT133" s="634" t="s">
        <v>2137</v>
      </c>
      <c r="AU133" s="634" t="s">
        <v>2190</v>
      </c>
      <c r="AV133" s="634" t="s">
        <v>1887</v>
      </c>
      <c r="AW133" s="634" t="s">
        <v>2294</v>
      </c>
    </row>
    <row r="134" spans="1:49" ht="72.599999999999994" customHeight="1" thickBot="1" x14ac:dyDescent="0.4">
      <c r="A134" s="223"/>
      <c r="B134" s="1147" t="s">
        <v>234</v>
      </c>
      <c r="C134" s="1147" t="s">
        <v>235</v>
      </c>
      <c r="D134" s="361" t="s">
        <v>58</v>
      </c>
      <c r="E134" s="269">
        <v>0.1</v>
      </c>
      <c r="F134" s="383">
        <f>150*4</f>
        <v>600</v>
      </c>
      <c r="G134" s="384">
        <v>150</v>
      </c>
      <c r="H134" s="385">
        <v>150</v>
      </c>
      <c r="I134" s="385">
        <v>150</v>
      </c>
      <c r="J134" s="386">
        <f t="shared" si="116"/>
        <v>0.25</v>
      </c>
      <c r="K134" s="402">
        <f t="shared" si="117"/>
        <v>0.25</v>
      </c>
      <c r="L134" s="403">
        <f t="shared" si="118"/>
        <v>0.25</v>
      </c>
      <c r="M134" s="389">
        <f t="shared" si="119"/>
        <v>2.5000000000000001E-2</v>
      </c>
      <c r="N134" s="389">
        <f t="shared" si="120"/>
        <v>2.5000000000000001E-2</v>
      </c>
      <c r="O134" s="389"/>
      <c r="P134" s="384">
        <v>133</v>
      </c>
      <c r="Q134" s="443">
        <v>135</v>
      </c>
      <c r="R134" s="439">
        <v>136</v>
      </c>
      <c r="S134" s="439">
        <v>136</v>
      </c>
      <c r="T134" s="439">
        <v>140</v>
      </c>
      <c r="U134" s="439">
        <v>140</v>
      </c>
      <c r="V134" s="385">
        <f>+Q134+R134+S134+T134+U134</f>
        <v>687</v>
      </c>
      <c r="W134" s="385">
        <f>+P134+U134+AB134</f>
        <v>562</v>
      </c>
      <c r="X134" s="439">
        <v>142</v>
      </c>
      <c r="Y134" s="439">
        <v>147</v>
      </c>
      <c r="Z134" s="385"/>
      <c r="AA134" s="385"/>
      <c r="AB134" s="385">
        <f t="shared" si="121"/>
        <v>289</v>
      </c>
      <c r="AC134" s="386">
        <f t="shared" si="126"/>
        <v>0.88666666666666671</v>
      </c>
      <c r="AD134" s="419">
        <f>+T134/H134</f>
        <v>0.93333333333333335</v>
      </c>
      <c r="AE134" s="596">
        <f>+Y134/I134</f>
        <v>0.98</v>
      </c>
      <c r="AF134" s="386">
        <f t="shared" si="122"/>
        <v>8.8666666666666671E-2</v>
      </c>
      <c r="AG134" s="402">
        <f t="shared" si="127"/>
        <v>9.3333333333333338E-2</v>
      </c>
      <c r="AH134" s="403">
        <f t="shared" si="123"/>
        <v>9.8000000000000004E-2</v>
      </c>
      <c r="AI134" s="402">
        <f t="shared" si="128"/>
        <v>0.22166666666666668</v>
      </c>
      <c r="AJ134" s="458">
        <v>0.45500000000000002</v>
      </c>
      <c r="AK134" s="458">
        <f>+AJ134+(AE134*0.25)</f>
        <v>0.7</v>
      </c>
      <c r="AL134" s="402">
        <f t="shared" si="129"/>
        <v>2.2166666666666668E-2</v>
      </c>
      <c r="AM134" s="403">
        <f>+AJ134*E134</f>
        <v>4.5500000000000006E-2</v>
      </c>
      <c r="AN134" s="404">
        <f t="shared" si="124"/>
        <v>6.9999999999999993E-2</v>
      </c>
      <c r="AO134" s="142" t="s">
        <v>1844</v>
      </c>
      <c r="AP134" s="634" t="s">
        <v>1885</v>
      </c>
      <c r="AQ134" s="634" t="s">
        <v>1986</v>
      </c>
      <c r="AR134" s="634" t="s">
        <v>2008</v>
      </c>
      <c r="AS134" s="634" t="s">
        <v>2106</v>
      </c>
      <c r="AT134" s="634" t="s">
        <v>2137</v>
      </c>
      <c r="AU134" s="634" t="s">
        <v>2190</v>
      </c>
      <c r="AV134" s="634" t="s">
        <v>1887</v>
      </c>
      <c r="AW134" s="634" t="s">
        <v>2294</v>
      </c>
    </row>
    <row r="135" spans="1:49" ht="74.400000000000006" customHeight="1" thickBot="1" x14ac:dyDescent="0.4">
      <c r="A135" s="223"/>
      <c r="B135" s="1147" t="s">
        <v>236</v>
      </c>
      <c r="C135" s="1147" t="s">
        <v>237</v>
      </c>
      <c r="D135" s="361" t="s">
        <v>58</v>
      </c>
      <c r="E135" s="269">
        <v>0.25</v>
      </c>
      <c r="F135" s="383">
        <v>4</v>
      </c>
      <c r="G135" s="384">
        <v>1</v>
      </c>
      <c r="H135" s="385">
        <v>1</v>
      </c>
      <c r="I135" s="385">
        <v>2</v>
      </c>
      <c r="J135" s="386">
        <f t="shared" si="116"/>
        <v>0.25</v>
      </c>
      <c r="K135" s="402">
        <f t="shared" si="117"/>
        <v>0.25</v>
      </c>
      <c r="L135" s="403">
        <f>+I135/F135</f>
        <v>0.5</v>
      </c>
      <c r="M135" s="389">
        <f t="shared" si="119"/>
        <v>6.25E-2</v>
      </c>
      <c r="N135" s="389">
        <f t="shared" si="120"/>
        <v>6.25E-2</v>
      </c>
      <c r="O135" s="389"/>
      <c r="P135" s="384">
        <v>0</v>
      </c>
      <c r="Q135" s="443">
        <v>0</v>
      </c>
      <c r="R135" s="439">
        <v>0</v>
      </c>
      <c r="S135" s="439">
        <v>0</v>
      </c>
      <c r="T135" s="439">
        <v>2</v>
      </c>
      <c r="U135" s="439">
        <v>2</v>
      </c>
      <c r="V135" s="385">
        <f t="shared" ref="V135:V136" si="130">+Q135+R135+S135+T135+U135</f>
        <v>4</v>
      </c>
      <c r="W135" s="385">
        <f>+P135+U135+AB135</f>
        <v>2</v>
      </c>
      <c r="X135" s="439">
        <v>0</v>
      </c>
      <c r="Y135" s="439">
        <v>0</v>
      </c>
      <c r="Z135" s="385"/>
      <c r="AA135" s="385"/>
      <c r="AB135" s="385">
        <f t="shared" si="121"/>
        <v>0</v>
      </c>
      <c r="AC135" s="386">
        <f t="shared" si="126"/>
        <v>0</v>
      </c>
      <c r="AD135" s="734">
        <v>1</v>
      </c>
      <c r="AE135" s="734">
        <f t="shared" ref="AE135:AE170" si="131">+AB135/I135</f>
        <v>0</v>
      </c>
      <c r="AF135" s="386">
        <f t="shared" si="122"/>
        <v>0</v>
      </c>
      <c r="AG135" s="402">
        <f t="shared" si="127"/>
        <v>0.25</v>
      </c>
      <c r="AH135" s="403">
        <f t="shared" si="123"/>
        <v>0</v>
      </c>
      <c r="AI135" s="402">
        <f t="shared" si="128"/>
        <v>0</v>
      </c>
      <c r="AJ135" s="884">
        <v>0.5</v>
      </c>
      <c r="AK135" s="884">
        <f t="shared" ref="AK135:AK170" si="132">+W135/F135</f>
        <v>0.5</v>
      </c>
      <c r="AL135" s="736">
        <f t="shared" si="129"/>
        <v>0</v>
      </c>
      <c r="AM135" s="884">
        <f>+AJ135*E135</f>
        <v>0.125</v>
      </c>
      <c r="AN135" s="1326">
        <f t="shared" si="124"/>
        <v>0.125</v>
      </c>
      <c r="AO135" s="142" t="s">
        <v>1844</v>
      </c>
      <c r="AP135" s="634" t="s">
        <v>1885</v>
      </c>
      <c r="AQ135" s="634" t="s">
        <v>1986</v>
      </c>
      <c r="AR135" s="634" t="s">
        <v>2008</v>
      </c>
      <c r="AS135" s="634" t="s">
        <v>2106</v>
      </c>
      <c r="AT135" s="634" t="s">
        <v>2137</v>
      </c>
      <c r="AU135" s="557" t="s">
        <v>2191</v>
      </c>
      <c r="AV135" s="634" t="s">
        <v>1887</v>
      </c>
      <c r="AW135" s="634" t="s">
        <v>2294</v>
      </c>
    </row>
    <row r="136" spans="1:49" ht="82.95" customHeight="1" thickBot="1" x14ac:dyDescent="0.4">
      <c r="A136" s="223"/>
      <c r="B136" s="1147" t="s">
        <v>238</v>
      </c>
      <c r="C136" s="1147" t="s">
        <v>239</v>
      </c>
      <c r="D136" s="361" t="s">
        <v>58</v>
      </c>
      <c r="E136" s="269">
        <v>0.2</v>
      </c>
      <c r="F136" s="383">
        <v>1</v>
      </c>
      <c r="G136" s="384">
        <v>0</v>
      </c>
      <c r="H136" s="385">
        <v>0</v>
      </c>
      <c r="I136" s="385">
        <v>0</v>
      </c>
      <c r="J136" s="386"/>
      <c r="K136" s="402"/>
      <c r="L136" s="403"/>
      <c r="M136" s="389"/>
      <c r="N136" s="389"/>
      <c r="O136" s="389"/>
      <c r="P136" s="384"/>
      <c r="Q136" s="443"/>
      <c r="R136" s="439"/>
      <c r="S136" s="439"/>
      <c r="T136" s="439"/>
      <c r="U136" s="439"/>
      <c r="V136" s="385">
        <f t="shared" si="130"/>
        <v>0</v>
      </c>
      <c r="W136" s="385">
        <f t="shared" si="125"/>
        <v>0</v>
      </c>
      <c r="X136" s="439">
        <v>0</v>
      </c>
      <c r="Y136" s="439">
        <v>0</v>
      </c>
      <c r="Z136" s="385"/>
      <c r="AA136" s="385"/>
      <c r="AB136" s="385">
        <f t="shared" si="121"/>
        <v>0</v>
      </c>
      <c r="AC136" s="386"/>
      <c r="AD136" s="389"/>
      <c r="AE136" s="734"/>
      <c r="AF136" s="386"/>
      <c r="AG136" s="402"/>
      <c r="AH136" s="403"/>
      <c r="AI136" s="402"/>
      <c r="AJ136" s="403">
        <v>0</v>
      </c>
      <c r="AK136" s="458">
        <f t="shared" si="132"/>
        <v>0</v>
      </c>
      <c r="AL136" s="457">
        <v>0</v>
      </c>
      <c r="AM136" s="458">
        <v>0</v>
      </c>
      <c r="AN136" s="1310">
        <f t="shared" si="124"/>
        <v>0</v>
      </c>
      <c r="AO136" s="142" t="s">
        <v>1844</v>
      </c>
      <c r="AP136" s="634" t="s">
        <v>1885</v>
      </c>
      <c r="AQ136" s="634" t="s">
        <v>1986</v>
      </c>
      <c r="AR136" s="634" t="s">
        <v>2008</v>
      </c>
      <c r="AS136" s="634" t="s">
        <v>2106</v>
      </c>
      <c r="AT136" s="634" t="s">
        <v>2137</v>
      </c>
      <c r="AU136" s="634" t="s">
        <v>2190</v>
      </c>
      <c r="AV136" s="634" t="s">
        <v>1887</v>
      </c>
      <c r="AW136" s="634" t="s">
        <v>2294</v>
      </c>
    </row>
    <row r="137" spans="1:49" ht="80.400000000000006" customHeight="1" thickBot="1" x14ac:dyDescent="0.4">
      <c r="A137" s="223"/>
      <c r="B137" s="1147" t="s">
        <v>240</v>
      </c>
      <c r="C137" s="1147" t="s">
        <v>241</v>
      </c>
      <c r="D137" s="361" t="s">
        <v>58</v>
      </c>
      <c r="E137" s="269">
        <v>0.1</v>
      </c>
      <c r="F137" s="383">
        <v>10</v>
      </c>
      <c r="G137" s="384">
        <v>4</v>
      </c>
      <c r="H137" s="385">
        <v>4</v>
      </c>
      <c r="I137" s="385">
        <v>4</v>
      </c>
      <c r="J137" s="386">
        <f t="shared" si="116"/>
        <v>0.4</v>
      </c>
      <c r="K137" s="402">
        <f t="shared" si="117"/>
        <v>0.4</v>
      </c>
      <c r="L137" s="403">
        <f t="shared" si="118"/>
        <v>0.4</v>
      </c>
      <c r="M137" s="389">
        <f t="shared" si="119"/>
        <v>4.0000000000000008E-2</v>
      </c>
      <c r="N137" s="389">
        <f t="shared" si="120"/>
        <v>4.0000000000000008E-2</v>
      </c>
      <c r="O137" s="389"/>
      <c r="P137" s="384">
        <v>7</v>
      </c>
      <c r="Q137" s="443">
        <v>0</v>
      </c>
      <c r="R137" s="443">
        <v>0</v>
      </c>
      <c r="S137" s="439">
        <v>0</v>
      </c>
      <c r="T137" s="439">
        <v>0</v>
      </c>
      <c r="U137" s="439">
        <v>0</v>
      </c>
      <c r="V137" s="385">
        <f>+Q137+R137+S137+T137+U137</f>
        <v>0</v>
      </c>
      <c r="W137" s="385">
        <f>+P137+U137+AB137</f>
        <v>7.2</v>
      </c>
      <c r="X137" s="439">
        <v>0</v>
      </c>
      <c r="Y137" s="439">
        <v>0.2</v>
      </c>
      <c r="Z137" s="385"/>
      <c r="AA137" s="385"/>
      <c r="AB137" s="385">
        <f t="shared" si="121"/>
        <v>0.2</v>
      </c>
      <c r="AC137" s="386">
        <v>1</v>
      </c>
      <c r="AD137" s="389">
        <f t="shared" ref="AD137:AD149" si="133">+V137/H137</f>
        <v>0</v>
      </c>
      <c r="AE137" s="389">
        <f t="shared" si="131"/>
        <v>0.05</v>
      </c>
      <c r="AF137" s="386">
        <f t="shared" si="122"/>
        <v>0.1</v>
      </c>
      <c r="AG137" s="402">
        <f t="shared" si="127"/>
        <v>0</v>
      </c>
      <c r="AH137" s="403">
        <f t="shared" si="123"/>
        <v>5.000000000000001E-3</v>
      </c>
      <c r="AI137" s="402">
        <f t="shared" si="128"/>
        <v>0.7</v>
      </c>
      <c r="AJ137" s="403">
        <v>0.7</v>
      </c>
      <c r="AK137" s="458">
        <f t="shared" si="132"/>
        <v>0.72</v>
      </c>
      <c r="AL137" s="457">
        <f>+AI137*E137</f>
        <v>6.9999999999999993E-2</v>
      </c>
      <c r="AM137" s="458">
        <f>+AJ137*E137</f>
        <v>6.9999999999999993E-2</v>
      </c>
      <c r="AN137" s="1310">
        <f t="shared" si="124"/>
        <v>7.1999999999999995E-2</v>
      </c>
      <c r="AO137" s="142" t="s">
        <v>1844</v>
      </c>
      <c r="AP137" s="634" t="s">
        <v>1885</v>
      </c>
      <c r="AQ137" s="634" t="s">
        <v>1986</v>
      </c>
      <c r="AR137" s="634" t="s">
        <v>2008</v>
      </c>
      <c r="AS137" s="634" t="s">
        <v>2106</v>
      </c>
      <c r="AT137" s="634" t="s">
        <v>2137</v>
      </c>
      <c r="AU137" s="634" t="s">
        <v>2190</v>
      </c>
      <c r="AV137" s="634" t="s">
        <v>1887</v>
      </c>
      <c r="AW137" s="634" t="s">
        <v>2294</v>
      </c>
    </row>
    <row r="138" spans="1:49" ht="149.4" customHeight="1" thickBot="1" x14ac:dyDescent="0.4">
      <c r="A138" s="223"/>
      <c r="B138" s="1147" t="s">
        <v>242</v>
      </c>
      <c r="C138" s="1147" t="s">
        <v>243</v>
      </c>
      <c r="D138" s="361" t="s">
        <v>58</v>
      </c>
      <c r="E138" s="269">
        <v>2.5000000000000001E-2</v>
      </c>
      <c r="F138" s="383">
        <v>1</v>
      </c>
      <c r="G138" s="384">
        <v>0</v>
      </c>
      <c r="H138" s="385">
        <v>1</v>
      </c>
      <c r="I138" s="385">
        <v>0</v>
      </c>
      <c r="J138" s="386"/>
      <c r="K138" s="402">
        <f t="shared" si="117"/>
        <v>1</v>
      </c>
      <c r="L138" s="403"/>
      <c r="M138" s="389"/>
      <c r="N138" s="389"/>
      <c r="O138" s="389"/>
      <c r="P138" s="384"/>
      <c r="Q138" s="443">
        <v>0</v>
      </c>
      <c r="R138" s="443">
        <v>0</v>
      </c>
      <c r="S138" s="439">
        <v>1</v>
      </c>
      <c r="T138" s="439"/>
      <c r="U138" s="439">
        <v>1</v>
      </c>
      <c r="V138" s="385">
        <f>+Q138+R138+S138+T138+U138</f>
        <v>2</v>
      </c>
      <c r="W138" s="385">
        <f>+P138+U138+AB138</f>
        <v>1</v>
      </c>
      <c r="X138" s="439">
        <v>0</v>
      </c>
      <c r="Y138" s="385"/>
      <c r="Z138" s="385"/>
      <c r="AA138" s="385"/>
      <c r="AB138" s="385">
        <f t="shared" si="121"/>
        <v>0</v>
      </c>
      <c r="AC138" s="386"/>
      <c r="AD138" s="389">
        <f t="shared" si="133"/>
        <v>2</v>
      </c>
      <c r="AE138" s="389"/>
      <c r="AF138" s="386"/>
      <c r="AG138" s="402">
        <f t="shared" si="127"/>
        <v>0.05</v>
      </c>
      <c r="AH138" s="403"/>
      <c r="AI138" s="402"/>
      <c r="AJ138" s="403">
        <v>1</v>
      </c>
      <c r="AK138" s="459">
        <f t="shared" si="132"/>
        <v>1</v>
      </c>
      <c r="AL138" s="457">
        <v>0</v>
      </c>
      <c r="AM138" s="458">
        <f>+AJ138*E138</f>
        <v>2.5000000000000001E-2</v>
      </c>
      <c r="AN138" s="1310">
        <f t="shared" si="124"/>
        <v>2.5000000000000001E-2</v>
      </c>
      <c r="AO138" s="142" t="s">
        <v>1844</v>
      </c>
      <c r="AP138" s="634" t="s">
        <v>1885</v>
      </c>
      <c r="AQ138" s="634" t="s">
        <v>1986</v>
      </c>
      <c r="AR138" s="634" t="s">
        <v>2008</v>
      </c>
      <c r="AS138" s="544" t="s">
        <v>2071</v>
      </c>
      <c r="AT138" s="634" t="s">
        <v>2137</v>
      </c>
      <c r="AU138" s="634" t="s">
        <v>2190</v>
      </c>
      <c r="AV138" s="634" t="s">
        <v>1887</v>
      </c>
      <c r="AW138" s="634" t="s">
        <v>2294</v>
      </c>
    </row>
    <row r="139" spans="1:49" ht="133.19999999999999" customHeight="1" thickBot="1" x14ac:dyDescent="0.4">
      <c r="A139" s="223"/>
      <c r="B139" s="1147" t="s">
        <v>244</v>
      </c>
      <c r="C139" s="1147" t="s">
        <v>245</v>
      </c>
      <c r="D139" s="361" t="s">
        <v>58</v>
      </c>
      <c r="E139" s="269">
        <v>2.5000000000000001E-2</v>
      </c>
      <c r="F139" s="383">
        <v>1</v>
      </c>
      <c r="G139" s="384">
        <v>0.6</v>
      </c>
      <c r="H139" s="385">
        <v>0.4</v>
      </c>
      <c r="I139" s="385">
        <v>0</v>
      </c>
      <c r="J139" s="386">
        <f t="shared" si="116"/>
        <v>0.6</v>
      </c>
      <c r="K139" s="402">
        <f t="shared" si="117"/>
        <v>0.4</v>
      </c>
      <c r="L139" s="403"/>
      <c r="M139" s="389">
        <f t="shared" si="119"/>
        <v>1.4999999999999999E-2</v>
      </c>
      <c r="N139" s="389">
        <f t="shared" si="120"/>
        <v>1.0000000000000002E-2</v>
      </c>
      <c r="O139" s="389"/>
      <c r="P139" s="384">
        <v>0</v>
      </c>
      <c r="Q139" s="443">
        <v>0</v>
      </c>
      <c r="R139" s="443">
        <v>0</v>
      </c>
      <c r="S139" s="439">
        <v>0</v>
      </c>
      <c r="T139" s="439">
        <v>1</v>
      </c>
      <c r="U139" s="439"/>
      <c r="V139" s="385">
        <f>+Q139+R139+S139+T139+U139</f>
        <v>1</v>
      </c>
      <c r="W139" s="385">
        <f>+V139+AB139</f>
        <v>1</v>
      </c>
      <c r="X139" s="439">
        <v>0</v>
      </c>
      <c r="Y139" s="439"/>
      <c r="Z139" s="385"/>
      <c r="AA139" s="385"/>
      <c r="AB139" s="385">
        <f t="shared" si="121"/>
        <v>0</v>
      </c>
      <c r="AC139" s="386">
        <f t="shared" si="126"/>
        <v>0</v>
      </c>
      <c r="AD139" s="389">
        <v>1</v>
      </c>
      <c r="AE139" s="389"/>
      <c r="AF139" s="386">
        <f t="shared" si="122"/>
        <v>0</v>
      </c>
      <c r="AG139" s="402">
        <f t="shared" si="127"/>
        <v>2.5000000000000001E-2</v>
      </c>
      <c r="AH139" s="463"/>
      <c r="AI139" s="402">
        <f t="shared" si="128"/>
        <v>0</v>
      </c>
      <c r="AJ139" s="463">
        <v>1</v>
      </c>
      <c r="AK139" s="1310">
        <f t="shared" si="132"/>
        <v>1</v>
      </c>
      <c r="AL139" s="457">
        <f t="shared" si="129"/>
        <v>0</v>
      </c>
      <c r="AM139" s="458">
        <f>+AJ139*E139</f>
        <v>2.5000000000000001E-2</v>
      </c>
      <c r="AN139" s="1310">
        <f t="shared" si="124"/>
        <v>2.5000000000000001E-2</v>
      </c>
      <c r="AO139" s="142" t="s">
        <v>1844</v>
      </c>
      <c r="AP139" s="634" t="s">
        <v>1885</v>
      </c>
      <c r="AQ139" s="634" t="s">
        <v>1986</v>
      </c>
      <c r="AR139" s="634" t="s">
        <v>2008</v>
      </c>
      <c r="AS139" s="634" t="s">
        <v>2106</v>
      </c>
      <c r="AT139" s="634" t="s">
        <v>2155</v>
      </c>
      <c r="AU139" s="634" t="s">
        <v>2190</v>
      </c>
      <c r="AV139" s="634" t="s">
        <v>1887</v>
      </c>
      <c r="AW139" s="634" t="s">
        <v>2294</v>
      </c>
    </row>
    <row r="140" spans="1:49" ht="114.75" customHeight="1" thickBot="1" x14ac:dyDescent="0.45">
      <c r="A140" s="223"/>
      <c r="B140" s="1295" t="s">
        <v>1609</v>
      </c>
      <c r="C140" s="1292"/>
      <c r="D140" s="360"/>
      <c r="E140" s="379">
        <v>0.2</v>
      </c>
      <c r="F140" s="382"/>
      <c r="G140" s="382"/>
      <c r="H140" s="388"/>
      <c r="I140" s="388"/>
      <c r="J140" s="381">
        <f>+AVERAGE(J141:J142)</f>
        <v>0.23392236384704518</v>
      </c>
      <c r="K140" s="401">
        <f>+AVERAGE(K141:K142)</f>
        <v>0.25535921205098494</v>
      </c>
      <c r="L140" s="453">
        <f>+AVERAGE(L141:L142)</f>
        <v>0.25535921205098494</v>
      </c>
      <c r="M140" s="381">
        <f>+M141+M142</f>
        <v>0.22106025492468134</v>
      </c>
      <c r="N140" s="381">
        <f>+N141+N142</f>
        <v>0.2596465816917729</v>
      </c>
      <c r="O140" s="381"/>
      <c r="P140" s="382"/>
      <c r="Q140" s="388"/>
      <c r="R140" s="388"/>
      <c r="S140" s="388"/>
      <c r="T140" s="388"/>
      <c r="U140" s="833"/>
      <c r="V140" s="385"/>
      <c r="W140" s="385"/>
      <c r="X140" s="385"/>
      <c r="Y140" s="385"/>
      <c r="Z140" s="385"/>
      <c r="AA140" s="385"/>
      <c r="AB140" s="385"/>
      <c r="AC140" s="441">
        <f>+AVERAGE(AC141:AC142)</f>
        <v>0.5</v>
      </c>
      <c r="AD140" s="441">
        <f>+AVERAGE(AD141:AD142)</f>
        <v>1</v>
      </c>
      <c r="AE140" s="441">
        <f>+AVERAGE(AE141:AE142)</f>
        <v>0.42277777777777775</v>
      </c>
      <c r="AF140" s="441">
        <f>+(AF141+AF142)*E140</f>
        <v>0.18000000000000002</v>
      </c>
      <c r="AG140" s="460">
        <f>+(AG141+AG142)*E140</f>
        <v>0.2</v>
      </c>
      <c r="AH140" s="882">
        <f>+(AH141+AH142)*E140</f>
        <v>0.11219999999999999</v>
      </c>
      <c r="AI140" s="401">
        <f>+AVERAGE(AI141:AI142)</f>
        <v>0.13789107763615296</v>
      </c>
      <c r="AJ140" s="461">
        <v>0.51926419466975671</v>
      </c>
      <c r="AK140" s="461">
        <f>+AVERAGE(AK141:AK142)</f>
        <v>0.62815034762456545</v>
      </c>
      <c r="AL140" s="401">
        <f>+(AL141+AL142)*E140</f>
        <v>4.9640787949015074E-2</v>
      </c>
      <c r="AM140" s="453">
        <f>+(AM141+AM142)</f>
        <v>0.53467555040556203</v>
      </c>
      <c r="AN140" s="453">
        <f>+(AN141+AN142)</f>
        <v>0.68067062572421788</v>
      </c>
      <c r="AO140" s="136"/>
      <c r="AP140" s="359"/>
      <c r="AQ140" s="359"/>
      <c r="AR140" s="359"/>
      <c r="AS140" s="359"/>
      <c r="AT140" s="359"/>
      <c r="AU140" s="158"/>
      <c r="AV140" s="158"/>
    </row>
    <row r="141" spans="1:49" ht="120" customHeight="1" thickBot="1" x14ac:dyDescent="0.4">
      <c r="A141" s="223"/>
      <c r="B141" s="1147" t="s">
        <v>246</v>
      </c>
      <c r="C141" s="1147" t="s">
        <v>247</v>
      </c>
      <c r="D141" s="361" t="s">
        <v>58</v>
      </c>
      <c r="E141" s="269">
        <v>0.9</v>
      </c>
      <c r="F141" s="383">
        <v>3452</v>
      </c>
      <c r="G141" s="384">
        <v>752</v>
      </c>
      <c r="H141" s="385">
        <v>900</v>
      </c>
      <c r="I141" s="385">
        <v>900</v>
      </c>
      <c r="J141" s="386">
        <f>+G141/F141</f>
        <v>0.21784472769409038</v>
      </c>
      <c r="K141" s="402">
        <f t="shared" si="117"/>
        <v>0.26071842410196988</v>
      </c>
      <c r="L141" s="403">
        <f t="shared" si="118"/>
        <v>0.26071842410196988</v>
      </c>
      <c r="M141" s="389">
        <f>+(G141/F141)*E141</f>
        <v>0.19606025492468135</v>
      </c>
      <c r="N141" s="389">
        <f t="shared" si="120"/>
        <v>0.23464658169177291</v>
      </c>
      <c r="O141" s="389"/>
      <c r="P141" s="384">
        <v>952</v>
      </c>
      <c r="Q141" s="443">
        <v>0</v>
      </c>
      <c r="R141" s="439">
        <v>348</v>
      </c>
      <c r="S141" s="439">
        <v>129</v>
      </c>
      <c r="T141" s="439">
        <v>400</v>
      </c>
      <c r="U141" s="439">
        <v>30</v>
      </c>
      <c r="V141" s="385">
        <f>+Q141+R141+S141+T141+U141</f>
        <v>907</v>
      </c>
      <c r="W141" s="385">
        <f>+V141+P141+AB141</f>
        <v>2395</v>
      </c>
      <c r="X141" s="439">
        <v>266</v>
      </c>
      <c r="Y141" s="439">
        <v>270</v>
      </c>
      <c r="Z141" s="385"/>
      <c r="AA141" s="385"/>
      <c r="AB141" s="385">
        <f t="shared" si="121"/>
        <v>536</v>
      </c>
      <c r="AC141" s="386">
        <v>1</v>
      </c>
      <c r="AD141" s="419">
        <v>1</v>
      </c>
      <c r="AE141" s="419">
        <f>+AB141/I141</f>
        <v>0.5955555555555555</v>
      </c>
      <c r="AF141" s="433">
        <f>+AC141*E141</f>
        <v>0.9</v>
      </c>
      <c r="AG141" s="457">
        <f t="shared" si="127"/>
        <v>0.9</v>
      </c>
      <c r="AH141" s="464">
        <f t="shared" si="123"/>
        <v>0.53599999999999992</v>
      </c>
      <c r="AI141" s="457">
        <f>+P141/F141</f>
        <v>0.27578215527230593</v>
      </c>
      <c r="AJ141" s="464">
        <v>0.5385283893395133</v>
      </c>
      <c r="AK141" s="1310">
        <f t="shared" si="132"/>
        <v>0.69380069524913091</v>
      </c>
      <c r="AL141" s="457">
        <f>+AI141*E141</f>
        <v>0.24820393974507535</v>
      </c>
      <c r="AM141" s="458">
        <f>+AJ141*E141</f>
        <v>0.48467555040556198</v>
      </c>
      <c r="AN141" s="1310">
        <f t="shared" si="124"/>
        <v>0.62442062572421786</v>
      </c>
      <c r="AO141" s="142" t="s">
        <v>1844</v>
      </c>
      <c r="AP141" s="634" t="s">
        <v>1885</v>
      </c>
      <c r="AQ141" s="634" t="s">
        <v>1986</v>
      </c>
      <c r="AR141" s="634" t="s">
        <v>2008</v>
      </c>
      <c r="AS141" s="634" t="s">
        <v>2106</v>
      </c>
      <c r="AT141" s="634" t="s">
        <v>2137</v>
      </c>
      <c r="AU141" s="634" t="s">
        <v>2190</v>
      </c>
      <c r="AV141" s="634" t="s">
        <v>1887</v>
      </c>
      <c r="AW141" s="634" t="s">
        <v>2294</v>
      </c>
    </row>
    <row r="142" spans="1:49" ht="102" customHeight="1" thickBot="1" x14ac:dyDescent="0.4">
      <c r="A142" s="223"/>
      <c r="B142" s="1147" t="s">
        <v>248</v>
      </c>
      <c r="C142" s="1147" t="s">
        <v>249</v>
      </c>
      <c r="D142" s="361" t="s">
        <v>58</v>
      </c>
      <c r="E142" s="269">
        <v>0.1</v>
      </c>
      <c r="F142" s="383">
        <v>4</v>
      </c>
      <c r="G142" s="384">
        <v>1</v>
      </c>
      <c r="H142" s="385">
        <v>1</v>
      </c>
      <c r="I142" s="385">
        <v>1</v>
      </c>
      <c r="J142" s="386">
        <f>+G142/F142</f>
        <v>0.25</v>
      </c>
      <c r="K142" s="402">
        <f t="shared" si="117"/>
        <v>0.25</v>
      </c>
      <c r="L142" s="403">
        <f t="shared" si="118"/>
        <v>0.25</v>
      </c>
      <c r="M142" s="389">
        <f>+(G142/F142)*E142</f>
        <v>2.5000000000000001E-2</v>
      </c>
      <c r="N142" s="389">
        <f t="shared" si="120"/>
        <v>2.5000000000000001E-2</v>
      </c>
      <c r="O142" s="389"/>
      <c r="P142" s="384">
        <v>0</v>
      </c>
      <c r="Q142" s="443">
        <v>0</v>
      </c>
      <c r="R142" s="439">
        <v>0</v>
      </c>
      <c r="S142" s="439">
        <v>0</v>
      </c>
      <c r="T142" s="439">
        <v>1</v>
      </c>
      <c r="U142" s="439">
        <v>1</v>
      </c>
      <c r="V142" s="385">
        <f>+Q142+R142+S142+T142+U142</f>
        <v>2</v>
      </c>
      <c r="W142" s="385">
        <f>+V142+P142+AB142</f>
        <v>2.25</v>
      </c>
      <c r="X142" s="439">
        <v>0</v>
      </c>
      <c r="Y142" s="439">
        <v>0.25</v>
      </c>
      <c r="Z142" s="385"/>
      <c r="AA142" s="385"/>
      <c r="AB142" s="385">
        <f t="shared" si="121"/>
        <v>0.25</v>
      </c>
      <c r="AC142" s="386">
        <f>+(P142/G142)</f>
        <v>0</v>
      </c>
      <c r="AD142" s="419">
        <v>1</v>
      </c>
      <c r="AE142" s="419">
        <f t="shared" si="131"/>
        <v>0.25</v>
      </c>
      <c r="AF142" s="433">
        <f>+AC142*E142</f>
        <v>0</v>
      </c>
      <c r="AG142" s="457">
        <f>+AD142*E142</f>
        <v>0.1</v>
      </c>
      <c r="AH142" s="459">
        <f>+AE142*E142</f>
        <v>2.5000000000000001E-2</v>
      </c>
      <c r="AI142" s="457">
        <f>+P142/F142</f>
        <v>0</v>
      </c>
      <c r="AJ142" s="459">
        <v>0.5</v>
      </c>
      <c r="AK142" s="1310">
        <f t="shared" si="132"/>
        <v>0.5625</v>
      </c>
      <c r="AL142" s="457">
        <f>+AI142*E142</f>
        <v>0</v>
      </c>
      <c r="AM142" s="458">
        <f>+AJ142*E142</f>
        <v>0.05</v>
      </c>
      <c r="AN142" s="1310">
        <f t="shared" si="124"/>
        <v>5.6250000000000001E-2</v>
      </c>
      <c r="AO142" s="142" t="s">
        <v>1844</v>
      </c>
      <c r="AP142" s="634" t="s">
        <v>1885</v>
      </c>
      <c r="AQ142" s="634" t="s">
        <v>1986</v>
      </c>
      <c r="AR142" s="634" t="s">
        <v>2008</v>
      </c>
      <c r="AS142" s="634" t="s">
        <v>2106</v>
      </c>
      <c r="AT142" s="634" t="s">
        <v>2137</v>
      </c>
      <c r="AU142" s="634" t="s">
        <v>2190</v>
      </c>
      <c r="AV142" s="634" t="s">
        <v>1887</v>
      </c>
      <c r="AW142" s="634" t="s">
        <v>2294</v>
      </c>
    </row>
    <row r="143" spans="1:49" ht="72" customHeight="1" thickBot="1" x14ac:dyDescent="0.45">
      <c r="A143" s="223"/>
      <c r="B143" s="1295" t="s">
        <v>1610</v>
      </c>
      <c r="C143" s="1292"/>
      <c r="D143" s="360"/>
      <c r="E143" s="379">
        <v>0.1</v>
      </c>
      <c r="F143" s="383"/>
      <c r="G143" s="382"/>
      <c r="H143" s="388"/>
      <c r="I143" s="388"/>
      <c r="J143" s="381">
        <f>+AVERAGE(J144:J147)</f>
        <v>0.25</v>
      </c>
      <c r="K143" s="401">
        <f>+AVERAGE(K144:K147)</f>
        <v>0.27083333333333337</v>
      </c>
      <c r="L143" s="453">
        <f>+AVERAGE(L144:L147)</f>
        <v>0.27500000000000002</v>
      </c>
      <c r="M143" s="381">
        <f>+M144+M145+M146+M147</f>
        <v>0.25</v>
      </c>
      <c r="N143" s="381">
        <f>+N144+N145+N146+N147</f>
        <v>0.28000000000000003</v>
      </c>
      <c r="O143" s="381"/>
      <c r="P143" s="382"/>
      <c r="Q143" s="388"/>
      <c r="R143" s="388"/>
      <c r="S143" s="388"/>
      <c r="T143" s="388"/>
      <c r="U143" s="833"/>
      <c r="V143" s="388"/>
      <c r="W143" s="388"/>
      <c r="X143" s="385"/>
      <c r="Y143" s="385"/>
      <c r="Z143" s="385"/>
      <c r="AA143" s="385"/>
      <c r="AB143" s="385"/>
      <c r="AC143" s="441">
        <f>+AVERAGE(AC144:AC147)</f>
        <v>0.81166666666666665</v>
      </c>
      <c r="AD143" s="441">
        <f>+AVERAGE(AD144:AD147)</f>
        <v>0.98529411764705888</v>
      </c>
      <c r="AE143" s="441">
        <f>+AVERAGE(AE144:AE147)</f>
        <v>0.35773809523809524</v>
      </c>
      <c r="AF143" s="441">
        <f>+(AF144+AF145+AF146+AF147)*E143</f>
        <v>7.9200000000000007E-2</v>
      </c>
      <c r="AG143" s="460">
        <f>+(AG144+AG145+AG146+AG147)*E143</f>
        <v>9.823529411764706E-2</v>
      </c>
      <c r="AH143" s="882">
        <f>+(AH144+AH145+AH146+AH147)*E143</f>
        <v>3.0785714285714284E-2</v>
      </c>
      <c r="AI143" s="401">
        <f>+AVERAGE(AI144:AI147)</f>
        <v>0.20291666666666666</v>
      </c>
      <c r="AJ143" s="461">
        <v>0.46958333333333335</v>
      </c>
      <c r="AK143" s="461">
        <f>+AVERAGE(AK144:AK147)</f>
        <v>0.57687500000000003</v>
      </c>
      <c r="AL143" s="401">
        <f>+(AL144+AL145+AL146+AL147)*E143</f>
        <v>1.9800000000000002E-2</v>
      </c>
      <c r="AM143" s="453">
        <f>+(AM144+AM145+AM146+AM147)</f>
        <v>0.47299999999999998</v>
      </c>
      <c r="AN143" s="453">
        <f>+(AN144+AN145+AN146+AN147)</f>
        <v>0.56425000000000003</v>
      </c>
      <c r="AO143" s="136"/>
      <c r="AP143" s="359"/>
      <c r="AQ143" s="359"/>
      <c r="AR143" s="359"/>
      <c r="AS143" s="359"/>
      <c r="AT143" s="359"/>
      <c r="AU143" s="158"/>
      <c r="AV143" s="158"/>
    </row>
    <row r="144" spans="1:49" ht="84" customHeight="1" thickBot="1" x14ac:dyDescent="0.4">
      <c r="A144" s="223"/>
      <c r="B144" s="1147" t="s">
        <v>250</v>
      </c>
      <c r="C144" s="1147" t="s">
        <v>251</v>
      </c>
      <c r="D144" s="361" t="s">
        <v>58</v>
      </c>
      <c r="E144" s="269">
        <v>0.4</v>
      </c>
      <c r="F144" s="383">
        <v>200</v>
      </c>
      <c r="G144" s="384">
        <v>50</v>
      </c>
      <c r="H144" s="385">
        <v>60</v>
      </c>
      <c r="I144" s="385">
        <v>50</v>
      </c>
      <c r="J144" s="386">
        <f>+G144/F144</f>
        <v>0.25</v>
      </c>
      <c r="K144" s="402">
        <f t="shared" si="117"/>
        <v>0.3</v>
      </c>
      <c r="L144" s="403">
        <f>+I144/F144</f>
        <v>0.25</v>
      </c>
      <c r="M144" s="389">
        <f>+(G144/F144)*E144</f>
        <v>0.1</v>
      </c>
      <c r="N144" s="389">
        <f t="shared" si="120"/>
        <v>0.12</v>
      </c>
      <c r="O144" s="389"/>
      <c r="P144" s="384">
        <v>39</v>
      </c>
      <c r="Q144" s="443">
        <v>0</v>
      </c>
      <c r="R144" s="439">
        <v>0</v>
      </c>
      <c r="S144" s="439">
        <v>0</v>
      </c>
      <c r="T144" s="439">
        <v>60</v>
      </c>
      <c r="U144" s="439"/>
      <c r="V144" s="385">
        <f>+Q144+R144+S144+T144+U144</f>
        <v>60</v>
      </c>
      <c r="W144" s="385">
        <f>+V144+P144+AB144</f>
        <v>99</v>
      </c>
      <c r="X144" s="439">
        <v>0</v>
      </c>
      <c r="Y144" s="439">
        <v>0</v>
      </c>
      <c r="Z144" s="385"/>
      <c r="AA144" s="385"/>
      <c r="AB144" s="385">
        <f t="shared" si="121"/>
        <v>0</v>
      </c>
      <c r="AC144" s="386">
        <f>+(P144/G144)</f>
        <v>0.78</v>
      </c>
      <c r="AD144" s="419">
        <f t="shared" si="133"/>
        <v>1</v>
      </c>
      <c r="AE144" s="419">
        <f t="shared" si="131"/>
        <v>0</v>
      </c>
      <c r="AF144" s="433">
        <f>+AC144*E144</f>
        <v>0.31200000000000006</v>
      </c>
      <c r="AG144" s="457">
        <f t="shared" ref="AG144:AG170" si="134">+AD144*E144</f>
        <v>0.4</v>
      </c>
      <c r="AH144" s="464">
        <f t="shared" ref="AH144:AH170" si="135">+AE144*E144</f>
        <v>0</v>
      </c>
      <c r="AI144" s="457">
        <f>+P144/F144</f>
        <v>0.19500000000000001</v>
      </c>
      <c r="AJ144" s="464">
        <v>0.495</v>
      </c>
      <c r="AK144" s="464">
        <f t="shared" si="132"/>
        <v>0.495</v>
      </c>
      <c r="AL144" s="457">
        <f>+AI144*E144</f>
        <v>7.8000000000000014E-2</v>
      </c>
      <c r="AM144" s="458">
        <f>+AJ144*E144</f>
        <v>0.19800000000000001</v>
      </c>
      <c r="AN144" s="1310">
        <f t="shared" si="124"/>
        <v>0.19800000000000001</v>
      </c>
      <c r="AO144" s="142" t="s">
        <v>1844</v>
      </c>
      <c r="AP144" s="634" t="s">
        <v>1885</v>
      </c>
      <c r="AQ144" s="634" t="s">
        <v>1986</v>
      </c>
      <c r="AR144" s="634" t="s">
        <v>2008</v>
      </c>
      <c r="AS144" s="634" t="s">
        <v>2106</v>
      </c>
      <c r="AT144" s="634" t="s">
        <v>2137</v>
      </c>
      <c r="AU144" s="634" t="s">
        <v>2190</v>
      </c>
      <c r="AV144" s="634" t="s">
        <v>1887</v>
      </c>
      <c r="AW144" s="634" t="s">
        <v>2294</v>
      </c>
    </row>
    <row r="145" spans="1:49" ht="101.4" customHeight="1" thickBot="1" x14ac:dyDescent="0.4">
      <c r="A145" s="223"/>
      <c r="B145" s="1147" t="s">
        <v>252</v>
      </c>
      <c r="C145" s="1147" t="s">
        <v>253</v>
      </c>
      <c r="D145" s="361" t="s">
        <v>58</v>
      </c>
      <c r="E145" s="269">
        <v>0.1</v>
      </c>
      <c r="F145" s="383">
        <v>4</v>
      </c>
      <c r="G145" s="384">
        <v>1</v>
      </c>
      <c r="H145" s="385">
        <v>1</v>
      </c>
      <c r="I145" s="385">
        <v>1</v>
      </c>
      <c r="J145" s="386">
        <f>+G145/F145</f>
        <v>0.25</v>
      </c>
      <c r="K145" s="402">
        <f t="shared" si="117"/>
        <v>0.25</v>
      </c>
      <c r="L145" s="403">
        <f t="shared" si="118"/>
        <v>0.25</v>
      </c>
      <c r="M145" s="389">
        <f>+(G145/F145)*E145</f>
        <v>2.5000000000000001E-2</v>
      </c>
      <c r="N145" s="389">
        <f t="shared" si="120"/>
        <v>2.5000000000000001E-2</v>
      </c>
      <c r="O145" s="389"/>
      <c r="P145" s="384">
        <v>1</v>
      </c>
      <c r="Q145" s="443">
        <v>0</v>
      </c>
      <c r="R145" s="439">
        <v>0</v>
      </c>
      <c r="S145" s="439">
        <v>0</v>
      </c>
      <c r="T145" s="439">
        <v>0</v>
      </c>
      <c r="U145" s="439">
        <v>1</v>
      </c>
      <c r="V145" s="385">
        <f t="shared" ref="V145:V147" si="136">+Q145+R145+S145+T145+U145</f>
        <v>1</v>
      </c>
      <c r="W145" s="385">
        <f t="shared" ref="W145:W147" si="137">+V145+P145+AB145</f>
        <v>2.25</v>
      </c>
      <c r="X145" s="439">
        <v>0</v>
      </c>
      <c r="Y145" s="439">
        <v>0.25</v>
      </c>
      <c r="Z145" s="385"/>
      <c r="AA145" s="385"/>
      <c r="AB145" s="385">
        <f t="shared" si="121"/>
        <v>0.25</v>
      </c>
      <c r="AC145" s="386">
        <f>+(P145/G145)</f>
        <v>1</v>
      </c>
      <c r="AD145" s="419">
        <f t="shared" si="133"/>
        <v>1</v>
      </c>
      <c r="AE145" s="419">
        <f t="shared" si="131"/>
        <v>0.25</v>
      </c>
      <c r="AF145" s="433">
        <f>+AC145*E145</f>
        <v>0.1</v>
      </c>
      <c r="AG145" s="457">
        <f t="shared" si="134"/>
        <v>0.1</v>
      </c>
      <c r="AH145" s="458">
        <f t="shared" si="135"/>
        <v>2.5000000000000001E-2</v>
      </c>
      <c r="AI145" s="457">
        <f>+P145/F145</f>
        <v>0.25</v>
      </c>
      <c r="AJ145" s="458">
        <v>0.5</v>
      </c>
      <c r="AK145" s="458">
        <f t="shared" si="132"/>
        <v>0.5625</v>
      </c>
      <c r="AL145" s="457">
        <f>+AI145*E145</f>
        <v>2.5000000000000001E-2</v>
      </c>
      <c r="AM145" s="458">
        <f>+AJ145*E145</f>
        <v>0.05</v>
      </c>
      <c r="AN145" s="1310">
        <f t="shared" si="124"/>
        <v>5.6250000000000001E-2</v>
      </c>
      <c r="AO145" s="142" t="s">
        <v>1844</v>
      </c>
      <c r="AP145" s="634" t="s">
        <v>1885</v>
      </c>
      <c r="AQ145" s="634" t="s">
        <v>1986</v>
      </c>
      <c r="AR145" s="634" t="s">
        <v>2008</v>
      </c>
      <c r="AS145" s="634" t="s">
        <v>2106</v>
      </c>
      <c r="AT145" s="634" t="s">
        <v>2137</v>
      </c>
      <c r="AU145" s="634" t="s">
        <v>2190</v>
      </c>
      <c r="AV145" s="634" t="s">
        <v>1887</v>
      </c>
      <c r="AW145" s="634" t="s">
        <v>2294</v>
      </c>
    </row>
    <row r="146" spans="1:49" ht="101.4" customHeight="1" thickBot="1" x14ac:dyDescent="0.4">
      <c r="A146" s="223"/>
      <c r="B146" s="1147" t="s">
        <v>254</v>
      </c>
      <c r="C146" s="1147" t="s">
        <v>255</v>
      </c>
      <c r="D146" s="361" t="s">
        <v>58</v>
      </c>
      <c r="E146" s="269">
        <v>0.2</v>
      </c>
      <c r="F146" s="383">
        <v>20</v>
      </c>
      <c r="G146" s="384">
        <v>5</v>
      </c>
      <c r="H146" s="385">
        <v>5</v>
      </c>
      <c r="I146" s="385">
        <v>7</v>
      </c>
      <c r="J146" s="386">
        <f>+G146/F146</f>
        <v>0.25</v>
      </c>
      <c r="K146" s="402">
        <f t="shared" si="117"/>
        <v>0.25</v>
      </c>
      <c r="L146" s="403">
        <f>+I146/F146</f>
        <v>0.35</v>
      </c>
      <c r="M146" s="389">
        <f>+(G146/F146)*E146</f>
        <v>0.05</v>
      </c>
      <c r="N146" s="389">
        <f t="shared" si="120"/>
        <v>0.05</v>
      </c>
      <c r="O146" s="389"/>
      <c r="P146" s="384">
        <v>3</v>
      </c>
      <c r="Q146" s="443">
        <v>0</v>
      </c>
      <c r="R146" s="439">
        <v>0</v>
      </c>
      <c r="S146" s="439">
        <v>1</v>
      </c>
      <c r="T146" s="439">
        <v>3</v>
      </c>
      <c r="U146" s="439">
        <v>1</v>
      </c>
      <c r="V146" s="385">
        <f t="shared" si="136"/>
        <v>5</v>
      </c>
      <c r="W146" s="385">
        <f t="shared" si="137"/>
        <v>13</v>
      </c>
      <c r="X146" s="439">
        <v>3</v>
      </c>
      <c r="Y146" s="439">
        <v>2</v>
      </c>
      <c r="Z146" s="385"/>
      <c r="AA146" s="385"/>
      <c r="AB146" s="385">
        <f t="shared" si="121"/>
        <v>5</v>
      </c>
      <c r="AC146" s="386">
        <f>+(P146/G146)</f>
        <v>0.6</v>
      </c>
      <c r="AD146" s="419">
        <f t="shared" si="133"/>
        <v>1</v>
      </c>
      <c r="AE146" s="419">
        <f t="shared" si="131"/>
        <v>0.7142857142857143</v>
      </c>
      <c r="AF146" s="433">
        <f>+AC146*E146</f>
        <v>0.12</v>
      </c>
      <c r="AG146" s="457">
        <f t="shared" si="134"/>
        <v>0.2</v>
      </c>
      <c r="AH146" s="458">
        <f t="shared" si="135"/>
        <v>0.14285714285714288</v>
      </c>
      <c r="AI146" s="457">
        <f>+P146/F146</f>
        <v>0.15</v>
      </c>
      <c r="AJ146" s="458">
        <v>0.4</v>
      </c>
      <c r="AK146" s="458">
        <f t="shared" si="132"/>
        <v>0.65</v>
      </c>
      <c r="AL146" s="457">
        <f>+AI146*E146</f>
        <v>0.03</v>
      </c>
      <c r="AM146" s="458">
        <f>+AJ146*E146</f>
        <v>8.0000000000000016E-2</v>
      </c>
      <c r="AN146" s="1310">
        <f t="shared" si="124"/>
        <v>0.13</v>
      </c>
      <c r="AO146" s="142" t="s">
        <v>1844</v>
      </c>
      <c r="AP146" s="634" t="s">
        <v>1885</v>
      </c>
      <c r="AQ146" s="634" t="s">
        <v>1986</v>
      </c>
      <c r="AR146" s="634" t="s">
        <v>2008</v>
      </c>
      <c r="AS146" s="634" t="s">
        <v>2106</v>
      </c>
      <c r="AT146" s="634" t="s">
        <v>2137</v>
      </c>
      <c r="AU146" s="634" t="s">
        <v>2190</v>
      </c>
      <c r="AV146" s="634" t="s">
        <v>1887</v>
      </c>
      <c r="AW146" s="634" t="s">
        <v>2294</v>
      </c>
    </row>
    <row r="147" spans="1:49" ht="82.95" customHeight="1" thickBot="1" x14ac:dyDescent="0.4">
      <c r="A147" s="223"/>
      <c r="B147" s="1147" t="s">
        <v>1560</v>
      </c>
      <c r="C147" s="1301" t="s">
        <v>1561</v>
      </c>
      <c r="D147" s="361" t="s">
        <v>58</v>
      </c>
      <c r="E147" s="269">
        <v>0.3</v>
      </c>
      <c r="F147" s="432">
        <v>60</v>
      </c>
      <c r="G147" s="384">
        <v>15</v>
      </c>
      <c r="H147" s="440">
        <v>17</v>
      </c>
      <c r="I147" s="440">
        <v>15</v>
      </c>
      <c r="J147" s="386">
        <f>+G147/F147</f>
        <v>0.25</v>
      </c>
      <c r="K147" s="402">
        <f t="shared" si="117"/>
        <v>0.28333333333333333</v>
      </c>
      <c r="L147" s="403">
        <f t="shared" si="118"/>
        <v>0.25</v>
      </c>
      <c r="M147" s="389">
        <f>+(G147/F147)*E147</f>
        <v>7.4999999999999997E-2</v>
      </c>
      <c r="N147" s="389">
        <f t="shared" si="120"/>
        <v>8.4999999999999992E-2</v>
      </c>
      <c r="O147" s="389"/>
      <c r="P147" s="385">
        <v>13</v>
      </c>
      <c r="Q147" s="443">
        <v>0</v>
      </c>
      <c r="R147" s="439">
        <v>13</v>
      </c>
      <c r="S147" s="439">
        <v>0</v>
      </c>
      <c r="T147" s="439">
        <v>3</v>
      </c>
      <c r="U147" s="439">
        <v>0</v>
      </c>
      <c r="V147" s="385">
        <f t="shared" si="136"/>
        <v>16</v>
      </c>
      <c r="W147" s="385">
        <f t="shared" si="137"/>
        <v>36</v>
      </c>
      <c r="X147" s="439">
        <v>0</v>
      </c>
      <c r="Y147" s="439">
        <v>7</v>
      </c>
      <c r="Z147" s="385"/>
      <c r="AA147" s="385"/>
      <c r="AB147" s="385">
        <f t="shared" si="121"/>
        <v>7</v>
      </c>
      <c r="AC147" s="386">
        <f>+(P147/G147)</f>
        <v>0.8666666666666667</v>
      </c>
      <c r="AD147" s="419">
        <f t="shared" si="133"/>
        <v>0.94117647058823528</v>
      </c>
      <c r="AE147" s="419">
        <f t="shared" si="131"/>
        <v>0.46666666666666667</v>
      </c>
      <c r="AF147" s="433">
        <f>+AC147*E147</f>
        <v>0.26</v>
      </c>
      <c r="AG147" s="457">
        <f t="shared" si="134"/>
        <v>0.28235294117647058</v>
      </c>
      <c r="AH147" s="459">
        <f t="shared" si="135"/>
        <v>0.13999999999999999</v>
      </c>
      <c r="AI147" s="457">
        <f>+P147/F147</f>
        <v>0.21666666666666667</v>
      </c>
      <c r="AJ147" s="459">
        <v>0.48333333333333334</v>
      </c>
      <c r="AK147" s="459">
        <f t="shared" si="132"/>
        <v>0.6</v>
      </c>
      <c r="AL147" s="457">
        <f>+AI147*E147</f>
        <v>6.5000000000000002E-2</v>
      </c>
      <c r="AM147" s="458">
        <f>+AJ147*E147</f>
        <v>0.14499999999999999</v>
      </c>
      <c r="AN147" s="1310">
        <f t="shared" si="124"/>
        <v>0.18</v>
      </c>
      <c r="AO147" s="142" t="s">
        <v>1844</v>
      </c>
      <c r="AP147" s="634" t="s">
        <v>1885</v>
      </c>
      <c r="AQ147" s="634" t="s">
        <v>1986</v>
      </c>
      <c r="AR147" s="634" t="s">
        <v>2008</v>
      </c>
      <c r="AS147" s="634" t="s">
        <v>2106</v>
      </c>
      <c r="AT147" s="634" t="s">
        <v>2137</v>
      </c>
      <c r="AU147" s="634" t="s">
        <v>2190</v>
      </c>
      <c r="AV147" s="634" t="s">
        <v>1887</v>
      </c>
      <c r="AW147" s="634" t="s">
        <v>2294</v>
      </c>
    </row>
    <row r="148" spans="1:49" ht="86.25" customHeight="1" thickBot="1" x14ac:dyDescent="0.45">
      <c r="A148" s="223"/>
      <c r="B148" s="1295" t="s">
        <v>1611</v>
      </c>
      <c r="C148" s="1297"/>
      <c r="D148" s="360"/>
      <c r="E148" s="379">
        <v>0.2</v>
      </c>
      <c r="F148" s="383"/>
      <c r="G148" s="382"/>
      <c r="H148" s="388"/>
      <c r="I148" s="388"/>
      <c r="J148" s="381">
        <f>+AVERAGE(J149:J152)</f>
        <v>0.25</v>
      </c>
      <c r="K148" s="401">
        <f>+AVERAGE(K149:K152)</f>
        <v>0.22500000000000001</v>
      </c>
      <c r="L148" s="453">
        <f>+AVERAGE(L149:L152)</f>
        <v>0.25</v>
      </c>
      <c r="M148" s="381">
        <f>+M149+M150+M151+M152</f>
        <v>0.15000000000000002</v>
      </c>
      <c r="N148" s="381">
        <f>+N149+N150+N151+N152</f>
        <v>0.20374999999999999</v>
      </c>
      <c r="O148" s="381"/>
      <c r="P148" s="382"/>
      <c r="Q148" s="388"/>
      <c r="R148" s="388"/>
      <c r="S148" s="388"/>
      <c r="T148" s="388"/>
      <c r="U148" s="833"/>
      <c r="V148" s="388"/>
      <c r="W148" s="388"/>
      <c r="X148" s="385"/>
      <c r="Y148" s="385"/>
      <c r="Z148" s="385"/>
      <c r="AA148" s="385"/>
      <c r="AB148" s="385"/>
      <c r="AC148" s="441">
        <f>+AVERAGE(AC149:AC152)</f>
        <v>1</v>
      </c>
      <c r="AD148" s="441">
        <f>+AVERAGE(AD149:AD152)</f>
        <v>1</v>
      </c>
      <c r="AE148" s="441">
        <f>+AVERAGE(AE149:AE152)</f>
        <v>0.75</v>
      </c>
      <c r="AF148" s="441">
        <f>+(AF149+AF150+AF151+AF152)*E148</f>
        <v>0.12000000000000002</v>
      </c>
      <c r="AG148" s="460">
        <f>+(AG149+AG150+AG151+AG152)*E148</f>
        <v>0.2</v>
      </c>
      <c r="AH148" s="882">
        <f>+(AH149+AH150+AH151+AH152)*E148</f>
        <v>0.14500000000000002</v>
      </c>
      <c r="AI148" s="401">
        <f>+AVERAGE(AI149:AI152)</f>
        <v>0.40833333333333338</v>
      </c>
      <c r="AJ148" s="461">
        <v>0.55000000000000004</v>
      </c>
      <c r="AK148" s="461">
        <f>+AVERAGE(AK149:AK152)</f>
        <v>0.72499999999999998</v>
      </c>
      <c r="AL148" s="401">
        <f>+(AL149+AL150+AL151+AL152)*E148</f>
        <v>4.4250000000000005E-2</v>
      </c>
      <c r="AM148" s="453">
        <f>+(AM149+AM150+AM151+AM152)</f>
        <v>0.45500000000000002</v>
      </c>
      <c r="AN148" s="453">
        <f>+(AN149+AN150+AN151+AN152)</f>
        <v>0.64749999999999996</v>
      </c>
      <c r="AO148" s="136"/>
      <c r="AP148" s="634" t="s">
        <v>1985</v>
      </c>
      <c r="AQ148" s="634" t="s">
        <v>1987</v>
      </c>
      <c r="AR148" s="359"/>
      <c r="AS148" s="359"/>
      <c r="AT148" s="359"/>
      <c r="AU148" s="158"/>
      <c r="AV148" s="158"/>
    </row>
    <row r="149" spans="1:49" ht="68.400000000000006" customHeight="1" thickBot="1" x14ac:dyDescent="0.4">
      <c r="A149" s="223"/>
      <c r="B149" s="1302" t="s">
        <v>256</v>
      </c>
      <c r="C149" s="1303" t="s">
        <v>257</v>
      </c>
      <c r="D149" s="1012" t="s">
        <v>58</v>
      </c>
      <c r="E149" s="269">
        <v>0.05</v>
      </c>
      <c r="F149" s="383">
        <v>4</v>
      </c>
      <c r="G149" s="384">
        <v>1</v>
      </c>
      <c r="H149" s="385">
        <v>1</v>
      </c>
      <c r="I149" s="385">
        <v>1</v>
      </c>
      <c r="J149" s="386">
        <f>+G149/F149</f>
        <v>0.25</v>
      </c>
      <c r="K149" s="402">
        <f t="shared" si="117"/>
        <v>0.25</v>
      </c>
      <c r="L149" s="403">
        <f t="shared" si="118"/>
        <v>0.25</v>
      </c>
      <c r="M149" s="389">
        <f>+(G149/F149)*E149</f>
        <v>1.2500000000000001E-2</v>
      </c>
      <c r="N149" s="389">
        <f t="shared" si="120"/>
        <v>1.2500000000000001E-2</v>
      </c>
      <c r="O149" s="389"/>
      <c r="P149" s="385">
        <v>1</v>
      </c>
      <c r="Q149" s="439">
        <v>0</v>
      </c>
      <c r="R149" s="439">
        <v>1</v>
      </c>
      <c r="S149" s="439">
        <v>0</v>
      </c>
      <c r="T149" s="439">
        <v>0</v>
      </c>
      <c r="U149" s="439">
        <v>0</v>
      </c>
      <c r="V149" s="385">
        <f>+Q149+R149+S149+T149+U149</f>
        <v>1</v>
      </c>
      <c r="W149" s="385">
        <f>+V149+P149+AB149</f>
        <v>3</v>
      </c>
      <c r="X149" s="439">
        <v>1</v>
      </c>
      <c r="Y149" s="439">
        <v>0</v>
      </c>
      <c r="Z149" s="385"/>
      <c r="AA149" s="385"/>
      <c r="AB149" s="385">
        <f t="shared" si="121"/>
        <v>1</v>
      </c>
      <c r="AC149" s="386">
        <f>+(P149/G149)</f>
        <v>1</v>
      </c>
      <c r="AD149" s="419">
        <f t="shared" si="133"/>
        <v>1</v>
      </c>
      <c r="AE149" s="419">
        <f t="shared" si="131"/>
        <v>1</v>
      </c>
      <c r="AF149" s="433">
        <f>+AC149*E149</f>
        <v>0.05</v>
      </c>
      <c r="AG149" s="457">
        <f t="shared" si="134"/>
        <v>0.05</v>
      </c>
      <c r="AH149" s="464">
        <f t="shared" si="135"/>
        <v>0.05</v>
      </c>
      <c r="AI149" s="457">
        <f>+P149/F149</f>
        <v>0.25</v>
      </c>
      <c r="AJ149" s="464">
        <v>0.5</v>
      </c>
      <c r="AK149" s="464">
        <f t="shared" si="132"/>
        <v>0.75</v>
      </c>
      <c r="AL149" s="457">
        <f>+AI149*E149</f>
        <v>1.2500000000000001E-2</v>
      </c>
      <c r="AM149" s="458">
        <f>+AJ149*E149</f>
        <v>2.5000000000000001E-2</v>
      </c>
      <c r="AN149" s="1310">
        <f t="shared" si="124"/>
        <v>3.7500000000000006E-2</v>
      </c>
      <c r="AO149" s="142" t="s">
        <v>1844</v>
      </c>
      <c r="AP149" s="634" t="s">
        <v>1885</v>
      </c>
      <c r="AQ149" s="634" t="s">
        <v>1986</v>
      </c>
      <c r="AR149" s="634" t="s">
        <v>2008</v>
      </c>
      <c r="AS149" s="634" t="s">
        <v>2106</v>
      </c>
      <c r="AT149" s="634" t="s">
        <v>2137</v>
      </c>
      <c r="AU149" s="634" t="s">
        <v>2190</v>
      </c>
      <c r="AV149" s="634" t="s">
        <v>1887</v>
      </c>
      <c r="AW149" s="634" t="s">
        <v>2294</v>
      </c>
    </row>
    <row r="150" spans="1:49" ht="84.6" customHeight="1" thickBot="1" x14ac:dyDescent="0.4">
      <c r="A150" s="223"/>
      <c r="B150" s="1302" t="s">
        <v>258</v>
      </c>
      <c r="C150" s="1303" t="s">
        <v>259</v>
      </c>
      <c r="D150" s="1012" t="s">
        <v>58</v>
      </c>
      <c r="E150" s="269">
        <v>0.15</v>
      </c>
      <c r="F150" s="383">
        <v>40</v>
      </c>
      <c r="G150" s="384">
        <v>10</v>
      </c>
      <c r="H150" s="440">
        <v>11</v>
      </c>
      <c r="I150" s="440">
        <v>10</v>
      </c>
      <c r="J150" s="386">
        <f>+G150/F150</f>
        <v>0.25</v>
      </c>
      <c r="K150" s="402">
        <f t="shared" si="117"/>
        <v>0.27500000000000002</v>
      </c>
      <c r="L150" s="403"/>
      <c r="M150" s="389">
        <f>+(G150/F150)*E150</f>
        <v>3.7499999999999999E-2</v>
      </c>
      <c r="N150" s="389">
        <f t="shared" si="120"/>
        <v>4.1250000000000002E-2</v>
      </c>
      <c r="O150" s="389"/>
      <c r="P150" s="385">
        <v>29</v>
      </c>
      <c r="Q150" s="439">
        <v>2</v>
      </c>
      <c r="R150" s="439">
        <v>4</v>
      </c>
      <c r="S150" s="439">
        <v>1</v>
      </c>
      <c r="T150" s="439">
        <v>6</v>
      </c>
      <c r="U150" s="439">
        <v>4</v>
      </c>
      <c r="V150" s="385">
        <f t="shared" ref="V150:V152" si="138">+Q150+R150+S150+T150+U150</f>
        <v>17</v>
      </c>
      <c r="W150" s="385">
        <f t="shared" ref="W150:W152" si="139">+V150+P150+AB150</f>
        <v>51</v>
      </c>
      <c r="X150" s="439">
        <v>2</v>
      </c>
      <c r="Y150" s="439">
        <v>3</v>
      </c>
      <c r="Z150" s="385"/>
      <c r="AA150" s="385"/>
      <c r="AB150" s="385">
        <f t="shared" si="121"/>
        <v>5</v>
      </c>
      <c r="AC150" s="386">
        <v>1</v>
      </c>
      <c r="AD150" s="419">
        <v>1</v>
      </c>
      <c r="AE150" s="419">
        <f t="shared" si="131"/>
        <v>0.5</v>
      </c>
      <c r="AF150" s="433">
        <f>+AC150*E150</f>
        <v>0.15</v>
      </c>
      <c r="AG150" s="457">
        <f t="shared" si="134"/>
        <v>0.15</v>
      </c>
      <c r="AH150" s="458">
        <f t="shared" si="135"/>
        <v>7.4999999999999997E-2</v>
      </c>
      <c r="AI150" s="457">
        <f>+P150/F150</f>
        <v>0.72499999999999998</v>
      </c>
      <c r="AJ150" s="458">
        <v>1</v>
      </c>
      <c r="AK150" s="464">
        <v>1</v>
      </c>
      <c r="AL150" s="457">
        <f>+AI150*E150</f>
        <v>0.10875</v>
      </c>
      <c r="AM150" s="458">
        <f>+AJ150*E150</f>
        <v>0.15</v>
      </c>
      <c r="AN150" s="1310">
        <f t="shared" si="124"/>
        <v>0.15</v>
      </c>
      <c r="AO150" s="142" t="s">
        <v>1844</v>
      </c>
      <c r="AP150" s="634" t="s">
        <v>1885</v>
      </c>
      <c r="AQ150" s="634" t="s">
        <v>1986</v>
      </c>
      <c r="AR150" s="634" t="s">
        <v>2008</v>
      </c>
      <c r="AS150" s="634" t="s">
        <v>2106</v>
      </c>
      <c r="AT150" s="634" t="s">
        <v>2142</v>
      </c>
      <c r="AU150" s="634" t="s">
        <v>2194</v>
      </c>
      <c r="AV150" s="634" t="s">
        <v>1887</v>
      </c>
      <c r="AW150" s="634" t="s">
        <v>2294</v>
      </c>
    </row>
    <row r="151" spans="1:49" ht="98.4" customHeight="1" thickBot="1" x14ac:dyDescent="0.4">
      <c r="A151" s="223"/>
      <c r="B151" s="1302" t="s">
        <v>260</v>
      </c>
      <c r="C151" s="1303" t="s">
        <v>261</v>
      </c>
      <c r="D151" s="1013" t="s">
        <v>58</v>
      </c>
      <c r="E151" s="295">
        <v>0.4</v>
      </c>
      <c r="F151" s="383">
        <f>80*4</f>
        <v>320</v>
      </c>
      <c r="G151" s="384">
        <v>80</v>
      </c>
      <c r="H151" s="385">
        <v>80</v>
      </c>
      <c r="I151" s="385">
        <v>80</v>
      </c>
      <c r="J151" s="386">
        <f>+G151/F151</f>
        <v>0.25</v>
      </c>
      <c r="K151" s="402">
        <f t="shared" si="117"/>
        <v>0.25</v>
      </c>
      <c r="L151" s="403">
        <f t="shared" si="118"/>
        <v>0.25</v>
      </c>
      <c r="M151" s="389">
        <f>+(G151/F151)*E151</f>
        <v>0.1</v>
      </c>
      <c r="N151" s="389">
        <f t="shared" si="120"/>
        <v>0.1</v>
      </c>
      <c r="O151" s="389"/>
      <c r="P151" s="385">
        <v>80</v>
      </c>
      <c r="Q151" s="439">
        <v>20</v>
      </c>
      <c r="R151" s="439">
        <v>20</v>
      </c>
      <c r="S151" s="439">
        <v>20</v>
      </c>
      <c r="T151" s="439">
        <v>20</v>
      </c>
      <c r="U151" s="439">
        <v>0</v>
      </c>
      <c r="V151" s="385">
        <f t="shared" si="138"/>
        <v>80</v>
      </c>
      <c r="W151" s="385">
        <f t="shared" si="139"/>
        <v>200</v>
      </c>
      <c r="X151" s="439">
        <v>20</v>
      </c>
      <c r="Y151" s="439">
        <v>20</v>
      </c>
      <c r="Z151" s="385"/>
      <c r="AA151" s="385"/>
      <c r="AB151" s="385">
        <f t="shared" si="121"/>
        <v>40</v>
      </c>
      <c r="AC151" s="386">
        <f>+(P151/G151)</f>
        <v>1</v>
      </c>
      <c r="AD151" s="419">
        <v>1</v>
      </c>
      <c r="AE151" s="419">
        <f t="shared" si="131"/>
        <v>0.5</v>
      </c>
      <c r="AF151" s="433">
        <f>+AC151*E151</f>
        <v>0.4</v>
      </c>
      <c r="AG151" s="457">
        <f t="shared" si="134"/>
        <v>0.4</v>
      </c>
      <c r="AH151" s="458">
        <f t="shared" si="135"/>
        <v>0.2</v>
      </c>
      <c r="AI151" s="457">
        <f>+P151/F151</f>
        <v>0.25</v>
      </c>
      <c r="AJ151" s="459">
        <v>0.5</v>
      </c>
      <c r="AK151" s="459">
        <f t="shared" si="132"/>
        <v>0.625</v>
      </c>
      <c r="AL151" s="457">
        <f>+AI151*E151</f>
        <v>0.1</v>
      </c>
      <c r="AM151" s="458">
        <f>+AJ151*E151</f>
        <v>0.2</v>
      </c>
      <c r="AN151" s="1310">
        <f t="shared" si="124"/>
        <v>0.25</v>
      </c>
      <c r="AO151" s="142" t="s">
        <v>1844</v>
      </c>
      <c r="AP151" s="538" t="s">
        <v>1928</v>
      </c>
      <c r="AQ151" s="634" t="s">
        <v>1986</v>
      </c>
      <c r="AR151" s="634" t="s">
        <v>2008</v>
      </c>
      <c r="AS151" s="634" t="s">
        <v>2106</v>
      </c>
      <c r="AT151" s="634" t="s">
        <v>2137</v>
      </c>
      <c r="AU151" s="634" t="s">
        <v>2190</v>
      </c>
      <c r="AV151" s="634" t="s">
        <v>1887</v>
      </c>
      <c r="AW151" s="634" t="s">
        <v>2294</v>
      </c>
    </row>
    <row r="152" spans="1:49" ht="89.4" customHeight="1" thickBot="1" x14ac:dyDescent="0.4">
      <c r="A152" s="223"/>
      <c r="B152" s="1302" t="s">
        <v>262</v>
      </c>
      <c r="C152" s="1303" t="s">
        <v>263</v>
      </c>
      <c r="D152" s="1012" t="s">
        <v>58</v>
      </c>
      <c r="E152" s="269">
        <v>0.4</v>
      </c>
      <c r="F152" s="383">
        <v>80</v>
      </c>
      <c r="G152" s="384">
        <v>0</v>
      </c>
      <c r="H152" s="385">
        <v>10</v>
      </c>
      <c r="I152" s="385">
        <v>20</v>
      </c>
      <c r="J152" s="386"/>
      <c r="K152" s="402">
        <f t="shared" si="117"/>
        <v>0.125</v>
      </c>
      <c r="L152" s="403">
        <f>+I152/F152</f>
        <v>0.25</v>
      </c>
      <c r="M152" s="389"/>
      <c r="N152" s="389">
        <f t="shared" si="120"/>
        <v>0.05</v>
      </c>
      <c r="O152" s="389"/>
      <c r="P152" s="385"/>
      <c r="Q152" s="439">
        <v>3</v>
      </c>
      <c r="R152" s="439">
        <v>7</v>
      </c>
      <c r="S152" s="439">
        <v>6</v>
      </c>
      <c r="T152" s="439">
        <v>0</v>
      </c>
      <c r="U152" s="439">
        <v>0</v>
      </c>
      <c r="V152" s="385">
        <f t="shared" si="138"/>
        <v>16</v>
      </c>
      <c r="W152" s="385">
        <f t="shared" si="139"/>
        <v>42</v>
      </c>
      <c r="X152" s="439">
        <v>0</v>
      </c>
      <c r="Y152" s="439">
        <v>26</v>
      </c>
      <c r="Z152" s="385"/>
      <c r="AA152" s="385"/>
      <c r="AB152" s="385">
        <f t="shared" si="121"/>
        <v>26</v>
      </c>
      <c r="AC152" s="386"/>
      <c r="AD152" s="419">
        <v>1</v>
      </c>
      <c r="AE152" s="419">
        <v>1</v>
      </c>
      <c r="AF152" s="433"/>
      <c r="AG152" s="457">
        <f t="shared" si="134"/>
        <v>0.4</v>
      </c>
      <c r="AH152" s="459">
        <f t="shared" si="135"/>
        <v>0.4</v>
      </c>
      <c r="AI152" s="457"/>
      <c r="AJ152" s="856">
        <v>0.2</v>
      </c>
      <c r="AK152" s="459">
        <f t="shared" si="132"/>
        <v>0.52500000000000002</v>
      </c>
      <c r="AL152" s="457"/>
      <c r="AM152" s="458">
        <f>+AJ152*E152</f>
        <v>8.0000000000000016E-2</v>
      </c>
      <c r="AN152" s="1310">
        <f t="shared" si="124"/>
        <v>0.21000000000000002</v>
      </c>
      <c r="AO152" s="142" t="s">
        <v>1844</v>
      </c>
      <c r="AP152" s="634" t="s">
        <v>1885</v>
      </c>
      <c r="AQ152" s="634" t="s">
        <v>1986</v>
      </c>
      <c r="AR152" s="634" t="s">
        <v>2008</v>
      </c>
      <c r="AS152" s="634" t="s">
        <v>2106</v>
      </c>
      <c r="AT152" s="634" t="s">
        <v>2137</v>
      </c>
      <c r="AU152" s="634" t="s">
        <v>2190</v>
      </c>
      <c r="AV152" s="634" t="s">
        <v>1887</v>
      </c>
      <c r="AW152" s="634" t="s">
        <v>2294</v>
      </c>
    </row>
    <row r="153" spans="1:49" ht="80.400000000000006" customHeight="1" thickBot="1" x14ac:dyDescent="0.45">
      <c r="A153" s="223"/>
      <c r="B153" s="1295" t="s">
        <v>1612</v>
      </c>
      <c r="C153" s="1290"/>
      <c r="D153" s="360"/>
      <c r="E153" s="379">
        <v>0.05</v>
      </c>
      <c r="F153" s="383"/>
      <c r="G153" s="382"/>
      <c r="H153" s="388"/>
      <c r="I153" s="388"/>
      <c r="J153" s="381">
        <f>+AVERAGE(J154:J159)</f>
        <v>0.625</v>
      </c>
      <c r="K153" s="401">
        <f>+AVERAGE(K154:K159)</f>
        <v>0.45611434329197087</v>
      </c>
      <c r="L153" s="453">
        <f>+AVERAGE(L154:L159)</f>
        <v>0.28477224433850634</v>
      </c>
      <c r="M153" s="381">
        <f>+M154+M155+M156+M157+M158+M159</f>
        <v>6.25E-2</v>
      </c>
      <c r="N153" s="381">
        <f>+N154+N155+N156+N157+N158+N159</f>
        <v>0.36258775084671224</v>
      </c>
      <c r="O153" s="381"/>
      <c r="P153" s="382"/>
      <c r="Q153" s="388"/>
      <c r="R153" s="388"/>
      <c r="S153" s="388"/>
      <c r="T153" s="388"/>
      <c r="U153" s="833"/>
      <c r="V153" s="388"/>
      <c r="W153" s="388"/>
      <c r="X153" s="385"/>
      <c r="Y153" s="385"/>
      <c r="Z153" s="385"/>
      <c r="AA153" s="385"/>
      <c r="AB153" s="385"/>
      <c r="AC153" s="441">
        <f>+AVERAGE(AC154:AC159)</f>
        <v>0.5</v>
      </c>
      <c r="AD153" s="441">
        <f>+AVERAGE(AD154:AD159)</f>
        <v>0.96026666666666682</v>
      </c>
      <c r="AE153" s="441">
        <f>+AVERAGE(AE154:AE159)</f>
        <v>0.57999999999999996</v>
      </c>
      <c r="AF153" s="441">
        <f>+(AF154+AF155+AF156+AF157+AF158+AF159)*E153</f>
        <v>2.5000000000000005E-3</v>
      </c>
      <c r="AG153" s="460">
        <f>+(AG154+AG155+AG156+AG157+AG158+AG159)*E153</f>
        <v>4.4023333333333331E-2</v>
      </c>
      <c r="AH153" s="1327">
        <f>+(AH154+AH155+AH156+AH157+AH158+AH159)*E153</f>
        <v>2.7000000000000003E-2</v>
      </c>
      <c r="AI153" s="401">
        <f>+AVERAGE(AI154:AI159)</f>
        <v>0.25</v>
      </c>
      <c r="AJ153" s="912">
        <v>0.61533235743409687</v>
      </c>
      <c r="AK153" s="461">
        <f>+AVERAGE(AK154:AK159)</f>
        <v>0.6699177685170894</v>
      </c>
      <c r="AL153" s="401">
        <f>+(AL154+AL155+AL156+AL157+AL158+AL159)*E153</f>
        <v>1.2500000000000002E-3</v>
      </c>
      <c r="AM153" s="401">
        <f>+(AM154+AM155+AM156+AM157+AM158+AM159)</f>
        <v>0.60701098663218656</v>
      </c>
      <c r="AN153" s="401">
        <f>+(AN154+AN155+AN156+AN157+AN158+AN159)</f>
        <v>0.70728185934043319</v>
      </c>
      <c r="AO153" s="136"/>
      <c r="AP153" s="359"/>
      <c r="AQ153" s="359"/>
      <c r="AR153" s="359"/>
      <c r="AS153" s="359"/>
      <c r="AT153" s="359"/>
      <c r="AU153" s="158"/>
      <c r="AV153" s="158"/>
    </row>
    <row r="154" spans="1:49" ht="91.2" customHeight="1" thickBot="1" x14ac:dyDescent="0.4">
      <c r="A154" s="223"/>
      <c r="B154" s="1147" t="s">
        <v>264</v>
      </c>
      <c r="C154" s="1147" t="s">
        <v>265</v>
      </c>
      <c r="D154" s="361" t="s">
        <v>12</v>
      </c>
      <c r="E154" s="269">
        <v>0.05</v>
      </c>
      <c r="F154" s="383">
        <v>1</v>
      </c>
      <c r="G154" s="384">
        <v>0</v>
      </c>
      <c r="H154" s="385">
        <v>1</v>
      </c>
      <c r="I154" s="385">
        <v>1</v>
      </c>
      <c r="J154" s="386"/>
      <c r="K154" s="402">
        <f>+H154/F154</f>
        <v>1</v>
      </c>
      <c r="L154" s="403">
        <v>0.25</v>
      </c>
      <c r="M154" s="389"/>
      <c r="N154" s="389">
        <f>+(H154/F154)*E154</f>
        <v>0.05</v>
      </c>
      <c r="O154" s="389"/>
      <c r="P154" s="384"/>
      <c r="Q154" s="439">
        <v>1</v>
      </c>
      <c r="R154" s="439">
        <v>0</v>
      </c>
      <c r="S154" s="439">
        <v>0</v>
      </c>
      <c r="T154" s="439">
        <v>0</v>
      </c>
      <c r="U154" s="439">
        <v>0</v>
      </c>
      <c r="V154" s="385">
        <f>+Q154+R154+S154+T154+U154</f>
        <v>1</v>
      </c>
      <c r="W154" s="385">
        <f>+V154+P154+AB154</f>
        <v>1.25</v>
      </c>
      <c r="X154" s="385">
        <v>0.25</v>
      </c>
      <c r="Y154" s="439">
        <v>0</v>
      </c>
      <c r="Z154" s="385"/>
      <c r="AA154" s="385"/>
      <c r="AB154" s="385">
        <f t="shared" si="121"/>
        <v>0.25</v>
      </c>
      <c r="AC154" s="386"/>
      <c r="AD154" s="419">
        <f>+V154/H154</f>
        <v>1</v>
      </c>
      <c r="AE154" s="419">
        <f t="shared" si="131"/>
        <v>0.25</v>
      </c>
      <c r="AF154" s="433"/>
      <c r="AG154" s="457">
        <f t="shared" si="134"/>
        <v>0.05</v>
      </c>
      <c r="AH154" s="458">
        <f t="shared" si="135"/>
        <v>1.2500000000000001E-2</v>
      </c>
      <c r="AI154" s="457"/>
      <c r="AJ154" s="464">
        <v>1</v>
      </c>
      <c r="AK154" s="464">
        <v>0.75</v>
      </c>
      <c r="AL154" s="457">
        <v>0</v>
      </c>
      <c r="AM154" s="458">
        <f t="shared" ref="AM154:AM159" si="140">+AJ154*E154</f>
        <v>0.05</v>
      </c>
      <c r="AN154" s="1310">
        <f t="shared" si="124"/>
        <v>3.7500000000000006E-2</v>
      </c>
      <c r="AO154" s="142" t="s">
        <v>1844</v>
      </c>
      <c r="AP154" s="540" t="s">
        <v>1885</v>
      </c>
      <c r="AQ154" s="634" t="s">
        <v>1986</v>
      </c>
      <c r="AR154" s="634" t="s">
        <v>2008</v>
      </c>
      <c r="AS154" s="538" t="s">
        <v>1859</v>
      </c>
      <c r="AT154" s="634" t="s">
        <v>2137</v>
      </c>
      <c r="AU154" s="634" t="s">
        <v>2190</v>
      </c>
      <c r="AV154" s="634" t="s">
        <v>1887</v>
      </c>
      <c r="AW154" s="634" t="s">
        <v>2294</v>
      </c>
    </row>
    <row r="155" spans="1:49" ht="84.6" customHeight="1" thickBot="1" x14ac:dyDescent="0.4">
      <c r="A155" s="223"/>
      <c r="B155" s="1147" t="s">
        <v>266</v>
      </c>
      <c r="C155" s="1147" t="s">
        <v>267</v>
      </c>
      <c r="D155" s="361" t="s">
        <v>12</v>
      </c>
      <c r="E155" s="269">
        <v>0.05</v>
      </c>
      <c r="F155" s="383">
        <v>8</v>
      </c>
      <c r="G155" s="384">
        <v>2</v>
      </c>
      <c r="H155" s="385">
        <v>2</v>
      </c>
      <c r="I155" s="385">
        <v>2</v>
      </c>
      <c r="J155" s="386">
        <f>+G155/F155</f>
        <v>0.25</v>
      </c>
      <c r="K155" s="402">
        <f t="shared" si="117"/>
        <v>0.25</v>
      </c>
      <c r="L155" s="403"/>
      <c r="M155" s="389">
        <f>+(G155/F155)*E155</f>
        <v>1.2500000000000001E-2</v>
      </c>
      <c r="N155" s="389">
        <f t="shared" si="120"/>
        <v>1.2500000000000001E-2</v>
      </c>
      <c r="O155" s="389"/>
      <c r="P155" s="384">
        <v>4</v>
      </c>
      <c r="Q155" s="439">
        <v>0</v>
      </c>
      <c r="R155" s="439">
        <v>2</v>
      </c>
      <c r="S155" s="439">
        <v>0</v>
      </c>
      <c r="T155" s="439">
        <v>0</v>
      </c>
      <c r="U155" s="439"/>
      <c r="V155" s="385">
        <f t="shared" ref="V155:V159" si="141">+Q155+R155+S155+T155+U155</f>
        <v>2</v>
      </c>
      <c r="W155" s="385">
        <f t="shared" ref="W155:W159" si="142">+V155+P155+AB155</f>
        <v>14</v>
      </c>
      <c r="X155" s="385">
        <v>3</v>
      </c>
      <c r="Y155" s="439">
        <v>5</v>
      </c>
      <c r="Z155" s="385"/>
      <c r="AA155" s="385"/>
      <c r="AB155" s="385">
        <f t="shared" si="121"/>
        <v>8</v>
      </c>
      <c r="AC155" s="386">
        <v>1</v>
      </c>
      <c r="AD155" s="419">
        <f t="shared" ref="AD155:AD156" si="143">+V155/H155</f>
        <v>1</v>
      </c>
      <c r="AE155" s="419">
        <v>1</v>
      </c>
      <c r="AF155" s="433">
        <f>+AC155*E155</f>
        <v>0.05</v>
      </c>
      <c r="AG155" s="457">
        <f t="shared" si="134"/>
        <v>0.05</v>
      </c>
      <c r="AH155" s="458">
        <f t="shared" si="135"/>
        <v>0.05</v>
      </c>
      <c r="AI155" s="457">
        <f>+P155/F155</f>
        <v>0.5</v>
      </c>
      <c r="AJ155" s="458">
        <v>0.75</v>
      </c>
      <c r="AK155" s="458">
        <v>1</v>
      </c>
      <c r="AL155" s="457">
        <f>+AI155*E155</f>
        <v>2.5000000000000001E-2</v>
      </c>
      <c r="AM155" s="458">
        <f t="shared" si="140"/>
        <v>3.7500000000000006E-2</v>
      </c>
      <c r="AN155" s="1310">
        <f t="shared" si="124"/>
        <v>0.05</v>
      </c>
      <c r="AO155" s="142" t="s">
        <v>1844</v>
      </c>
      <c r="AP155" s="540" t="s">
        <v>1885</v>
      </c>
      <c r="AQ155" s="634" t="s">
        <v>1986</v>
      </c>
      <c r="AR155" s="634" t="s">
        <v>2008</v>
      </c>
      <c r="AS155" s="634" t="s">
        <v>2106</v>
      </c>
      <c r="AT155" s="634" t="s">
        <v>2137</v>
      </c>
      <c r="AU155" s="634" t="s">
        <v>2190</v>
      </c>
      <c r="AV155" s="634" t="s">
        <v>1887</v>
      </c>
      <c r="AW155" s="634" t="s">
        <v>2294</v>
      </c>
    </row>
    <row r="156" spans="1:49" ht="115.2" customHeight="1" thickBot="1" x14ac:dyDescent="0.4">
      <c r="A156" s="223"/>
      <c r="B156" s="1147" t="s">
        <v>268</v>
      </c>
      <c r="C156" s="1147" t="s">
        <v>269</v>
      </c>
      <c r="D156" s="364" t="s">
        <v>1562</v>
      </c>
      <c r="E156" s="269">
        <v>0.35</v>
      </c>
      <c r="F156" s="383">
        <v>3534</v>
      </c>
      <c r="G156" s="384">
        <v>0</v>
      </c>
      <c r="H156" s="385">
        <v>1500</v>
      </c>
      <c r="I156" s="385">
        <v>1000</v>
      </c>
      <c r="J156" s="386"/>
      <c r="K156" s="402">
        <f t="shared" si="117"/>
        <v>0.42444821731748728</v>
      </c>
      <c r="L156" s="403">
        <f t="shared" si="118"/>
        <v>0.28296547821165818</v>
      </c>
      <c r="M156" s="389"/>
      <c r="N156" s="389">
        <f>+(H156/F156)*E156</f>
        <v>0.14855687606112053</v>
      </c>
      <c r="O156" s="389"/>
      <c r="P156" s="384"/>
      <c r="Q156" s="439">
        <v>0</v>
      </c>
      <c r="R156" s="439">
        <v>353</v>
      </c>
      <c r="S156" s="439">
        <v>286</v>
      </c>
      <c r="T156" s="439">
        <v>61</v>
      </c>
      <c r="U156" s="439">
        <v>502</v>
      </c>
      <c r="V156" s="385">
        <f t="shared" si="141"/>
        <v>1202</v>
      </c>
      <c r="W156" s="385">
        <f t="shared" si="142"/>
        <v>1852</v>
      </c>
      <c r="X156" s="385">
        <v>300</v>
      </c>
      <c r="Y156" s="439">
        <v>350</v>
      </c>
      <c r="Z156" s="385"/>
      <c r="AA156" s="385"/>
      <c r="AB156" s="385">
        <f t="shared" si="121"/>
        <v>650</v>
      </c>
      <c r="AC156" s="386"/>
      <c r="AD156" s="419">
        <f t="shared" si="143"/>
        <v>0.80133333333333334</v>
      </c>
      <c r="AE156" s="419">
        <f t="shared" si="131"/>
        <v>0.65</v>
      </c>
      <c r="AF156" s="433"/>
      <c r="AG156" s="457">
        <f t="shared" si="134"/>
        <v>0.28046666666666664</v>
      </c>
      <c r="AH156" s="458">
        <f t="shared" si="135"/>
        <v>0.22749999999999998</v>
      </c>
      <c r="AI156" s="457"/>
      <c r="AJ156" s="458">
        <v>0.34012450481041312</v>
      </c>
      <c r="AK156" s="458">
        <f t="shared" si="132"/>
        <v>0.52405206564799089</v>
      </c>
      <c r="AL156" s="457">
        <v>0</v>
      </c>
      <c r="AM156" s="458">
        <f t="shared" si="140"/>
        <v>0.11904357668364458</v>
      </c>
      <c r="AN156" s="1310">
        <f t="shared" si="124"/>
        <v>0.1834182229767968</v>
      </c>
      <c r="AO156" s="142" t="s">
        <v>1844</v>
      </c>
      <c r="AP156" s="557" t="s">
        <v>1916</v>
      </c>
      <c r="AQ156" s="634" t="s">
        <v>1986</v>
      </c>
      <c r="AR156" s="634" t="s">
        <v>2008</v>
      </c>
      <c r="AS156" s="634" t="s">
        <v>2106</v>
      </c>
      <c r="AT156" s="634" t="s">
        <v>2137</v>
      </c>
      <c r="AU156" s="634" t="s">
        <v>2190</v>
      </c>
      <c r="AV156" s="634" t="s">
        <v>1887</v>
      </c>
      <c r="AW156" s="634" t="s">
        <v>2294</v>
      </c>
    </row>
    <row r="157" spans="1:49" ht="142.80000000000001" customHeight="1" thickBot="1" x14ac:dyDescent="0.4">
      <c r="A157" s="223"/>
      <c r="B157" s="1147" t="s">
        <v>270</v>
      </c>
      <c r="C157" s="1147" t="s">
        <v>271</v>
      </c>
      <c r="D157" s="364" t="s">
        <v>1925</v>
      </c>
      <c r="E157" s="269">
        <v>0.25</v>
      </c>
      <c r="F157" s="383">
        <v>55</v>
      </c>
      <c r="G157" s="384">
        <v>0</v>
      </c>
      <c r="H157" s="385">
        <v>15</v>
      </c>
      <c r="I157" s="385">
        <v>15</v>
      </c>
      <c r="J157" s="386"/>
      <c r="K157" s="402">
        <f t="shared" si="117"/>
        <v>0.27272727272727271</v>
      </c>
      <c r="L157" s="403">
        <f>+I157/F157</f>
        <v>0.27272727272727271</v>
      </c>
      <c r="M157" s="389"/>
      <c r="N157" s="389">
        <f t="shared" si="120"/>
        <v>6.8181818181818177E-2</v>
      </c>
      <c r="O157" s="389"/>
      <c r="P157" s="384"/>
      <c r="Q157" s="439">
        <v>0</v>
      </c>
      <c r="R157" s="439">
        <v>0</v>
      </c>
      <c r="S157" s="439">
        <v>0</v>
      </c>
      <c r="T157" s="439">
        <v>0</v>
      </c>
      <c r="U157" s="439">
        <v>41</v>
      </c>
      <c r="V157" s="385">
        <f t="shared" si="141"/>
        <v>41</v>
      </c>
      <c r="W157" s="385">
        <f t="shared" si="142"/>
        <v>41</v>
      </c>
      <c r="X157" s="385">
        <v>0</v>
      </c>
      <c r="Y157" s="439">
        <v>0</v>
      </c>
      <c r="Z157" s="385"/>
      <c r="AA157" s="385"/>
      <c r="AB157" s="385">
        <f t="shared" si="121"/>
        <v>0</v>
      </c>
      <c r="AC157" s="386"/>
      <c r="AD157" s="419">
        <v>1</v>
      </c>
      <c r="AE157" s="419">
        <f t="shared" si="131"/>
        <v>0</v>
      </c>
      <c r="AF157" s="433"/>
      <c r="AG157" s="457">
        <f t="shared" si="134"/>
        <v>0.25</v>
      </c>
      <c r="AH157" s="458">
        <f t="shared" si="135"/>
        <v>0</v>
      </c>
      <c r="AI157" s="457"/>
      <c r="AJ157" s="458">
        <v>0.74545454545454548</v>
      </c>
      <c r="AK157" s="458">
        <f t="shared" si="132"/>
        <v>0.74545454545454548</v>
      </c>
      <c r="AL157" s="457">
        <v>0</v>
      </c>
      <c r="AM157" s="458">
        <f t="shared" si="140"/>
        <v>0.18636363636363637</v>
      </c>
      <c r="AN157" s="1310">
        <f t="shared" si="124"/>
        <v>0.18636363636363637</v>
      </c>
      <c r="AO157" s="142" t="s">
        <v>1844</v>
      </c>
      <c r="AP157" s="557" t="s">
        <v>1924</v>
      </c>
      <c r="AQ157" s="634" t="s">
        <v>1986</v>
      </c>
      <c r="AR157" s="634" t="s">
        <v>2008</v>
      </c>
      <c r="AS157" s="634" t="s">
        <v>2106</v>
      </c>
      <c r="AT157" s="634" t="s">
        <v>2137</v>
      </c>
      <c r="AU157" s="634" t="s">
        <v>2190</v>
      </c>
      <c r="AV157" s="634" t="s">
        <v>1887</v>
      </c>
      <c r="AW157" s="634" t="s">
        <v>2294</v>
      </c>
    </row>
    <row r="158" spans="1:49" ht="76.8" customHeight="1" thickBot="1" x14ac:dyDescent="0.4">
      <c r="A158" s="223"/>
      <c r="B158" s="1147" t="s">
        <v>272</v>
      </c>
      <c r="C158" s="1147" t="s">
        <v>273</v>
      </c>
      <c r="D158" s="363" t="s">
        <v>162</v>
      </c>
      <c r="E158" s="269">
        <v>0.05</v>
      </c>
      <c r="F158" s="383">
        <v>2</v>
      </c>
      <c r="G158" s="384">
        <v>2</v>
      </c>
      <c r="H158" s="385"/>
      <c r="I158" s="385"/>
      <c r="J158" s="386">
        <f>+G158/F158</f>
        <v>1</v>
      </c>
      <c r="K158" s="402"/>
      <c r="L158" s="403"/>
      <c r="M158" s="389">
        <f>+(G158/F158)*E158</f>
        <v>0.05</v>
      </c>
      <c r="N158" s="389"/>
      <c r="O158" s="389"/>
      <c r="P158" s="384">
        <v>0</v>
      </c>
      <c r="Q158" s="439"/>
      <c r="R158" s="439"/>
      <c r="S158" s="439"/>
      <c r="T158" s="385"/>
      <c r="U158" s="440"/>
      <c r="V158" s="385">
        <f t="shared" si="141"/>
        <v>0</v>
      </c>
      <c r="W158" s="385">
        <f>+V158+P158+AB158</f>
        <v>0</v>
      </c>
      <c r="X158" s="385"/>
      <c r="Y158" s="385"/>
      <c r="Z158" s="385"/>
      <c r="AA158" s="385"/>
      <c r="AB158" s="385">
        <f t="shared" si="121"/>
        <v>0</v>
      </c>
      <c r="AC158" s="386">
        <f>+(P158/G158)</f>
        <v>0</v>
      </c>
      <c r="AD158" s="419"/>
      <c r="AE158" s="419"/>
      <c r="AF158" s="433">
        <f>+AC158*E158</f>
        <v>0</v>
      </c>
      <c r="AG158" s="457"/>
      <c r="AH158" s="458"/>
      <c r="AI158" s="457">
        <f>+P158/F158</f>
        <v>0</v>
      </c>
      <c r="AJ158" s="458">
        <v>0</v>
      </c>
      <c r="AK158" s="459">
        <f t="shared" si="132"/>
        <v>0</v>
      </c>
      <c r="AL158" s="457">
        <f>+AI158*E158</f>
        <v>0</v>
      </c>
      <c r="AM158" s="458">
        <f t="shared" si="140"/>
        <v>0</v>
      </c>
      <c r="AN158" s="1310">
        <f t="shared" si="124"/>
        <v>0</v>
      </c>
      <c r="AO158" s="554" t="s">
        <v>1857</v>
      </c>
      <c r="AP158" s="538" t="s">
        <v>1857</v>
      </c>
      <c r="AQ158" s="359"/>
      <c r="AR158" s="634" t="s">
        <v>2008</v>
      </c>
      <c r="AS158" s="359"/>
      <c r="AT158" s="359"/>
      <c r="AU158" s="158"/>
      <c r="AV158" s="538" t="s">
        <v>1859</v>
      </c>
    </row>
    <row r="159" spans="1:49" ht="106.95" customHeight="1" thickBot="1" x14ac:dyDescent="0.4">
      <c r="A159" s="223"/>
      <c r="B159" s="1147" t="s">
        <v>274</v>
      </c>
      <c r="C159" s="1147" t="s">
        <v>275</v>
      </c>
      <c r="D159" s="365" t="s">
        <v>1546</v>
      </c>
      <c r="E159" s="269">
        <v>0.25</v>
      </c>
      <c r="F159" s="383">
        <v>10600</v>
      </c>
      <c r="G159" s="384">
        <v>0</v>
      </c>
      <c r="H159" s="385">
        <v>3534</v>
      </c>
      <c r="I159" s="385">
        <v>3534</v>
      </c>
      <c r="J159" s="386"/>
      <c r="K159" s="402">
        <f t="shared" si="117"/>
        <v>0.33339622641509437</v>
      </c>
      <c r="L159" s="403">
        <f t="shared" si="118"/>
        <v>0.33339622641509437</v>
      </c>
      <c r="M159" s="389"/>
      <c r="N159" s="389">
        <f t="shared" si="120"/>
        <v>8.3349056603773591E-2</v>
      </c>
      <c r="O159" s="389"/>
      <c r="P159" s="384"/>
      <c r="Q159" s="439">
        <v>0</v>
      </c>
      <c r="R159" s="439">
        <v>3534</v>
      </c>
      <c r="S159" s="439">
        <v>2948</v>
      </c>
      <c r="T159" s="385">
        <v>2596</v>
      </c>
      <c r="U159" s="440"/>
      <c r="V159" s="385">
        <f t="shared" si="141"/>
        <v>9078</v>
      </c>
      <c r="W159" s="385">
        <f t="shared" si="142"/>
        <v>13718</v>
      </c>
      <c r="X159" s="385">
        <v>4640</v>
      </c>
      <c r="Y159" s="439">
        <v>0</v>
      </c>
      <c r="Z159" s="385"/>
      <c r="AA159" s="385"/>
      <c r="AB159" s="385">
        <f t="shared" si="121"/>
        <v>4640</v>
      </c>
      <c r="AC159" s="386"/>
      <c r="AD159" s="419">
        <v>1</v>
      </c>
      <c r="AE159" s="419">
        <v>1</v>
      </c>
      <c r="AF159" s="433"/>
      <c r="AG159" s="457">
        <f t="shared" si="134"/>
        <v>0.25</v>
      </c>
      <c r="AH159" s="856">
        <f t="shared" si="135"/>
        <v>0.25</v>
      </c>
      <c r="AI159" s="681"/>
      <c r="AJ159" s="459">
        <v>0.8564150943396226</v>
      </c>
      <c r="AK159" s="1310">
        <v>1</v>
      </c>
      <c r="AL159" s="457">
        <v>0</v>
      </c>
      <c r="AM159" s="458">
        <f t="shared" si="140"/>
        <v>0.21410377358490565</v>
      </c>
      <c r="AN159" s="1310">
        <f t="shared" si="124"/>
        <v>0.25</v>
      </c>
      <c r="AO159" s="142" t="s">
        <v>1844</v>
      </c>
      <c r="AP159" s="538" t="s">
        <v>1947</v>
      </c>
      <c r="AQ159" s="359"/>
      <c r="AR159" s="359"/>
      <c r="AS159" s="732" t="s">
        <v>2106</v>
      </c>
      <c r="AT159" s="538" t="s">
        <v>1859</v>
      </c>
      <c r="AU159" s="634" t="s">
        <v>2190</v>
      </c>
      <c r="AV159" s="634" t="s">
        <v>1887</v>
      </c>
      <c r="AW159" s="634" t="s">
        <v>2294</v>
      </c>
    </row>
    <row r="160" spans="1:49" ht="72" customHeight="1" thickBot="1" x14ac:dyDescent="0.45">
      <c r="A160" s="223"/>
      <c r="B160" s="1295" t="s">
        <v>1613</v>
      </c>
      <c r="C160" s="1292"/>
      <c r="D160" s="360"/>
      <c r="E160" s="379">
        <v>0.2</v>
      </c>
      <c r="F160" s="383"/>
      <c r="G160" s="382"/>
      <c r="H160" s="388"/>
      <c r="I160" s="388"/>
      <c r="J160" s="381">
        <f>+AVERAGE(J161:J165)</f>
        <v>0.22400000000000003</v>
      </c>
      <c r="K160" s="401">
        <f>+AVERAGE(K161:K165)</f>
        <v>0.29239999999999999</v>
      </c>
      <c r="L160" s="453">
        <f>+AVERAGE(L161:L165)</f>
        <v>0.25</v>
      </c>
      <c r="M160" s="381">
        <f>+M161+M162+M163+M164+M165</f>
        <v>0.14599999999999999</v>
      </c>
      <c r="N160" s="381">
        <f>+N161+N162+N163+N164+N165</f>
        <v>0.2656</v>
      </c>
      <c r="O160" s="381"/>
      <c r="P160" s="382"/>
      <c r="Q160" s="388"/>
      <c r="R160" s="388"/>
      <c r="S160" s="388"/>
      <c r="T160" s="388"/>
      <c r="U160" s="833"/>
      <c r="V160" s="388"/>
      <c r="W160" s="388"/>
      <c r="X160" s="385"/>
      <c r="Y160" s="385"/>
      <c r="Z160" s="385"/>
      <c r="AA160" s="385"/>
      <c r="AB160" s="385"/>
      <c r="AC160" s="441">
        <f>+AVERAGE(AC161:AC165)</f>
        <v>1</v>
      </c>
      <c r="AD160" s="441">
        <f>+AVERAGE(AD161:AD165)</f>
        <v>0.96250000000000002</v>
      </c>
      <c r="AE160" s="441">
        <f>+AVERAGE(AE161:AE165)</f>
        <v>0.5</v>
      </c>
      <c r="AF160" s="441">
        <f>+(AF161+AF162+AF163+AF164+AF165)*E160</f>
        <v>0.19999999999999998</v>
      </c>
      <c r="AG160" s="460">
        <f>+(AG161+AG162+AG163+AG164+AG165)*E160</f>
        <v>0.18875</v>
      </c>
      <c r="AH160" s="882">
        <f>+(AH161+AH162+AH163+AH164+AH165)*E160</f>
        <v>4.0000000000000008E-2</v>
      </c>
      <c r="AI160" s="877">
        <f>+AVERAGE(AI161:AI165)</f>
        <v>0.25159999999999999</v>
      </c>
      <c r="AJ160" s="461">
        <v>0.61180000000000001</v>
      </c>
      <c r="AK160" s="461">
        <f>+AVERAGE(AK161:AK165)</f>
        <v>0.68680000000000008</v>
      </c>
      <c r="AL160" s="401">
        <f>+(AL161+AL162+AL163+AL164+AL165)*E160</f>
        <v>3.8080000000000003E-2</v>
      </c>
      <c r="AM160" s="453">
        <f>+(AM161+AM162+AM163+AM164+AM165)</f>
        <v>0.48270000000000007</v>
      </c>
      <c r="AN160" s="453">
        <f>+(AN161+AN162+AN163+AN164+AN165)</f>
        <v>0.5202</v>
      </c>
      <c r="AO160" s="136"/>
      <c r="AP160" s="359"/>
      <c r="AQ160" s="359"/>
      <c r="AR160" s="359"/>
      <c r="AS160" s="359"/>
      <c r="AT160" s="359"/>
      <c r="AU160" s="158"/>
      <c r="AV160" s="158"/>
    </row>
    <row r="161" spans="1:49" ht="92.4" customHeight="1" thickBot="1" x14ac:dyDescent="0.4">
      <c r="A161" s="223"/>
      <c r="B161" s="1147" t="s">
        <v>276</v>
      </c>
      <c r="C161" s="1147" t="s">
        <v>277</v>
      </c>
      <c r="D161" s="361" t="s">
        <v>58</v>
      </c>
      <c r="E161" s="269">
        <v>0.3</v>
      </c>
      <c r="F161" s="383">
        <v>500</v>
      </c>
      <c r="G161" s="384">
        <v>10</v>
      </c>
      <c r="H161" s="385">
        <v>96</v>
      </c>
      <c r="I161" s="385">
        <v>150</v>
      </c>
      <c r="J161" s="386">
        <f>+G161/F161</f>
        <v>0.02</v>
      </c>
      <c r="K161" s="402">
        <f t="shared" si="117"/>
        <v>0.192</v>
      </c>
      <c r="L161" s="403">
        <f t="shared" si="118"/>
        <v>0.3</v>
      </c>
      <c r="M161" s="389">
        <f>+(G161/F161)*E161</f>
        <v>6.0000000000000001E-3</v>
      </c>
      <c r="N161" s="389">
        <f t="shared" si="120"/>
        <v>5.7599999999999998E-2</v>
      </c>
      <c r="O161" s="389"/>
      <c r="P161" s="384">
        <v>64</v>
      </c>
      <c r="Q161" s="439">
        <v>0</v>
      </c>
      <c r="R161" s="439">
        <v>32</v>
      </c>
      <c r="S161" s="439">
        <v>0</v>
      </c>
      <c r="T161" s="439">
        <v>30</v>
      </c>
      <c r="U161" s="439">
        <v>16</v>
      </c>
      <c r="V161" s="385">
        <f>+Q161+R161+S161+T161+U161</f>
        <v>78</v>
      </c>
      <c r="W161" s="385">
        <f>+V161+P161+AB161</f>
        <v>142</v>
      </c>
      <c r="X161" s="439">
        <v>0</v>
      </c>
      <c r="Y161" s="439">
        <v>0</v>
      </c>
      <c r="Z161" s="385"/>
      <c r="AA161" s="385"/>
      <c r="AB161" s="385">
        <f t="shared" si="121"/>
        <v>0</v>
      </c>
      <c r="AC161" s="386">
        <v>1</v>
      </c>
      <c r="AD161" s="419">
        <f t="shared" ref="AD161:AD170" si="144">+V161/H161</f>
        <v>0.8125</v>
      </c>
      <c r="AE161" s="419">
        <f t="shared" si="131"/>
        <v>0</v>
      </c>
      <c r="AF161" s="433">
        <f>+AC161*E161</f>
        <v>0.3</v>
      </c>
      <c r="AG161" s="457">
        <f t="shared" si="134"/>
        <v>0.24374999999999999</v>
      </c>
      <c r="AH161" s="1310">
        <f t="shared" si="135"/>
        <v>0</v>
      </c>
      <c r="AI161" s="717">
        <f>+P161/F161</f>
        <v>0.128</v>
      </c>
      <c r="AJ161" s="464">
        <v>0.28399999999999997</v>
      </c>
      <c r="AK161" s="1310">
        <f t="shared" si="132"/>
        <v>0.28399999999999997</v>
      </c>
      <c r="AL161" s="457">
        <f>+AI161*E161</f>
        <v>3.8399999999999997E-2</v>
      </c>
      <c r="AM161" s="458">
        <f>+AJ161*E161</f>
        <v>8.5199999999999984E-2</v>
      </c>
      <c r="AN161" s="1310">
        <f t="shared" si="124"/>
        <v>8.5199999999999984E-2</v>
      </c>
      <c r="AO161" s="142" t="s">
        <v>1844</v>
      </c>
      <c r="AP161" s="634" t="s">
        <v>1885</v>
      </c>
      <c r="AQ161" s="634" t="s">
        <v>1986</v>
      </c>
      <c r="AR161" s="634" t="s">
        <v>2008</v>
      </c>
      <c r="AS161" s="634" t="s">
        <v>2106</v>
      </c>
      <c r="AT161" s="634" t="s">
        <v>2137</v>
      </c>
      <c r="AU161" s="634" t="s">
        <v>2190</v>
      </c>
      <c r="AV161" s="634" t="s">
        <v>1887</v>
      </c>
      <c r="AW161" s="634" t="s">
        <v>2294</v>
      </c>
    </row>
    <row r="162" spans="1:49" ht="139.94999999999999" customHeight="1" thickBot="1" x14ac:dyDescent="0.4">
      <c r="A162" s="223"/>
      <c r="B162" s="1147" t="s">
        <v>278</v>
      </c>
      <c r="C162" s="1147" t="s">
        <v>279</v>
      </c>
      <c r="D162" s="361" t="s">
        <v>58</v>
      </c>
      <c r="E162" s="269">
        <v>0.4</v>
      </c>
      <c r="F162" s="383">
        <v>200</v>
      </c>
      <c r="G162" s="384">
        <v>20</v>
      </c>
      <c r="H162" s="385">
        <v>54</v>
      </c>
      <c r="I162" s="385">
        <v>40</v>
      </c>
      <c r="J162" s="386">
        <f>+G162/F162</f>
        <v>0.1</v>
      </c>
      <c r="K162" s="402">
        <f t="shared" si="117"/>
        <v>0.27</v>
      </c>
      <c r="L162" s="403">
        <f t="shared" si="118"/>
        <v>0.2</v>
      </c>
      <c r="M162" s="389">
        <f>+(G162/F162)*E162</f>
        <v>4.0000000000000008E-2</v>
      </c>
      <c r="N162" s="389">
        <f t="shared" si="120"/>
        <v>0.10800000000000001</v>
      </c>
      <c r="O162" s="389"/>
      <c r="P162" s="384">
        <v>26</v>
      </c>
      <c r="Q162" s="439">
        <v>0</v>
      </c>
      <c r="R162" s="439">
        <v>0</v>
      </c>
      <c r="S162" s="439">
        <v>0</v>
      </c>
      <c r="T162" s="439">
        <v>0</v>
      </c>
      <c r="U162" s="439">
        <v>54</v>
      </c>
      <c r="V162" s="385">
        <f t="shared" ref="V162:V164" si="145">+Q162+R162+S162+T162+U162</f>
        <v>54</v>
      </c>
      <c r="W162" s="385">
        <f t="shared" ref="W162:W164" si="146">+V162+P162+AB162</f>
        <v>80</v>
      </c>
      <c r="X162" s="439">
        <v>0</v>
      </c>
      <c r="Y162" s="439">
        <v>0</v>
      </c>
      <c r="Z162" s="385"/>
      <c r="AA162" s="385"/>
      <c r="AB162" s="385">
        <f t="shared" si="121"/>
        <v>0</v>
      </c>
      <c r="AC162" s="386">
        <v>1</v>
      </c>
      <c r="AD162" s="419">
        <f t="shared" si="144"/>
        <v>1</v>
      </c>
      <c r="AE162" s="419">
        <f t="shared" si="131"/>
        <v>0</v>
      </c>
      <c r="AF162" s="433">
        <f>+AC162*E162</f>
        <v>0.4</v>
      </c>
      <c r="AG162" s="457">
        <f t="shared" si="134"/>
        <v>0.4</v>
      </c>
      <c r="AH162" s="464">
        <f t="shared" si="135"/>
        <v>0</v>
      </c>
      <c r="AI162" s="457">
        <f>+P162/F162</f>
        <v>0.13</v>
      </c>
      <c r="AJ162" s="458">
        <v>0.4</v>
      </c>
      <c r="AK162" s="464">
        <f t="shared" si="132"/>
        <v>0.4</v>
      </c>
      <c r="AL162" s="457">
        <f>+AI162*E162</f>
        <v>5.2000000000000005E-2</v>
      </c>
      <c r="AM162" s="458">
        <f>+AJ162*E162</f>
        <v>0.16000000000000003</v>
      </c>
      <c r="AN162" s="1310">
        <f t="shared" si="124"/>
        <v>0.16000000000000003</v>
      </c>
      <c r="AO162" s="142" t="s">
        <v>1844</v>
      </c>
      <c r="AP162" s="634" t="s">
        <v>1885</v>
      </c>
      <c r="AQ162" s="634" t="s">
        <v>1986</v>
      </c>
      <c r="AR162" s="634" t="s">
        <v>2008</v>
      </c>
      <c r="AS162" s="634" t="s">
        <v>2106</v>
      </c>
      <c r="AT162" s="634" t="s">
        <v>2137</v>
      </c>
      <c r="AU162" s="634" t="s">
        <v>2190</v>
      </c>
      <c r="AV162" s="634" t="s">
        <v>1887</v>
      </c>
      <c r="AW162" s="634" t="s">
        <v>2294</v>
      </c>
    </row>
    <row r="163" spans="1:49" ht="82.95" customHeight="1" thickBot="1" x14ac:dyDescent="0.4">
      <c r="A163" s="223"/>
      <c r="B163" s="1147" t="s">
        <v>280</v>
      </c>
      <c r="C163" s="1147" t="s">
        <v>281</v>
      </c>
      <c r="D163" s="361" t="s">
        <v>58</v>
      </c>
      <c r="E163" s="269">
        <v>0.1</v>
      </c>
      <c r="F163" s="383">
        <v>1</v>
      </c>
      <c r="G163" s="384">
        <v>0.5</v>
      </c>
      <c r="H163" s="385">
        <v>0.5</v>
      </c>
      <c r="I163" s="385">
        <v>0</v>
      </c>
      <c r="J163" s="386">
        <f>+G163/F163</f>
        <v>0.5</v>
      </c>
      <c r="K163" s="402">
        <f t="shared" si="117"/>
        <v>0.5</v>
      </c>
      <c r="L163" s="403"/>
      <c r="M163" s="389">
        <f>+(G163/F163)*E163</f>
        <v>0.05</v>
      </c>
      <c r="N163" s="389">
        <f t="shared" si="120"/>
        <v>0.05</v>
      </c>
      <c r="O163" s="389"/>
      <c r="P163" s="384">
        <v>0.5</v>
      </c>
      <c r="Q163" s="439">
        <v>0</v>
      </c>
      <c r="R163" s="439">
        <v>0</v>
      </c>
      <c r="S163" s="439">
        <v>0</v>
      </c>
      <c r="T163" s="439">
        <v>0.5</v>
      </c>
      <c r="U163" s="439">
        <v>0</v>
      </c>
      <c r="V163" s="385">
        <f t="shared" si="145"/>
        <v>0.5</v>
      </c>
      <c r="W163" s="385">
        <f t="shared" si="146"/>
        <v>1</v>
      </c>
      <c r="X163" s="439"/>
      <c r="Y163" s="439"/>
      <c r="Z163" s="385"/>
      <c r="AA163" s="385"/>
      <c r="AB163" s="385">
        <f t="shared" si="121"/>
        <v>0</v>
      </c>
      <c r="AC163" s="386">
        <f>+(P163/G163)</f>
        <v>1</v>
      </c>
      <c r="AD163" s="419">
        <f t="shared" si="144"/>
        <v>1</v>
      </c>
      <c r="AE163" s="419"/>
      <c r="AF163" s="433">
        <f>+AC163*E163</f>
        <v>0.1</v>
      </c>
      <c r="AG163" s="457">
        <f t="shared" si="134"/>
        <v>0.1</v>
      </c>
      <c r="AH163" s="458">
        <f t="shared" si="135"/>
        <v>0</v>
      </c>
      <c r="AI163" s="457">
        <f>+P163/F163</f>
        <v>0.5</v>
      </c>
      <c r="AJ163" s="458">
        <v>1</v>
      </c>
      <c r="AK163" s="458">
        <f t="shared" si="132"/>
        <v>1</v>
      </c>
      <c r="AL163" s="457">
        <f>+AI163*E163</f>
        <v>0.05</v>
      </c>
      <c r="AM163" s="458">
        <f>+AJ163*E163</f>
        <v>0.1</v>
      </c>
      <c r="AN163" s="1310">
        <f t="shared" si="124"/>
        <v>0.1</v>
      </c>
      <c r="AO163" s="142" t="s">
        <v>1844</v>
      </c>
      <c r="AP163" s="634" t="s">
        <v>1885</v>
      </c>
      <c r="AQ163" s="634" t="s">
        <v>1986</v>
      </c>
      <c r="AR163" s="634" t="s">
        <v>2008</v>
      </c>
      <c r="AS163" s="634" t="s">
        <v>2106</v>
      </c>
      <c r="AT163" s="634" t="s">
        <v>2138</v>
      </c>
      <c r="AU163" s="634" t="s">
        <v>2190</v>
      </c>
      <c r="AV163" s="634" t="s">
        <v>1887</v>
      </c>
      <c r="AW163" s="634" t="s">
        <v>2294</v>
      </c>
    </row>
    <row r="164" spans="1:49" ht="165" customHeight="1" thickBot="1" x14ac:dyDescent="0.4">
      <c r="A164" s="223"/>
      <c r="B164" s="1147" t="s">
        <v>282</v>
      </c>
      <c r="C164" s="1147" t="s">
        <v>283</v>
      </c>
      <c r="D164" s="361" t="s">
        <v>58</v>
      </c>
      <c r="E164" s="269">
        <v>0.1</v>
      </c>
      <c r="F164" s="383">
        <v>8</v>
      </c>
      <c r="G164" s="384">
        <v>2</v>
      </c>
      <c r="H164" s="385">
        <v>2</v>
      </c>
      <c r="I164" s="385">
        <v>2</v>
      </c>
      <c r="J164" s="386">
        <f>+G164/F164</f>
        <v>0.25</v>
      </c>
      <c r="K164" s="402">
        <f>+H164/F164</f>
        <v>0.25</v>
      </c>
      <c r="L164" s="403">
        <f t="shared" si="118"/>
        <v>0.25</v>
      </c>
      <c r="M164" s="389">
        <f>+(G164/F164)*E164</f>
        <v>2.5000000000000001E-2</v>
      </c>
      <c r="N164" s="389">
        <f t="shared" si="120"/>
        <v>2.5000000000000001E-2</v>
      </c>
      <c r="O164" s="389"/>
      <c r="P164" s="384">
        <v>2</v>
      </c>
      <c r="Q164" s="439">
        <v>0</v>
      </c>
      <c r="R164" s="439">
        <v>3</v>
      </c>
      <c r="S164" s="439">
        <v>1</v>
      </c>
      <c r="T164" s="439">
        <v>1</v>
      </c>
      <c r="U164" s="439">
        <v>0</v>
      </c>
      <c r="V164" s="385">
        <f t="shared" si="145"/>
        <v>5</v>
      </c>
      <c r="W164" s="385">
        <f t="shared" si="146"/>
        <v>9</v>
      </c>
      <c r="X164" s="439">
        <v>0</v>
      </c>
      <c r="Y164" s="439">
        <v>2</v>
      </c>
      <c r="Z164" s="385"/>
      <c r="AA164" s="385"/>
      <c r="AB164" s="385">
        <f t="shared" si="121"/>
        <v>2</v>
      </c>
      <c r="AC164" s="386">
        <f>+(P164/G164)</f>
        <v>1</v>
      </c>
      <c r="AD164" s="419">
        <v>1</v>
      </c>
      <c r="AE164" s="419">
        <f t="shared" si="131"/>
        <v>1</v>
      </c>
      <c r="AF164" s="433">
        <f>+AC164*E164</f>
        <v>0.1</v>
      </c>
      <c r="AG164" s="457">
        <f t="shared" si="134"/>
        <v>0.1</v>
      </c>
      <c r="AH164" s="458">
        <f t="shared" si="135"/>
        <v>0.1</v>
      </c>
      <c r="AI164" s="457">
        <f>+P164/F164</f>
        <v>0.25</v>
      </c>
      <c r="AJ164" s="458">
        <v>0.875</v>
      </c>
      <c r="AK164" s="458">
        <v>1</v>
      </c>
      <c r="AL164" s="457">
        <f>+AI164*E164</f>
        <v>2.5000000000000001E-2</v>
      </c>
      <c r="AM164" s="458">
        <f>+AJ164*E164</f>
        <v>8.7500000000000008E-2</v>
      </c>
      <c r="AN164" s="1310">
        <f t="shared" si="124"/>
        <v>0.1</v>
      </c>
      <c r="AO164" s="142" t="s">
        <v>1844</v>
      </c>
      <c r="AP164" s="634" t="s">
        <v>1885</v>
      </c>
      <c r="AQ164" s="634" t="s">
        <v>1986</v>
      </c>
      <c r="AR164" s="634" t="s">
        <v>2008</v>
      </c>
      <c r="AS164" s="634" t="s">
        <v>2106</v>
      </c>
      <c r="AT164" s="634" t="s">
        <v>2137</v>
      </c>
      <c r="AU164" s="634" t="s">
        <v>2190</v>
      </c>
      <c r="AV164" s="634" t="s">
        <v>1887</v>
      </c>
      <c r="AW164" s="634" t="s">
        <v>2294</v>
      </c>
    </row>
    <row r="165" spans="1:49" ht="180.6" customHeight="1" thickBot="1" x14ac:dyDescent="0.4">
      <c r="A165" s="223"/>
      <c r="B165" s="1147" t="s">
        <v>284</v>
      </c>
      <c r="C165" s="1147" t="s">
        <v>285</v>
      </c>
      <c r="D165" s="361" t="s">
        <v>58</v>
      </c>
      <c r="E165" s="269">
        <v>0.1</v>
      </c>
      <c r="F165" s="383">
        <v>8</v>
      </c>
      <c r="G165" s="384">
        <v>2</v>
      </c>
      <c r="H165" s="385">
        <v>2</v>
      </c>
      <c r="I165" s="385">
        <v>2</v>
      </c>
      <c r="J165" s="386">
        <f>+G165/F165</f>
        <v>0.25</v>
      </c>
      <c r="K165" s="402">
        <f t="shared" si="117"/>
        <v>0.25</v>
      </c>
      <c r="L165" s="403">
        <f t="shared" si="118"/>
        <v>0.25</v>
      </c>
      <c r="M165" s="389">
        <f>+(G165/F165)*E165</f>
        <v>2.5000000000000001E-2</v>
      </c>
      <c r="N165" s="389">
        <f t="shared" si="120"/>
        <v>2.5000000000000001E-2</v>
      </c>
      <c r="O165" s="389"/>
      <c r="P165" s="384">
        <v>2</v>
      </c>
      <c r="Q165" s="439">
        <v>0</v>
      </c>
      <c r="R165" s="439">
        <v>1</v>
      </c>
      <c r="S165" s="439">
        <v>0</v>
      </c>
      <c r="T165" s="439">
        <v>0</v>
      </c>
      <c r="U165" s="439">
        <v>1</v>
      </c>
      <c r="V165" s="385">
        <f>+Q165+R165+S165+T165+U165</f>
        <v>2</v>
      </c>
      <c r="W165" s="385">
        <f>+V165+P165+AB165</f>
        <v>6</v>
      </c>
      <c r="X165" s="439">
        <v>1</v>
      </c>
      <c r="Y165" s="439">
        <v>1</v>
      </c>
      <c r="Z165" s="385"/>
      <c r="AA165" s="385"/>
      <c r="AB165" s="385">
        <f>+X165+Y165+Z165+AA165</f>
        <v>2</v>
      </c>
      <c r="AC165" s="386">
        <f>+(P165/G165)</f>
        <v>1</v>
      </c>
      <c r="AD165" s="419">
        <f t="shared" si="144"/>
        <v>1</v>
      </c>
      <c r="AE165" s="419">
        <f t="shared" si="131"/>
        <v>1</v>
      </c>
      <c r="AF165" s="433">
        <f>+AC165*E165</f>
        <v>0.1</v>
      </c>
      <c r="AG165" s="457">
        <f t="shared" si="134"/>
        <v>0.1</v>
      </c>
      <c r="AH165" s="459">
        <f t="shared" si="135"/>
        <v>0.1</v>
      </c>
      <c r="AI165" s="457">
        <f>+P165/F165</f>
        <v>0.25</v>
      </c>
      <c r="AJ165" s="458">
        <v>0.5</v>
      </c>
      <c r="AK165" s="458">
        <f t="shared" si="132"/>
        <v>0.75</v>
      </c>
      <c r="AL165" s="457">
        <f>+AI165*E165</f>
        <v>2.5000000000000001E-2</v>
      </c>
      <c r="AM165" s="458">
        <f>+AJ165*E165</f>
        <v>0.05</v>
      </c>
      <c r="AN165" s="1310">
        <f t="shared" si="124"/>
        <v>7.5000000000000011E-2</v>
      </c>
      <c r="AO165" s="142" t="s">
        <v>1844</v>
      </c>
      <c r="AP165" s="634" t="s">
        <v>1885</v>
      </c>
      <c r="AQ165" s="634" t="s">
        <v>1986</v>
      </c>
      <c r="AR165" s="634" t="s">
        <v>2008</v>
      </c>
      <c r="AS165" s="634" t="s">
        <v>2106</v>
      </c>
      <c r="AT165" s="634" t="s">
        <v>2137</v>
      </c>
      <c r="AU165" s="634" t="s">
        <v>2190</v>
      </c>
      <c r="AV165" s="634" t="s">
        <v>1887</v>
      </c>
      <c r="AW165" s="634" t="s">
        <v>2294</v>
      </c>
    </row>
    <row r="166" spans="1:49" ht="144.6" customHeight="1" thickBot="1" x14ac:dyDescent="0.45">
      <c r="A166" s="223"/>
      <c r="B166" s="1295" t="s">
        <v>1614</v>
      </c>
      <c r="C166" s="1292"/>
      <c r="D166" s="360"/>
      <c r="E166" s="379">
        <v>0.05</v>
      </c>
      <c r="F166" s="383"/>
      <c r="G166" s="382"/>
      <c r="H166" s="388"/>
      <c r="I166" s="388"/>
      <c r="J166" s="381"/>
      <c r="K166" s="401">
        <f>+AVERAGE(K167:K170)</f>
        <v>0.625</v>
      </c>
      <c r="L166" s="453">
        <f>+AVERAGE(L167:L170)</f>
        <v>0.35</v>
      </c>
      <c r="M166" s="381">
        <f>+M167+M168+M169+M170</f>
        <v>0</v>
      </c>
      <c r="N166" s="381">
        <f>+N167+N168+N169+N170</f>
        <v>0.625</v>
      </c>
      <c r="O166" s="381"/>
      <c r="P166" s="382"/>
      <c r="Q166" s="388"/>
      <c r="R166" s="388"/>
      <c r="S166" s="388"/>
      <c r="T166" s="388"/>
      <c r="U166" s="833"/>
      <c r="V166" s="388"/>
      <c r="W166" s="388"/>
      <c r="X166" s="385"/>
      <c r="Y166" s="385"/>
      <c r="Z166" s="385"/>
      <c r="AA166" s="385"/>
      <c r="AB166" s="385"/>
      <c r="AC166" s="441"/>
      <c r="AD166" s="441">
        <f>+AVERAGE(AD167:AD170)</f>
        <v>0.81500000000000006</v>
      </c>
      <c r="AE166" s="441">
        <f>+AVERAGE(AE167:AE170)</f>
        <v>0.25</v>
      </c>
      <c r="AF166" s="441"/>
      <c r="AG166" s="460">
        <f>+(AG167+AG168+AG169+AG170)*E166</f>
        <v>4.0599999999999997E-2</v>
      </c>
      <c r="AH166" s="882">
        <f>+(AH167+AH168+AH169+AH170)*E166</f>
        <v>1.0000000000000002E-2</v>
      </c>
      <c r="AI166" s="401"/>
      <c r="AJ166" s="453">
        <v>0.44000000000000006</v>
      </c>
      <c r="AK166" s="453">
        <f>+AVERAGE(AK167:AK170)</f>
        <v>0.52750000000000008</v>
      </c>
      <c r="AL166" s="401">
        <f>+(AL167+AL168+AL169+AL170)*E166</f>
        <v>0</v>
      </c>
      <c r="AM166" s="453">
        <f>+(AM167+AM168+AM169+AM170)</f>
        <v>0.437</v>
      </c>
      <c r="AN166" s="453">
        <f>+(AN167+AN168+AN169+AN170)</f>
        <v>0.50700000000000001</v>
      </c>
      <c r="AO166" s="136"/>
      <c r="AP166" s="644" t="s">
        <v>1976</v>
      </c>
      <c r="AQ166" s="644" t="s">
        <v>1988</v>
      </c>
      <c r="AR166" s="359"/>
      <c r="AS166" s="359"/>
      <c r="AT166" s="359"/>
      <c r="AU166" s="158"/>
      <c r="AV166" s="158"/>
    </row>
    <row r="167" spans="1:49" ht="93.6" customHeight="1" thickBot="1" x14ac:dyDescent="0.4">
      <c r="A167" s="223"/>
      <c r="B167" s="1147" t="s">
        <v>286</v>
      </c>
      <c r="C167" s="1147" t="s">
        <v>287</v>
      </c>
      <c r="D167" s="361" t="s">
        <v>58</v>
      </c>
      <c r="E167" s="269">
        <v>0.3</v>
      </c>
      <c r="F167" s="383">
        <v>4</v>
      </c>
      <c r="G167" s="384">
        <v>0</v>
      </c>
      <c r="H167" s="385">
        <v>1</v>
      </c>
      <c r="I167" s="385">
        <v>2</v>
      </c>
      <c r="J167" s="386"/>
      <c r="K167" s="402">
        <f t="shared" si="117"/>
        <v>0.25</v>
      </c>
      <c r="L167" s="403">
        <f t="shared" si="118"/>
        <v>0.5</v>
      </c>
      <c r="M167" s="389">
        <f>+(G167/F167)*E167</f>
        <v>0</v>
      </c>
      <c r="N167" s="389">
        <f t="shared" si="120"/>
        <v>7.4999999999999997E-2</v>
      </c>
      <c r="O167" s="389"/>
      <c r="P167" s="384"/>
      <c r="Q167" s="439">
        <v>0</v>
      </c>
      <c r="R167" s="439">
        <v>0</v>
      </c>
      <c r="S167" s="439">
        <v>0</v>
      </c>
      <c r="T167" s="439">
        <v>1</v>
      </c>
      <c r="U167" s="439">
        <v>0</v>
      </c>
      <c r="V167" s="385">
        <f>+Q167+R167+S167+T167+U167</f>
        <v>1</v>
      </c>
      <c r="W167" s="385">
        <f>+V167+P167+AB167</f>
        <v>1</v>
      </c>
      <c r="X167" s="439">
        <v>0</v>
      </c>
      <c r="Y167" s="439">
        <v>0</v>
      </c>
      <c r="Z167" s="385"/>
      <c r="AA167" s="385"/>
      <c r="AB167" s="385">
        <f t="shared" si="121"/>
        <v>0</v>
      </c>
      <c r="AC167" s="386"/>
      <c r="AD167" s="419">
        <f t="shared" si="144"/>
        <v>1</v>
      </c>
      <c r="AE167" s="419">
        <f t="shared" si="131"/>
        <v>0</v>
      </c>
      <c r="AF167" s="433"/>
      <c r="AG167" s="457">
        <f t="shared" si="134"/>
        <v>0.3</v>
      </c>
      <c r="AH167" s="464">
        <f t="shared" si="135"/>
        <v>0</v>
      </c>
      <c r="AI167" s="457"/>
      <c r="AJ167" s="458">
        <v>0.25</v>
      </c>
      <c r="AK167" s="458">
        <f t="shared" si="132"/>
        <v>0.25</v>
      </c>
      <c r="AL167" s="402"/>
      <c r="AM167" s="458">
        <f t="shared" ref="AM167:AM169" si="147">+AJ167*E167</f>
        <v>7.4999999999999997E-2</v>
      </c>
      <c r="AN167" s="1310">
        <f t="shared" si="124"/>
        <v>7.4999999999999997E-2</v>
      </c>
      <c r="AO167" s="142" t="s">
        <v>1844</v>
      </c>
      <c r="AP167" s="637" t="s">
        <v>1886</v>
      </c>
      <c r="AQ167" s="634" t="s">
        <v>1986</v>
      </c>
      <c r="AR167" s="634" t="s">
        <v>2008</v>
      </c>
      <c r="AS167" s="634" t="s">
        <v>2106</v>
      </c>
      <c r="AT167" s="634" t="s">
        <v>2137</v>
      </c>
      <c r="AU167" s="634" t="s">
        <v>2190</v>
      </c>
      <c r="AV167" s="634" t="s">
        <v>1887</v>
      </c>
      <c r="AW167" s="634" t="s">
        <v>2294</v>
      </c>
    </row>
    <row r="168" spans="1:49" ht="131.4" customHeight="1" thickBot="1" x14ac:dyDescent="0.4">
      <c r="A168" s="223"/>
      <c r="B168" s="1147" t="s">
        <v>288</v>
      </c>
      <c r="C168" s="1147" t="s">
        <v>289</v>
      </c>
      <c r="D168" s="361" t="s">
        <v>58</v>
      </c>
      <c r="E168" s="269">
        <v>0.3</v>
      </c>
      <c r="F168" s="383">
        <v>1</v>
      </c>
      <c r="G168" s="384">
        <v>0</v>
      </c>
      <c r="H168" s="385">
        <v>1</v>
      </c>
      <c r="I168" s="385">
        <v>0.2</v>
      </c>
      <c r="J168" s="386"/>
      <c r="K168" s="402">
        <f t="shared" si="117"/>
        <v>1</v>
      </c>
      <c r="L168" s="403">
        <f t="shared" si="118"/>
        <v>0.2</v>
      </c>
      <c r="M168" s="389">
        <f>+(G168/F168)*E168</f>
        <v>0</v>
      </c>
      <c r="N168" s="389">
        <f t="shared" si="120"/>
        <v>0.3</v>
      </c>
      <c r="O168" s="389"/>
      <c r="P168" s="384"/>
      <c r="Q168" s="439">
        <v>0</v>
      </c>
      <c r="R168" s="439">
        <v>0.2</v>
      </c>
      <c r="S168" s="439">
        <v>0.2</v>
      </c>
      <c r="T168" s="439">
        <v>0.2</v>
      </c>
      <c r="U168" s="439">
        <v>0</v>
      </c>
      <c r="V168" s="385">
        <f t="shared" ref="V168:V170" si="148">+Q168+R168+S168+T168+U168</f>
        <v>0.60000000000000009</v>
      </c>
      <c r="W168" s="385">
        <f t="shared" ref="W168:W169" si="149">+V168+P168+AB168</f>
        <v>0.60000000000000009</v>
      </c>
      <c r="X168" s="439">
        <v>0</v>
      </c>
      <c r="Y168" s="439">
        <v>0</v>
      </c>
      <c r="Z168" s="385"/>
      <c r="AA168" s="385"/>
      <c r="AB168" s="385">
        <f t="shared" si="121"/>
        <v>0</v>
      </c>
      <c r="AC168" s="386"/>
      <c r="AD168" s="419">
        <f>+V168/H168</f>
        <v>0.60000000000000009</v>
      </c>
      <c r="AE168" s="419">
        <f t="shared" si="131"/>
        <v>0</v>
      </c>
      <c r="AF168" s="433"/>
      <c r="AG168" s="457">
        <f t="shared" si="134"/>
        <v>0.18000000000000002</v>
      </c>
      <c r="AH168" s="458">
        <f t="shared" si="135"/>
        <v>0</v>
      </c>
      <c r="AI168" s="457"/>
      <c r="AJ168" s="458">
        <v>0.60000000000000009</v>
      </c>
      <c r="AK168" s="458">
        <f t="shared" si="132"/>
        <v>0.60000000000000009</v>
      </c>
      <c r="AL168" s="402"/>
      <c r="AM168" s="458">
        <f t="shared" si="147"/>
        <v>0.18000000000000002</v>
      </c>
      <c r="AN168" s="1310">
        <f t="shared" si="124"/>
        <v>0.18000000000000002</v>
      </c>
      <c r="AO168" s="142" t="s">
        <v>1844</v>
      </c>
      <c r="AP168" s="637" t="s">
        <v>1886</v>
      </c>
      <c r="AQ168" s="634" t="s">
        <v>1986</v>
      </c>
      <c r="AR168" s="634" t="s">
        <v>2008</v>
      </c>
      <c r="AS168" s="634" t="s">
        <v>2106</v>
      </c>
      <c r="AT168" s="634" t="s">
        <v>2137</v>
      </c>
      <c r="AU168" s="634" t="s">
        <v>2190</v>
      </c>
      <c r="AV168" s="634" t="s">
        <v>1887</v>
      </c>
      <c r="AW168" s="634" t="s">
        <v>2294</v>
      </c>
    </row>
    <row r="169" spans="1:49" ht="131.4" customHeight="1" thickBot="1" x14ac:dyDescent="0.4">
      <c r="A169" s="223"/>
      <c r="B169" s="1147" t="s">
        <v>290</v>
      </c>
      <c r="C169" s="1147" t="s">
        <v>291</v>
      </c>
      <c r="D169" s="361" t="s">
        <v>58</v>
      </c>
      <c r="E169" s="269">
        <v>0.2</v>
      </c>
      <c r="F169" s="383">
        <v>4</v>
      </c>
      <c r="G169" s="384">
        <v>0</v>
      </c>
      <c r="H169" s="385">
        <v>1</v>
      </c>
      <c r="I169" s="385">
        <v>2</v>
      </c>
      <c r="J169" s="386"/>
      <c r="K169" s="402">
        <f t="shared" si="117"/>
        <v>0.25</v>
      </c>
      <c r="L169" s="403">
        <f>+I169/F169</f>
        <v>0.5</v>
      </c>
      <c r="M169" s="389">
        <f t="shared" ref="M169:M170" si="150">+(G169/F169)*E169</f>
        <v>0</v>
      </c>
      <c r="N169" s="389">
        <f t="shared" si="120"/>
        <v>0.05</v>
      </c>
      <c r="O169" s="389"/>
      <c r="P169" s="384"/>
      <c r="Q169" s="439">
        <v>0</v>
      </c>
      <c r="R169" s="439">
        <v>1</v>
      </c>
      <c r="S169" s="439">
        <v>0</v>
      </c>
      <c r="T169" s="439">
        <v>0</v>
      </c>
      <c r="U169" s="439">
        <v>0</v>
      </c>
      <c r="V169" s="385">
        <f t="shared" si="148"/>
        <v>1</v>
      </c>
      <c r="W169" s="385">
        <f t="shared" si="149"/>
        <v>2</v>
      </c>
      <c r="X169" s="439">
        <v>1</v>
      </c>
      <c r="Y169" s="439">
        <v>0</v>
      </c>
      <c r="Z169" s="385"/>
      <c r="AA169" s="385"/>
      <c r="AB169" s="385">
        <f t="shared" si="121"/>
        <v>1</v>
      </c>
      <c r="AC169" s="386"/>
      <c r="AD169" s="419">
        <v>1</v>
      </c>
      <c r="AE169" s="419">
        <f t="shared" si="131"/>
        <v>0.5</v>
      </c>
      <c r="AF169" s="433"/>
      <c r="AG169" s="457">
        <f t="shared" si="134"/>
        <v>0.2</v>
      </c>
      <c r="AH169" s="458">
        <f t="shared" si="135"/>
        <v>0.1</v>
      </c>
      <c r="AI169" s="457"/>
      <c r="AJ169" s="458">
        <v>0.25</v>
      </c>
      <c r="AK169" s="458">
        <f t="shared" si="132"/>
        <v>0.5</v>
      </c>
      <c r="AL169" s="402"/>
      <c r="AM169" s="458">
        <f t="shared" si="147"/>
        <v>0.05</v>
      </c>
      <c r="AN169" s="1310">
        <f t="shared" si="124"/>
        <v>0.1</v>
      </c>
      <c r="AO169" s="142" t="s">
        <v>1844</v>
      </c>
      <c r="AP169" s="637" t="s">
        <v>1886</v>
      </c>
      <c r="AQ169" s="634" t="s">
        <v>1986</v>
      </c>
      <c r="AR169" s="634" t="s">
        <v>2008</v>
      </c>
      <c r="AS169" s="634" t="s">
        <v>2106</v>
      </c>
      <c r="AT169" s="634" t="s">
        <v>2137</v>
      </c>
      <c r="AU169" s="634" t="s">
        <v>2190</v>
      </c>
      <c r="AV169" s="634" t="s">
        <v>1887</v>
      </c>
      <c r="AW169" s="634" t="s">
        <v>2294</v>
      </c>
    </row>
    <row r="170" spans="1:49" ht="131.4" customHeight="1" thickBot="1" x14ac:dyDescent="0.4">
      <c r="A170" s="223"/>
      <c r="B170" s="1147" t="s">
        <v>292</v>
      </c>
      <c r="C170" s="1147" t="s">
        <v>293</v>
      </c>
      <c r="D170" s="361" t="s">
        <v>58</v>
      </c>
      <c r="E170" s="269">
        <v>0.2</v>
      </c>
      <c r="F170" s="383">
        <v>1</v>
      </c>
      <c r="G170" s="384">
        <v>0</v>
      </c>
      <c r="H170" s="385">
        <v>1</v>
      </c>
      <c r="I170" s="385">
        <v>0.2</v>
      </c>
      <c r="J170" s="386"/>
      <c r="K170" s="402">
        <f t="shared" si="117"/>
        <v>1</v>
      </c>
      <c r="L170" s="403">
        <f>+I170/F170</f>
        <v>0.2</v>
      </c>
      <c r="M170" s="389">
        <f t="shared" si="150"/>
        <v>0</v>
      </c>
      <c r="N170" s="389">
        <f t="shared" si="120"/>
        <v>0.2</v>
      </c>
      <c r="O170" s="389"/>
      <c r="P170" s="384"/>
      <c r="Q170" s="439">
        <v>0</v>
      </c>
      <c r="R170" s="439">
        <v>0</v>
      </c>
      <c r="S170" s="439">
        <v>0</v>
      </c>
      <c r="T170" s="439">
        <v>0.66</v>
      </c>
      <c r="U170" s="439">
        <v>0</v>
      </c>
      <c r="V170" s="385">
        <f t="shared" si="148"/>
        <v>0.66</v>
      </c>
      <c r="W170" s="385">
        <f>+V170+P170+AB170</f>
        <v>0.76</v>
      </c>
      <c r="X170" s="439">
        <v>0</v>
      </c>
      <c r="Y170" s="439">
        <v>0.1</v>
      </c>
      <c r="Z170" s="385"/>
      <c r="AA170" s="385"/>
      <c r="AB170" s="385">
        <f t="shared" si="121"/>
        <v>0.1</v>
      </c>
      <c r="AC170" s="386"/>
      <c r="AD170" s="419">
        <f t="shared" si="144"/>
        <v>0.66</v>
      </c>
      <c r="AE170" s="419">
        <f t="shared" si="131"/>
        <v>0.5</v>
      </c>
      <c r="AF170" s="433"/>
      <c r="AG170" s="457">
        <f t="shared" si="134"/>
        <v>0.13200000000000001</v>
      </c>
      <c r="AH170" s="459">
        <f t="shared" si="135"/>
        <v>0.1</v>
      </c>
      <c r="AI170" s="457"/>
      <c r="AJ170" s="459">
        <v>0.66</v>
      </c>
      <c r="AK170" s="459">
        <f t="shared" si="132"/>
        <v>0.76</v>
      </c>
      <c r="AL170" s="402"/>
      <c r="AM170" s="458">
        <f>+AJ170*E170</f>
        <v>0.13200000000000001</v>
      </c>
      <c r="AN170" s="1310">
        <f t="shared" si="124"/>
        <v>0.15200000000000002</v>
      </c>
      <c r="AO170" s="142" t="s">
        <v>1844</v>
      </c>
      <c r="AP170" s="637" t="s">
        <v>1886</v>
      </c>
      <c r="AQ170" s="634" t="s">
        <v>1986</v>
      </c>
      <c r="AR170" s="634" t="s">
        <v>2008</v>
      </c>
      <c r="AS170" s="634" t="s">
        <v>2106</v>
      </c>
      <c r="AT170" s="634" t="s">
        <v>2137</v>
      </c>
      <c r="AU170" s="634" t="s">
        <v>2190</v>
      </c>
      <c r="AV170" s="634" t="s">
        <v>1887</v>
      </c>
      <c r="AW170" s="634" t="s">
        <v>2294</v>
      </c>
    </row>
    <row r="171" spans="1:49" ht="133.80000000000001" customHeight="1" thickBot="1" x14ac:dyDescent="0.45">
      <c r="A171" s="223"/>
      <c r="B171" s="1296" t="s">
        <v>294</v>
      </c>
      <c r="C171" s="1292"/>
      <c r="D171" s="358"/>
      <c r="E171" s="391">
        <v>0.15</v>
      </c>
      <c r="F171" s="391">
        <f>+E171*AF171</f>
        <v>9.5333068181818179E-2</v>
      </c>
      <c r="G171" s="382"/>
      <c r="H171" s="391">
        <f>E171*AG171</f>
        <v>0.10209248106060607</v>
      </c>
      <c r="I171" s="391">
        <f>+E171*AH171</f>
        <v>5.861768379551463E-2</v>
      </c>
      <c r="J171" s="376">
        <f>+(J172+J175+J179+J184+J186+J192+J195+J199+J203+J206+J209)/11</f>
        <v>0.15789568518161531</v>
      </c>
      <c r="K171" s="456">
        <f>+(K172+K175+K179+K184+K186+K192+K195+K199+K203+K206+K209)/10</f>
        <v>0.34922096249585222</v>
      </c>
      <c r="L171" s="452">
        <f>+(L172+L175+L179+L184+L186+L192+L195+L199+L203+L206+L209)/11</f>
        <v>0.32787574114686546</v>
      </c>
      <c r="M171" s="377">
        <f>+(M172+M175+M179+M184+M186+M192+M195+M199+M203+M206+M209)/11</f>
        <v>0.13500023925638274</v>
      </c>
      <c r="N171" s="377">
        <f>+(N172+N175+N179+N184+N186+N192+N195+N199+N203+N206+N209)/11</f>
        <v>0.29944978534279126</v>
      </c>
      <c r="O171" s="377"/>
      <c r="P171" s="382"/>
      <c r="Q171" s="388"/>
      <c r="R171" s="388"/>
      <c r="S171" s="388"/>
      <c r="T171" s="388"/>
      <c r="U171" s="833"/>
      <c r="V171" s="388"/>
      <c r="W171" s="388"/>
      <c r="X171" s="385"/>
      <c r="Y171" s="385"/>
      <c r="Z171" s="385"/>
      <c r="AA171" s="385"/>
      <c r="AB171" s="385"/>
      <c r="AC171" s="376">
        <f>+(AC172+AC175+AC179+AC184+AC186+AC192+AC195+AC199+AC203+AC206+AC209)/11</f>
        <v>0.7831160468319559</v>
      </c>
      <c r="AD171" s="376">
        <f>+(AD172+AD175+AD179+AD184+AD186+AD192+AD195+AD199+AD203+AD206+AD209)/11</f>
        <v>0.78967245971620981</v>
      </c>
      <c r="AE171" s="376">
        <f>+(AE172+AE175+AE179+AE184+AE186+AE192+AE195+AE199+AE203+AE206+AE209)/11</f>
        <v>0.42603353914740905</v>
      </c>
      <c r="AF171" s="377">
        <f>+AF172+AF175+AF179+AF184+AF186+AF192+AF195+AF199+AF203+AF206+AF209</f>
        <v>0.63555378787878791</v>
      </c>
      <c r="AG171" s="451">
        <f>+AG172+AG175+AG179+AG184+AG186+AG192+AG195+AG199+AG203+AG206+AG209</f>
        <v>0.68061654040404052</v>
      </c>
      <c r="AH171" s="914">
        <f>+AH172+AH175+AH179+AH184+AH186+AH192+AH195+AH199+AH203+AH206+AH209</f>
        <v>0.3907845586367642</v>
      </c>
      <c r="AI171" s="456">
        <f>+(AI172+AI175+AI179+AI184+AI186+AI192+AI195+AI199+AI203+AI206+AI209)/11</f>
        <v>0.17228948927894114</v>
      </c>
      <c r="AJ171" s="467">
        <v>0.46829141731287866</v>
      </c>
      <c r="AK171" s="467">
        <f>+(AK172+AK175+AK179+AK184+AK186+AK192+AK195+AK199+AK203+AK206+AK209)/11</f>
        <v>0.56459689119048595</v>
      </c>
      <c r="AL171" s="451">
        <f>+AL172+AL175+AL179+AL184+AL186+AL192+AL195+AL199+AL203+AL206+AL209</f>
        <v>0.14750248083618644</v>
      </c>
      <c r="AM171" s="555">
        <f>+(AM172*E172)+(AM175*E175)+(AM179*E179)+(AM184*E184)+(AM186*E186)+(AM192*E192)+(AM195*E195)+(AM199*E199)+(AM203*E203)+(AM206*E206)+(AM209*E209)</f>
        <v>0.46847685808282769</v>
      </c>
      <c r="AN171" s="555">
        <f>+(AN172*E172)+(AN175*E175)+(AN179*E179)+(AN184*E184)+(AN186*E186)+(AN192*E192)+(AN195*E195)+(AN199*E199)+(AN203*E203)+(AN206*E206)+(AN209*E209)</f>
        <v>0.56385537081409176</v>
      </c>
      <c r="AO171" s="128"/>
      <c r="AP171" s="598" t="s">
        <v>1960</v>
      </c>
      <c r="AQ171" s="359"/>
      <c r="AR171" s="359"/>
      <c r="AS171" s="359"/>
      <c r="AT171" s="359"/>
      <c r="AU171" s="158"/>
      <c r="AV171" s="158"/>
    </row>
    <row r="172" spans="1:49" ht="57" customHeight="1" thickBot="1" x14ac:dyDescent="0.45">
      <c r="A172" s="223"/>
      <c r="B172" s="1295" t="s">
        <v>1615</v>
      </c>
      <c r="C172" s="1292"/>
      <c r="D172" s="360"/>
      <c r="E172" s="379">
        <v>0.05</v>
      </c>
      <c r="F172" s="383"/>
      <c r="G172" s="382"/>
      <c r="H172" s="388"/>
      <c r="I172" s="388"/>
      <c r="J172" s="381">
        <f>+AVERAGE(J173:J174)</f>
        <v>0.125</v>
      </c>
      <c r="K172" s="401">
        <f>+AVERAGE(K173:K174)</f>
        <v>0.33096590909090906</v>
      </c>
      <c r="L172" s="453">
        <f>+AVERAGE(L173:L174)</f>
        <v>0.33096590909090906</v>
      </c>
      <c r="M172" s="381">
        <f>+M173+M174</f>
        <v>8.7499999999999994E-2</v>
      </c>
      <c r="N172" s="381">
        <f>+N173+N174</f>
        <v>0.33607954545454544</v>
      </c>
      <c r="O172" s="381"/>
      <c r="P172" s="382"/>
      <c r="Q172" s="388"/>
      <c r="R172" s="388"/>
      <c r="S172" s="388"/>
      <c r="T172" s="388"/>
      <c r="U172" s="833"/>
      <c r="V172" s="388"/>
      <c r="W172" s="388"/>
      <c r="X172" s="385"/>
      <c r="Y172" s="385"/>
      <c r="Z172" s="385"/>
      <c r="AA172" s="385"/>
      <c r="AB172" s="385"/>
      <c r="AC172" s="441">
        <f>+AVERAGE(AC173:AC174)</f>
        <v>1</v>
      </c>
      <c r="AD172" s="441">
        <f>+AVERAGE(AD173:AD174)</f>
        <v>0.78054545454545454</v>
      </c>
      <c r="AE172" s="441">
        <f>+AVERAGE(AE173:AE174)</f>
        <v>0.23857142857142857</v>
      </c>
      <c r="AF172" s="441">
        <f>+(AF173+AF174)*E172</f>
        <v>3.4999999999999996E-2</v>
      </c>
      <c r="AG172" s="460">
        <f>+(AG173+AG174)*E172</f>
        <v>3.4638181818181811E-2</v>
      </c>
      <c r="AH172" s="878">
        <f>+(AH173+AH174)*E172</f>
        <v>7.1571428571428567E-3</v>
      </c>
      <c r="AI172" s="401">
        <f>+AVERAGE(AI173:AI174)</f>
        <v>0.161</v>
      </c>
      <c r="AJ172" s="461">
        <v>0.34830113636363635</v>
      </c>
      <c r="AK172" s="461">
        <f>+AVERAGE(AK173:AK174)</f>
        <v>0.42421022727272728</v>
      </c>
      <c r="AL172" s="401">
        <f>+(AL173+AL174)*E172</f>
        <v>5.6350000000000003E-3</v>
      </c>
      <c r="AM172" s="453">
        <f>+(AM173+AM174)</f>
        <v>0.35053068181818181</v>
      </c>
      <c r="AN172" s="453">
        <f>+(AN173+AN174)</f>
        <v>0.39607613636363637</v>
      </c>
      <c r="AO172" s="136"/>
      <c r="AP172" s="359"/>
      <c r="AQ172" s="359"/>
      <c r="AR172" s="359"/>
      <c r="AS172" s="359"/>
      <c r="AT172" s="359"/>
      <c r="AU172" s="158"/>
      <c r="AV172" s="158"/>
    </row>
    <row r="173" spans="1:49" ht="103.2" customHeight="1" thickBot="1" x14ac:dyDescent="0.4">
      <c r="A173" s="223"/>
      <c r="B173" s="1147" t="s">
        <v>295</v>
      </c>
      <c r="C173" s="1147" t="s">
        <v>296</v>
      </c>
      <c r="D173" s="361" t="s">
        <v>297</v>
      </c>
      <c r="E173" s="269">
        <v>0.7</v>
      </c>
      <c r="F173" s="383">
        <v>16000</v>
      </c>
      <c r="G173" s="384">
        <v>2000</v>
      </c>
      <c r="H173" s="385">
        <v>5500</v>
      </c>
      <c r="I173" s="385">
        <v>5500</v>
      </c>
      <c r="J173" s="386">
        <f>+G173/F173</f>
        <v>0.125</v>
      </c>
      <c r="K173" s="402">
        <f t="shared" ref="K173:K177" si="151">+H173/F173</f>
        <v>0.34375</v>
      </c>
      <c r="L173" s="403">
        <f>+I173/F173</f>
        <v>0.34375</v>
      </c>
      <c r="M173" s="389">
        <f>+(G173/F173)*E173</f>
        <v>8.7499999999999994E-2</v>
      </c>
      <c r="N173" s="389">
        <f t="shared" ref="N173:N193" si="152">+(H173/F173)*E173</f>
        <v>0.24062499999999998</v>
      </c>
      <c r="O173" s="389"/>
      <c r="P173" s="384">
        <v>2576</v>
      </c>
      <c r="Q173" s="439">
        <v>939</v>
      </c>
      <c r="R173" s="439">
        <v>807</v>
      </c>
      <c r="S173" s="439">
        <v>868</v>
      </c>
      <c r="T173" s="439">
        <v>200</v>
      </c>
      <c r="U173" s="440">
        <v>272</v>
      </c>
      <c r="V173" s="385">
        <f>+Q173+R173+S173+T173+U173</f>
        <v>3086</v>
      </c>
      <c r="W173" s="385">
        <f>+V173+P173+AB173</f>
        <v>5662</v>
      </c>
      <c r="X173" s="439">
        <v>0</v>
      </c>
      <c r="Y173" s="439">
        <v>0</v>
      </c>
      <c r="Z173" s="385"/>
      <c r="AA173" s="385"/>
      <c r="AB173" s="385">
        <f t="shared" si="121"/>
        <v>0</v>
      </c>
      <c r="AC173" s="433">
        <v>1</v>
      </c>
      <c r="AD173" s="419">
        <f t="shared" ref="AD173:AD211" si="153">+V173/H173</f>
        <v>0.56109090909090908</v>
      </c>
      <c r="AE173" s="419">
        <f>+AB173/I173</f>
        <v>0</v>
      </c>
      <c r="AF173" s="433">
        <f>+AC173*E173</f>
        <v>0.7</v>
      </c>
      <c r="AG173" s="457">
        <f t="shared" ref="AG173" si="154">+AD173*E173</f>
        <v>0.39276363636363631</v>
      </c>
      <c r="AH173" s="856">
        <f t="shared" ref="AH173:AH183" si="155">+AE173*E173</f>
        <v>0</v>
      </c>
      <c r="AI173" s="457">
        <f>+P173/F173</f>
        <v>0.161</v>
      </c>
      <c r="AJ173" s="464">
        <v>0.353875</v>
      </c>
      <c r="AK173" s="1310">
        <f t="shared" ref="AK173:AK191" si="156">+W173/F173</f>
        <v>0.353875</v>
      </c>
      <c r="AL173" s="457">
        <f>+AI173*E173</f>
        <v>0.11269999999999999</v>
      </c>
      <c r="AM173" s="458">
        <f>+AJ173*E173</f>
        <v>0.24771249999999997</v>
      </c>
      <c r="AN173" s="404">
        <f t="shared" ref="AN173:AN211" si="157">+AK173*E173</f>
        <v>0.24771249999999997</v>
      </c>
      <c r="AO173" s="142" t="s">
        <v>1844</v>
      </c>
      <c r="AP173" s="597" t="s">
        <v>1886</v>
      </c>
      <c r="AQ173" s="597" t="s">
        <v>1986</v>
      </c>
      <c r="AR173" s="597" t="s">
        <v>2008</v>
      </c>
      <c r="AS173" s="634" t="s">
        <v>2106</v>
      </c>
      <c r="AT173" s="634" t="s">
        <v>2137</v>
      </c>
      <c r="AU173" s="634" t="s">
        <v>2190</v>
      </c>
      <c r="AV173" s="634" t="s">
        <v>1887</v>
      </c>
      <c r="AW173" s="634" t="s">
        <v>2294</v>
      </c>
    </row>
    <row r="174" spans="1:49" ht="97.2" customHeight="1" thickBot="1" x14ac:dyDescent="0.4">
      <c r="A174" s="223"/>
      <c r="B174" s="1147" t="s">
        <v>298</v>
      </c>
      <c r="C174" s="1147" t="s">
        <v>299</v>
      </c>
      <c r="D174" s="361" t="s">
        <v>297</v>
      </c>
      <c r="E174" s="269">
        <v>0.3</v>
      </c>
      <c r="F174" s="383">
        <v>2200</v>
      </c>
      <c r="G174" s="384">
        <v>0</v>
      </c>
      <c r="H174" s="385">
        <v>700</v>
      </c>
      <c r="I174" s="394">
        <v>700</v>
      </c>
      <c r="J174" s="386"/>
      <c r="K174" s="402">
        <f t="shared" si="151"/>
        <v>0.31818181818181818</v>
      </c>
      <c r="L174" s="403">
        <f t="shared" ref="L174" si="158">+I174/F174</f>
        <v>0.31818181818181818</v>
      </c>
      <c r="M174" s="389"/>
      <c r="N174" s="389">
        <f t="shared" si="152"/>
        <v>9.5454545454545445E-2</v>
      </c>
      <c r="O174" s="389"/>
      <c r="P174" s="384"/>
      <c r="Q174" s="439">
        <v>9</v>
      </c>
      <c r="R174" s="439">
        <v>221</v>
      </c>
      <c r="S174" s="439">
        <v>330</v>
      </c>
      <c r="T174" s="439">
        <v>45</v>
      </c>
      <c r="U174" s="440">
        <v>149</v>
      </c>
      <c r="V174" s="385">
        <f>+Q174+R174+S174+T174+U174</f>
        <v>754</v>
      </c>
      <c r="W174" s="385">
        <f>+V174+P174+AB174</f>
        <v>1088</v>
      </c>
      <c r="X174" s="439">
        <v>71</v>
      </c>
      <c r="Y174" s="439">
        <v>263</v>
      </c>
      <c r="Z174" s="385"/>
      <c r="AA174" s="385"/>
      <c r="AB174" s="385">
        <f t="shared" si="121"/>
        <v>334</v>
      </c>
      <c r="AC174" s="433"/>
      <c r="AD174" s="419">
        <v>1</v>
      </c>
      <c r="AE174" s="419">
        <f t="shared" ref="AE174:AE211" si="159">+AB174/I174</f>
        <v>0.47714285714285715</v>
      </c>
      <c r="AF174" s="433"/>
      <c r="AG174" s="457">
        <f>+AD174*E174</f>
        <v>0.3</v>
      </c>
      <c r="AH174" s="793">
        <f t="shared" si="155"/>
        <v>0.14314285714285713</v>
      </c>
      <c r="AI174" s="457"/>
      <c r="AJ174" s="793">
        <v>0.34272727272727271</v>
      </c>
      <c r="AK174" s="793">
        <f t="shared" si="156"/>
        <v>0.49454545454545457</v>
      </c>
      <c r="AL174" s="457"/>
      <c r="AM174" s="458">
        <f>+AJ174*E174</f>
        <v>0.10281818181818181</v>
      </c>
      <c r="AN174" s="404">
        <f t="shared" si="157"/>
        <v>0.14836363636363636</v>
      </c>
      <c r="AO174" s="142" t="s">
        <v>1844</v>
      </c>
      <c r="AP174" s="598" t="s">
        <v>1930</v>
      </c>
      <c r="AQ174" s="597" t="s">
        <v>1986</v>
      </c>
      <c r="AR174" s="597" t="s">
        <v>2008</v>
      </c>
      <c r="AS174" s="634" t="s">
        <v>2106</v>
      </c>
      <c r="AT174" s="634" t="s">
        <v>2137</v>
      </c>
      <c r="AU174" s="634" t="s">
        <v>2190</v>
      </c>
      <c r="AV174" s="634" t="s">
        <v>1887</v>
      </c>
      <c r="AW174" s="634" t="s">
        <v>2294</v>
      </c>
    </row>
    <row r="175" spans="1:49" ht="87" customHeight="1" thickBot="1" x14ac:dyDescent="0.45">
      <c r="A175" s="223"/>
      <c r="B175" s="1295" t="s">
        <v>1616</v>
      </c>
      <c r="C175" s="1292"/>
      <c r="D175" s="360"/>
      <c r="E175" s="379">
        <v>0.1</v>
      </c>
      <c r="F175" s="383"/>
      <c r="G175" s="384"/>
      <c r="H175" s="399"/>
      <c r="I175" s="444"/>
      <c r="J175" s="381">
        <f>+AVERAGE(J176:J178)</f>
        <v>0.30833333333333335</v>
      </c>
      <c r="K175" s="401">
        <f>+AVERAGE(K176:K178)</f>
        <v>0.48893333333333339</v>
      </c>
      <c r="L175" s="453">
        <f>+AVERAGE(L176:L178)</f>
        <v>0.25829999999999997</v>
      </c>
      <c r="M175" s="381">
        <f>+M176+M177+M178</f>
        <v>0.20500000000000002</v>
      </c>
      <c r="N175" s="381">
        <f>+N176+N177+N178</f>
        <v>0.46671999999999997</v>
      </c>
      <c r="O175" s="381"/>
      <c r="P175" s="382"/>
      <c r="Q175" s="388"/>
      <c r="R175" s="388"/>
      <c r="S175" s="388"/>
      <c r="T175" s="388"/>
      <c r="U175" s="833"/>
      <c r="V175" s="388"/>
      <c r="W175" s="388"/>
      <c r="X175" s="385"/>
      <c r="Y175" s="385"/>
      <c r="Z175" s="385"/>
      <c r="AA175" s="385"/>
      <c r="AB175" s="385"/>
      <c r="AC175" s="441">
        <f>+AVERAGE(AC176:AC178)</f>
        <v>1</v>
      </c>
      <c r="AD175" s="441">
        <f>+AVERAGE(AD176:AD178)</f>
        <v>1</v>
      </c>
      <c r="AE175" s="441">
        <f>+AVERAGE(AE176:AE178)</f>
        <v>0.72925518879719931</v>
      </c>
      <c r="AF175" s="441">
        <f>+(AF176+AF177+AF178)*E175</f>
        <v>6.9999999999999993E-2</v>
      </c>
      <c r="AG175" s="460">
        <f>+(AG176+AG177+AG178)*E175</f>
        <v>0.1</v>
      </c>
      <c r="AH175" s="882">
        <f>+(AH176+AH177+AH178)*E175</f>
        <v>5.0837081770442619E-2</v>
      </c>
      <c r="AI175" s="401">
        <f>+AVERAGE(AI176:AI178)</f>
        <v>0.383075</v>
      </c>
      <c r="AJ175" s="461">
        <v>0.76648888888888889</v>
      </c>
      <c r="AK175" s="461">
        <f>+AVERAGE(AK176:AK178)</f>
        <v>0.89195000000000002</v>
      </c>
      <c r="AL175" s="401">
        <f>+(AL176+AL177+AL178)*E175</f>
        <v>2.6718500000000003E-2</v>
      </c>
      <c r="AM175" s="453">
        <f>+(AM176+AM177+AM178)</f>
        <v>0.75401999999999991</v>
      </c>
      <c r="AN175" s="453">
        <f>+(AN176+AN177+AN178)</f>
        <v>0.88581500000000002</v>
      </c>
      <c r="AO175" s="136"/>
      <c r="AP175" s="359"/>
      <c r="AQ175" s="359"/>
      <c r="AR175" s="359"/>
      <c r="AS175" s="359"/>
      <c r="AT175" s="359"/>
      <c r="AU175" s="158"/>
      <c r="AV175" s="158"/>
    </row>
    <row r="176" spans="1:49" ht="135" customHeight="1" thickBot="1" x14ac:dyDescent="0.4">
      <c r="A176" s="223"/>
      <c r="B176" s="1147" t="s">
        <v>300</v>
      </c>
      <c r="C176" s="1147" t="s">
        <v>301</v>
      </c>
      <c r="D176" s="361" t="s">
        <v>297</v>
      </c>
      <c r="E176" s="269">
        <v>0.4</v>
      </c>
      <c r="F176" s="383">
        <v>5000</v>
      </c>
      <c r="G176" s="395">
        <v>1000</v>
      </c>
      <c r="H176" s="1006">
        <v>1334</v>
      </c>
      <c r="I176" s="444">
        <v>1333</v>
      </c>
      <c r="J176" s="386">
        <f>+G176/F176</f>
        <v>0.2</v>
      </c>
      <c r="K176" s="402">
        <f>+H176/F176</f>
        <v>0.26679999999999998</v>
      </c>
      <c r="L176" s="403">
        <f t="shared" ref="L176:L177" si="160">+I176/F176</f>
        <v>0.2666</v>
      </c>
      <c r="M176" s="389">
        <f>+(G176/F176)*E176</f>
        <v>8.0000000000000016E-2</v>
      </c>
      <c r="N176" s="389">
        <f t="shared" si="152"/>
        <v>0.10672</v>
      </c>
      <c r="O176" s="389"/>
      <c r="P176" s="384">
        <v>1867</v>
      </c>
      <c r="Q176" s="439">
        <v>618</v>
      </c>
      <c r="R176" s="439">
        <v>356</v>
      </c>
      <c r="S176" s="439">
        <v>49</v>
      </c>
      <c r="T176" s="439">
        <v>319</v>
      </c>
      <c r="U176" s="439">
        <v>0</v>
      </c>
      <c r="V176" s="385">
        <f>+Q176+R176+S176+T176+U176</f>
        <v>1342</v>
      </c>
      <c r="W176" s="385">
        <f>+V176+P176+AB176</f>
        <v>4153</v>
      </c>
      <c r="X176" s="439">
        <v>618</v>
      </c>
      <c r="Y176" s="439">
        <v>326</v>
      </c>
      <c r="Z176" s="385"/>
      <c r="AA176" s="385"/>
      <c r="AB176" s="385">
        <f t="shared" si="121"/>
        <v>944</v>
      </c>
      <c r="AC176" s="433">
        <v>1</v>
      </c>
      <c r="AD176" s="419">
        <v>1</v>
      </c>
      <c r="AE176" s="419">
        <f t="shared" si="159"/>
        <v>0.70817704426106531</v>
      </c>
      <c r="AF176" s="433">
        <f>+AC176*E176</f>
        <v>0.4</v>
      </c>
      <c r="AG176" s="457">
        <f t="shared" ref="AG176:AG208" si="161">+AD176*E176</f>
        <v>0.4</v>
      </c>
      <c r="AH176" s="464">
        <f t="shared" si="155"/>
        <v>0.28327081770442614</v>
      </c>
      <c r="AI176" s="457">
        <f>+P176/F176</f>
        <v>0.37340000000000001</v>
      </c>
      <c r="AJ176" s="464">
        <v>0.64180000000000004</v>
      </c>
      <c r="AK176" s="464">
        <f t="shared" si="156"/>
        <v>0.8306</v>
      </c>
      <c r="AL176" s="457">
        <f>+AI176*E176</f>
        <v>0.14936000000000002</v>
      </c>
      <c r="AM176" s="458">
        <f>+AJ176*E176</f>
        <v>0.25672</v>
      </c>
      <c r="AN176" s="1310">
        <f t="shared" si="157"/>
        <v>0.33224000000000004</v>
      </c>
      <c r="AO176" s="142" t="s">
        <v>1844</v>
      </c>
      <c r="AP176" s="597" t="s">
        <v>1886</v>
      </c>
      <c r="AQ176" s="597" t="s">
        <v>1986</v>
      </c>
      <c r="AR176" s="597" t="s">
        <v>2008</v>
      </c>
      <c r="AS176" s="634" t="s">
        <v>2106</v>
      </c>
      <c r="AT176" s="557" t="s">
        <v>2164</v>
      </c>
      <c r="AU176" s="634" t="s">
        <v>2190</v>
      </c>
      <c r="AV176" s="634" t="s">
        <v>1887</v>
      </c>
      <c r="AW176" s="634" t="s">
        <v>2294</v>
      </c>
    </row>
    <row r="177" spans="1:49" ht="135" customHeight="1" thickBot="1" x14ac:dyDescent="0.4">
      <c r="A177" s="223"/>
      <c r="B177" s="1147" t="s">
        <v>302</v>
      </c>
      <c r="C177" s="1147" t="s">
        <v>303</v>
      </c>
      <c r="D177" s="361" t="s">
        <v>297</v>
      </c>
      <c r="E177" s="269">
        <v>0.3</v>
      </c>
      <c r="F177" s="383">
        <v>12000</v>
      </c>
      <c r="G177" s="395">
        <v>5000</v>
      </c>
      <c r="H177" s="1006">
        <v>2400</v>
      </c>
      <c r="I177" s="444">
        <v>3000</v>
      </c>
      <c r="J177" s="386">
        <f>+G177/F177</f>
        <v>0.41666666666666669</v>
      </c>
      <c r="K177" s="402">
        <f t="shared" si="151"/>
        <v>0.2</v>
      </c>
      <c r="L177" s="403">
        <f t="shared" si="160"/>
        <v>0.25</v>
      </c>
      <c r="M177" s="389">
        <f>+(G177/F177)*E177</f>
        <v>0.125</v>
      </c>
      <c r="N177" s="389">
        <f t="shared" si="152"/>
        <v>0.06</v>
      </c>
      <c r="O177" s="389"/>
      <c r="P177" s="384">
        <v>4713</v>
      </c>
      <c r="Q177" s="439">
        <v>626</v>
      </c>
      <c r="R177" s="439">
        <v>1377</v>
      </c>
      <c r="S177" s="439">
        <v>732</v>
      </c>
      <c r="T177" s="439">
        <v>0</v>
      </c>
      <c r="U177" s="439">
        <v>444</v>
      </c>
      <c r="V177" s="385">
        <f t="shared" ref="V177:V178" si="162">+Q177+R177+S177+T177+U177</f>
        <v>3179</v>
      </c>
      <c r="W177" s="385">
        <f t="shared" ref="W177" si="163">+V177+P177+AB177</f>
        <v>10143</v>
      </c>
      <c r="X177" s="439">
        <v>626</v>
      </c>
      <c r="Y177" s="439">
        <v>1625</v>
      </c>
      <c r="Z177" s="385"/>
      <c r="AA177" s="385"/>
      <c r="AB177" s="385">
        <f t="shared" si="121"/>
        <v>2251</v>
      </c>
      <c r="AC177" s="433">
        <v>1</v>
      </c>
      <c r="AD177" s="419">
        <v>1</v>
      </c>
      <c r="AE177" s="419">
        <f t="shared" si="159"/>
        <v>0.7503333333333333</v>
      </c>
      <c r="AF177" s="433">
        <f>+AC177*E177</f>
        <v>0.3</v>
      </c>
      <c r="AG177" s="457">
        <f t="shared" si="161"/>
        <v>0.3</v>
      </c>
      <c r="AH177" s="458">
        <f t="shared" si="155"/>
        <v>0.22509999999999997</v>
      </c>
      <c r="AI177" s="457">
        <f>+P177/F177</f>
        <v>0.39274999999999999</v>
      </c>
      <c r="AJ177" s="458">
        <v>0.65766666666666662</v>
      </c>
      <c r="AK177" s="458">
        <f t="shared" si="156"/>
        <v>0.84524999999999995</v>
      </c>
      <c r="AL177" s="457">
        <f>+AI177*E177</f>
        <v>0.11782499999999999</v>
      </c>
      <c r="AM177" s="458">
        <f>+AJ177*E177</f>
        <v>0.19729999999999998</v>
      </c>
      <c r="AN177" s="1310">
        <f t="shared" si="157"/>
        <v>0.25357499999999999</v>
      </c>
      <c r="AO177" s="142" t="s">
        <v>1844</v>
      </c>
      <c r="AP177" s="597" t="s">
        <v>1886</v>
      </c>
      <c r="AQ177" s="597" t="s">
        <v>1986</v>
      </c>
      <c r="AR177" s="597" t="s">
        <v>2008</v>
      </c>
      <c r="AS177" s="634" t="s">
        <v>2106</v>
      </c>
      <c r="AT177" s="634" t="s">
        <v>2137</v>
      </c>
      <c r="AU177" s="634" t="s">
        <v>2190</v>
      </c>
      <c r="AV177" s="634" t="s">
        <v>1887</v>
      </c>
      <c r="AW177" s="634" t="s">
        <v>2294</v>
      </c>
    </row>
    <row r="178" spans="1:49" ht="135" customHeight="1" thickBot="1" x14ac:dyDescent="0.4">
      <c r="A178" s="223"/>
      <c r="B178" s="1147" t="s">
        <v>304</v>
      </c>
      <c r="C178" s="1147" t="s">
        <v>305</v>
      </c>
      <c r="D178" s="361" t="s">
        <v>297</v>
      </c>
      <c r="E178" s="269">
        <v>0.3</v>
      </c>
      <c r="F178" s="383">
        <v>1</v>
      </c>
      <c r="G178" s="395">
        <v>0</v>
      </c>
      <c r="H178" s="1007">
        <v>1</v>
      </c>
      <c r="I178" s="1008"/>
      <c r="J178" s="386"/>
      <c r="K178" s="402">
        <f>+H178/F178</f>
        <v>1</v>
      </c>
      <c r="L178" s="403"/>
      <c r="M178" s="389"/>
      <c r="N178" s="389">
        <f t="shared" si="152"/>
        <v>0.3</v>
      </c>
      <c r="O178" s="389"/>
      <c r="P178" s="384"/>
      <c r="Q178" s="439">
        <v>0</v>
      </c>
      <c r="R178" s="439">
        <v>1</v>
      </c>
      <c r="S178" s="439">
        <v>0</v>
      </c>
      <c r="T178" s="439">
        <v>0</v>
      </c>
      <c r="U178" s="439">
        <v>0</v>
      </c>
      <c r="V178" s="385">
        <f t="shared" si="162"/>
        <v>1</v>
      </c>
      <c r="W178" s="385">
        <f>+V178+P178+AB178</f>
        <v>1</v>
      </c>
      <c r="X178" s="439">
        <v>0</v>
      </c>
      <c r="Y178" s="439"/>
      <c r="Z178" s="385"/>
      <c r="AA178" s="385"/>
      <c r="AB178" s="385">
        <f t="shared" si="121"/>
        <v>0</v>
      </c>
      <c r="AC178" s="433"/>
      <c r="AD178" s="419">
        <f t="shared" si="153"/>
        <v>1</v>
      </c>
      <c r="AE178" s="419"/>
      <c r="AF178" s="433"/>
      <c r="AG178" s="457">
        <f t="shared" si="161"/>
        <v>0.3</v>
      </c>
      <c r="AH178" s="459"/>
      <c r="AI178" s="457"/>
      <c r="AJ178" s="458">
        <v>1</v>
      </c>
      <c r="AK178" s="459">
        <f t="shared" si="156"/>
        <v>1</v>
      </c>
      <c r="AL178" s="457"/>
      <c r="AM178" s="458">
        <f>+AJ178*E178</f>
        <v>0.3</v>
      </c>
      <c r="AN178" s="1310">
        <f t="shared" si="157"/>
        <v>0.3</v>
      </c>
      <c r="AO178" s="142" t="s">
        <v>1844</v>
      </c>
      <c r="AP178" s="598" t="s">
        <v>1930</v>
      </c>
      <c r="AQ178" s="597" t="s">
        <v>1986</v>
      </c>
      <c r="AR178" s="597" t="s">
        <v>2008</v>
      </c>
      <c r="AS178" s="634" t="s">
        <v>2106</v>
      </c>
      <c r="AT178" s="634" t="s">
        <v>2137</v>
      </c>
      <c r="AU178" s="634" t="s">
        <v>2190</v>
      </c>
      <c r="AV178" s="634" t="s">
        <v>1887</v>
      </c>
      <c r="AW178" s="634" t="s">
        <v>2294</v>
      </c>
    </row>
    <row r="179" spans="1:49" ht="135" customHeight="1" thickBot="1" x14ac:dyDescent="0.45">
      <c r="A179" s="223"/>
      <c r="B179" s="1295" t="s">
        <v>1617</v>
      </c>
      <c r="C179" s="1292"/>
      <c r="D179" s="360"/>
      <c r="E179" s="379">
        <v>0.1</v>
      </c>
      <c r="F179" s="383"/>
      <c r="G179" s="384"/>
      <c r="H179" s="864"/>
      <c r="I179" s="444"/>
      <c r="J179" s="381">
        <f>+AVERAGE(J180:J183)</f>
        <v>0.1752103260310604</v>
      </c>
      <c r="K179" s="401">
        <f>+AVERAGE(K180:K183)</f>
        <v>0.31178031471767975</v>
      </c>
      <c r="L179" s="453">
        <f>+AVERAGE(L180:L183)</f>
        <v>0.37729867324899724</v>
      </c>
      <c r="M179" s="381">
        <f>+M180+M181+M182+M183</f>
        <v>0.17445397511056257</v>
      </c>
      <c r="N179" s="381">
        <f>+N180+N181+N182+N183</f>
        <v>0.31513853748842946</v>
      </c>
      <c r="O179" s="381"/>
      <c r="P179" s="384"/>
      <c r="Q179" s="385"/>
      <c r="R179" s="385"/>
      <c r="S179" s="385"/>
      <c r="T179" s="385"/>
      <c r="U179" s="440"/>
      <c r="V179" s="385"/>
      <c r="W179" s="385"/>
      <c r="X179" s="385"/>
      <c r="Y179" s="385"/>
      <c r="Z179" s="385"/>
      <c r="AA179" s="385"/>
      <c r="AB179" s="385"/>
      <c r="AC179" s="441">
        <f>+AVERAGE(AC180:AC183)</f>
        <v>0.62594318181818176</v>
      </c>
      <c r="AD179" s="441">
        <f>+AVERAGE(AD180:AD183)</f>
        <v>0.94106875000000001</v>
      </c>
      <c r="AE179" s="441">
        <f>+AVERAGE(AE180:AE183)</f>
        <v>0.62487280163599179</v>
      </c>
      <c r="AF179" s="441">
        <f>+(AF180+AF181+AF182+AF183)*E179</f>
        <v>6.9720454545454544E-2</v>
      </c>
      <c r="AG179" s="460">
        <f>+(AG180+AG181+AG182+AG183)*E179</f>
        <v>9.4669500000000018E-2</v>
      </c>
      <c r="AH179" s="882">
        <f>+(AH180+AH181+AH182+AH183)*E179</f>
        <v>6.5121824130879344E-2</v>
      </c>
      <c r="AI179" s="401">
        <f>+AVERAGE(AI180:AI183)</f>
        <v>0.1083654494497583</v>
      </c>
      <c r="AJ179" s="461">
        <v>0.41810057338270079</v>
      </c>
      <c r="AK179" s="461">
        <f>+AVERAGE(AK180:AK183)</f>
        <v>0.65516446621413138</v>
      </c>
      <c r="AL179" s="401">
        <f>+(AL180+AL181+AL182+AL183)*E179</f>
        <v>1.2047093098837808E-2</v>
      </c>
      <c r="AM179" s="453">
        <f>+(AM180+AM181+AM182+AM183)</f>
        <v>0.4377733158490178</v>
      </c>
      <c r="AN179" s="453">
        <f>+(AN180+AN181+AN182+AN183)</f>
        <v>0.684038715828448</v>
      </c>
      <c r="AO179" s="136"/>
      <c r="AP179" s="359"/>
      <c r="AQ179" s="359"/>
      <c r="AR179" s="359"/>
      <c r="AS179" s="359"/>
      <c r="AT179" s="359"/>
      <c r="AU179" s="158"/>
      <c r="AV179" s="158"/>
    </row>
    <row r="180" spans="1:49" ht="135" customHeight="1" thickBot="1" x14ac:dyDescent="0.4">
      <c r="A180" s="223"/>
      <c r="B180" s="1147" t="s">
        <v>306</v>
      </c>
      <c r="C180" s="1147" t="s">
        <v>307</v>
      </c>
      <c r="D180" s="361" t="s">
        <v>297</v>
      </c>
      <c r="E180" s="269">
        <v>0.2</v>
      </c>
      <c r="F180" s="383">
        <v>5556</v>
      </c>
      <c r="G180" s="384">
        <v>1100</v>
      </c>
      <c r="H180" s="385">
        <v>1500</v>
      </c>
      <c r="I180" s="423">
        <v>1956</v>
      </c>
      <c r="J180" s="386">
        <f>+G180/F180</f>
        <v>0.19798416126709864</v>
      </c>
      <c r="K180" s="402">
        <f t="shared" ref="K180:K193" si="164">+H180/F180</f>
        <v>0.26997840172786175</v>
      </c>
      <c r="L180" s="403">
        <f t="shared" ref="L180:L183" si="165">+I180/F180</f>
        <v>0.35205183585313177</v>
      </c>
      <c r="M180" s="389">
        <f>+(G180/F180)*E180</f>
        <v>3.9596832253419728E-2</v>
      </c>
      <c r="N180" s="389">
        <f t="shared" si="152"/>
        <v>5.3995680345572353E-2</v>
      </c>
      <c r="O180" s="389"/>
      <c r="P180" s="384">
        <v>272</v>
      </c>
      <c r="Q180" s="439">
        <v>402</v>
      </c>
      <c r="R180" s="439">
        <v>91</v>
      </c>
      <c r="S180" s="439">
        <v>0</v>
      </c>
      <c r="T180" s="439">
        <v>81</v>
      </c>
      <c r="U180" s="439">
        <v>979</v>
      </c>
      <c r="V180" s="385">
        <f>+Q180+R180+S180+T180+U180</f>
        <v>1553</v>
      </c>
      <c r="W180" s="385">
        <f>+V180+P180+AB180</f>
        <v>2331</v>
      </c>
      <c r="X180" s="439">
        <v>506</v>
      </c>
      <c r="Y180" s="439">
        <v>0</v>
      </c>
      <c r="Z180" s="385"/>
      <c r="AA180" s="385"/>
      <c r="AB180" s="385">
        <f t="shared" si="121"/>
        <v>506</v>
      </c>
      <c r="AC180" s="433">
        <f>+(P180/G180)</f>
        <v>0.24727272727272728</v>
      </c>
      <c r="AD180" s="419">
        <v>1</v>
      </c>
      <c r="AE180" s="419">
        <f t="shared" si="159"/>
        <v>0.25869120654396727</v>
      </c>
      <c r="AF180" s="433">
        <f>+AC180*E180</f>
        <v>4.9454545454545459E-2</v>
      </c>
      <c r="AG180" s="457">
        <f t="shared" si="161"/>
        <v>0.2</v>
      </c>
      <c r="AH180" s="464">
        <f t="shared" si="155"/>
        <v>5.1738241308793453E-2</v>
      </c>
      <c r="AI180" s="457">
        <f>+P180/F180</f>
        <v>4.8956083513318933E-2</v>
      </c>
      <c r="AJ180" s="464">
        <v>0.3284737221022318</v>
      </c>
      <c r="AK180" s="464">
        <f t="shared" si="156"/>
        <v>0.41954643628509719</v>
      </c>
      <c r="AL180" s="457">
        <f>+AI180*E180</f>
        <v>9.7912167026637867E-3</v>
      </c>
      <c r="AM180" s="458">
        <f>+AJ180*E180</f>
        <v>6.5694744420446358E-2</v>
      </c>
      <c r="AN180" s="1310">
        <f>+AK180*E180</f>
        <v>8.3909287257019446E-2</v>
      </c>
      <c r="AO180" s="142" t="s">
        <v>1844</v>
      </c>
      <c r="AP180" s="597" t="s">
        <v>1886</v>
      </c>
      <c r="AQ180" s="597" t="s">
        <v>1986</v>
      </c>
      <c r="AR180" s="597" t="s">
        <v>2008</v>
      </c>
      <c r="AS180" s="634" t="s">
        <v>2106</v>
      </c>
      <c r="AT180" s="557" t="s">
        <v>2164</v>
      </c>
      <c r="AU180" s="634" t="s">
        <v>2190</v>
      </c>
      <c r="AV180" s="634" t="s">
        <v>1887</v>
      </c>
      <c r="AW180" s="634" t="s">
        <v>2294</v>
      </c>
    </row>
    <row r="181" spans="1:49" ht="135" customHeight="1" thickBot="1" x14ac:dyDescent="0.4">
      <c r="A181" s="223"/>
      <c r="B181" s="1147" t="s">
        <v>308</v>
      </c>
      <c r="C181" s="1147" t="s">
        <v>309</v>
      </c>
      <c r="D181" s="361" t="s">
        <v>297</v>
      </c>
      <c r="E181" s="269">
        <v>0.3</v>
      </c>
      <c r="F181" s="383">
        <v>14000</v>
      </c>
      <c r="G181" s="384">
        <v>2000</v>
      </c>
      <c r="H181" s="385">
        <v>5000</v>
      </c>
      <c r="I181" s="385">
        <v>5000</v>
      </c>
      <c r="J181" s="386">
        <f>+G181/F181</f>
        <v>0.14285714285714285</v>
      </c>
      <c r="K181" s="402">
        <f t="shared" si="164"/>
        <v>0.35714285714285715</v>
      </c>
      <c r="L181" s="403">
        <f t="shared" si="165"/>
        <v>0.35714285714285715</v>
      </c>
      <c r="M181" s="389">
        <f>+(G181/F181)*E181</f>
        <v>4.2857142857142851E-2</v>
      </c>
      <c r="N181" s="389">
        <f t="shared" si="152"/>
        <v>0.10714285714285714</v>
      </c>
      <c r="O181" s="389"/>
      <c r="P181" s="384">
        <v>1929</v>
      </c>
      <c r="Q181" s="439">
        <v>145</v>
      </c>
      <c r="R181" s="439">
        <v>1059</v>
      </c>
      <c r="S181" s="439">
        <v>1665</v>
      </c>
      <c r="T181" s="439">
        <v>1763</v>
      </c>
      <c r="U181" s="439">
        <v>60</v>
      </c>
      <c r="V181" s="385">
        <f t="shared" ref="V181:V183" si="166">+Q181+R181+S181+T181+U181</f>
        <v>4692</v>
      </c>
      <c r="W181" s="385">
        <f t="shared" ref="W181:W182" si="167">+V181+P181+AB181</f>
        <v>11187</v>
      </c>
      <c r="X181" s="439">
        <v>1306</v>
      </c>
      <c r="Y181" s="439">
        <v>3260</v>
      </c>
      <c r="Z181" s="385"/>
      <c r="AA181" s="385"/>
      <c r="AB181" s="385">
        <f t="shared" si="121"/>
        <v>4566</v>
      </c>
      <c r="AC181" s="433">
        <f>+(P181/G181)</f>
        <v>0.96450000000000002</v>
      </c>
      <c r="AD181" s="419">
        <f t="shared" si="153"/>
        <v>0.93840000000000001</v>
      </c>
      <c r="AE181" s="419">
        <f t="shared" si="159"/>
        <v>0.91320000000000001</v>
      </c>
      <c r="AF181" s="433">
        <f>+AC181*E181</f>
        <v>0.28935</v>
      </c>
      <c r="AG181" s="457">
        <f t="shared" si="161"/>
        <v>0.28151999999999999</v>
      </c>
      <c r="AH181" s="458">
        <f t="shared" si="155"/>
        <v>0.27395999999999998</v>
      </c>
      <c r="AI181" s="457">
        <f>+P181/F181</f>
        <v>0.13778571428571429</v>
      </c>
      <c r="AJ181" s="458">
        <v>0.47292857142857142</v>
      </c>
      <c r="AK181" s="458">
        <f t="shared" si="156"/>
        <v>0.79907142857142854</v>
      </c>
      <c r="AL181" s="457">
        <f>+AI181*E181</f>
        <v>4.1335714285714288E-2</v>
      </c>
      <c r="AM181" s="458">
        <f>+AJ181*E181</f>
        <v>0.14187857142857141</v>
      </c>
      <c r="AN181" s="1310">
        <f t="shared" si="157"/>
        <v>0.23972142857142856</v>
      </c>
      <c r="AO181" s="142" t="s">
        <v>1844</v>
      </c>
      <c r="AP181" s="597" t="s">
        <v>1886</v>
      </c>
      <c r="AQ181" s="597" t="s">
        <v>1986</v>
      </c>
      <c r="AR181" s="597" t="s">
        <v>2008</v>
      </c>
      <c r="AS181" s="634" t="s">
        <v>2106</v>
      </c>
      <c r="AT181" s="557" t="s">
        <v>2164</v>
      </c>
      <c r="AU181" s="634" t="s">
        <v>2190</v>
      </c>
      <c r="AV181" s="634" t="s">
        <v>1887</v>
      </c>
      <c r="AW181" s="634" t="s">
        <v>2294</v>
      </c>
    </row>
    <row r="182" spans="1:49" ht="135" customHeight="1" thickBot="1" x14ac:dyDescent="0.4">
      <c r="A182" s="223"/>
      <c r="B182" s="1147" t="s">
        <v>310</v>
      </c>
      <c r="C182" s="1147" t="s">
        <v>311</v>
      </c>
      <c r="D182" s="361" t="s">
        <v>297</v>
      </c>
      <c r="E182" s="269">
        <v>0.2</v>
      </c>
      <c r="F182" s="383">
        <v>25000</v>
      </c>
      <c r="G182" s="384">
        <v>4000</v>
      </c>
      <c r="H182" s="385">
        <v>8000</v>
      </c>
      <c r="I182" s="385">
        <v>10000</v>
      </c>
      <c r="J182" s="386">
        <f>+G182/F182</f>
        <v>0.16</v>
      </c>
      <c r="K182" s="402">
        <f t="shared" si="164"/>
        <v>0.32</v>
      </c>
      <c r="L182" s="403">
        <f t="shared" si="165"/>
        <v>0.4</v>
      </c>
      <c r="M182" s="389">
        <f>+(G182/F182)*E182</f>
        <v>3.2000000000000001E-2</v>
      </c>
      <c r="N182" s="389">
        <f t="shared" si="152"/>
        <v>6.4000000000000001E-2</v>
      </c>
      <c r="O182" s="389"/>
      <c r="P182" s="384">
        <v>1168</v>
      </c>
      <c r="Q182" s="439">
        <v>401</v>
      </c>
      <c r="R182" s="439">
        <v>875</v>
      </c>
      <c r="S182" s="439">
        <v>2166</v>
      </c>
      <c r="T182" s="439">
        <v>1141</v>
      </c>
      <c r="U182" s="439">
        <v>2024</v>
      </c>
      <c r="V182" s="385">
        <f t="shared" si="166"/>
        <v>6607</v>
      </c>
      <c r="W182" s="385">
        <f t="shared" si="167"/>
        <v>15051</v>
      </c>
      <c r="X182" s="439">
        <v>1877</v>
      </c>
      <c r="Y182" s="439">
        <v>5399</v>
      </c>
      <c r="Z182" s="385"/>
      <c r="AA182" s="385"/>
      <c r="AB182" s="385">
        <f t="shared" si="121"/>
        <v>7276</v>
      </c>
      <c r="AC182" s="433">
        <f>+(P182/G182)</f>
        <v>0.29199999999999998</v>
      </c>
      <c r="AD182" s="419">
        <f t="shared" si="153"/>
        <v>0.82587500000000003</v>
      </c>
      <c r="AE182" s="419">
        <f t="shared" si="159"/>
        <v>0.72760000000000002</v>
      </c>
      <c r="AF182" s="433">
        <f>+AC182*E182</f>
        <v>5.8400000000000001E-2</v>
      </c>
      <c r="AG182" s="457">
        <f t="shared" si="161"/>
        <v>0.16517500000000002</v>
      </c>
      <c r="AH182" s="458">
        <f t="shared" si="155"/>
        <v>0.14552000000000001</v>
      </c>
      <c r="AI182" s="457">
        <f>+P182/F182</f>
        <v>4.6719999999999998E-2</v>
      </c>
      <c r="AJ182" s="458">
        <v>0.311</v>
      </c>
      <c r="AK182" s="458">
        <f t="shared" si="156"/>
        <v>0.60204000000000002</v>
      </c>
      <c r="AL182" s="457">
        <f>+AI182*E182</f>
        <v>9.3439999999999999E-3</v>
      </c>
      <c r="AM182" s="458">
        <f>+AJ182*E182</f>
        <v>6.2200000000000005E-2</v>
      </c>
      <c r="AN182" s="1310">
        <f t="shared" si="157"/>
        <v>0.12040800000000002</v>
      </c>
      <c r="AO182" s="142" t="s">
        <v>1844</v>
      </c>
      <c r="AP182" s="597" t="s">
        <v>1886</v>
      </c>
      <c r="AQ182" s="597" t="s">
        <v>1986</v>
      </c>
      <c r="AR182" s="597" t="s">
        <v>2008</v>
      </c>
      <c r="AS182" s="634" t="s">
        <v>2106</v>
      </c>
      <c r="AT182" s="557" t="s">
        <v>2164</v>
      </c>
      <c r="AU182" s="634" t="s">
        <v>2190</v>
      </c>
      <c r="AV182" s="634" t="s">
        <v>1887</v>
      </c>
      <c r="AW182" s="634" t="s">
        <v>2294</v>
      </c>
    </row>
    <row r="183" spans="1:49" ht="135" customHeight="1" thickBot="1" x14ac:dyDescent="0.4">
      <c r="A183" s="223"/>
      <c r="B183" s="1147" t="s">
        <v>312</v>
      </c>
      <c r="C183" s="1147" t="s">
        <v>313</v>
      </c>
      <c r="D183" s="361" t="s">
        <v>297</v>
      </c>
      <c r="E183" s="269">
        <v>0.3</v>
      </c>
      <c r="F183" s="383">
        <v>50</v>
      </c>
      <c r="G183" s="384">
        <v>10</v>
      </c>
      <c r="H183" s="385">
        <v>15</v>
      </c>
      <c r="I183" s="385">
        <v>20</v>
      </c>
      <c r="J183" s="386">
        <f>+G183/F183</f>
        <v>0.2</v>
      </c>
      <c r="K183" s="402">
        <f t="shared" si="164"/>
        <v>0.3</v>
      </c>
      <c r="L183" s="403">
        <f t="shared" si="165"/>
        <v>0.4</v>
      </c>
      <c r="M183" s="389">
        <f>+(G183/F183)*E183</f>
        <v>0.06</v>
      </c>
      <c r="N183" s="389">
        <f t="shared" si="152"/>
        <v>0.09</v>
      </c>
      <c r="O183" s="389"/>
      <c r="P183" s="384">
        <v>10</v>
      </c>
      <c r="Q183" s="439">
        <v>0</v>
      </c>
      <c r="R183" s="439">
        <v>8</v>
      </c>
      <c r="S183" s="439">
        <v>10</v>
      </c>
      <c r="T183" s="439">
        <v>0</v>
      </c>
      <c r="U183" s="439">
        <v>0</v>
      </c>
      <c r="V183" s="385">
        <f t="shared" si="166"/>
        <v>18</v>
      </c>
      <c r="W183" s="385">
        <f>+V183+P183+AB183</f>
        <v>40</v>
      </c>
      <c r="X183" s="439">
        <v>10</v>
      </c>
      <c r="Y183" s="439">
        <v>2</v>
      </c>
      <c r="Z183" s="385"/>
      <c r="AA183" s="385"/>
      <c r="AB183" s="385">
        <f t="shared" si="121"/>
        <v>12</v>
      </c>
      <c r="AC183" s="433">
        <f>+(P183/G183)</f>
        <v>1</v>
      </c>
      <c r="AD183" s="419">
        <v>1</v>
      </c>
      <c r="AE183" s="419">
        <f t="shared" si="159"/>
        <v>0.6</v>
      </c>
      <c r="AF183" s="433">
        <f>+AC183*E183</f>
        <v>0.3</v>
      </c>
      <c r="AG183" s="681">
        <f t="shared" si="161"/>
        <v>0.3</v>
      </c>
      <c r="AH183" s="459">
        <f t="shared" si="155"/>
        <v>0.18</v>
      </c>
      <c r="AI183" s="457">
        <f>+P183/F183</f>
        <v>0.2</v>
      </c>
      <c r="AJ183" s="459">
        <v>0.56000000000000005</v>
      </c>
      <c r="AK183" s="459">
        <f t="shared" si="156"/>
        <v>0.8</v>
      </c>
      <c r="AL183" s="457">
        <f>+AI183*E183</f>
        <v>0.06</v>
      </c>
      <c r="AM183" s="458">
        <f>+AJ183*E183</f>
        <v>0.16800000000000001</v>
      </c>
      <c r="AN183" s="1310">
        <f t="shared" si="157"/>
        <v>0.24</v>
      </c>
      <c r="AO183" s="142" t="s">
        <v>1844</v>
      </c>
      <c r="AP183" s="597" t="s">
        <v>1886</v>
      </c>
      <c r="AQ183" s="597" t="s">
        <v>1986</v>
      </c>
      <c r="AR183" s="597" t="s">
        <v>2008</v>
      </c>
      <c r="AS183" s="634" t="s">
        <v>2106</v>
      </c>
      <c r="AT183" s="557" t="s">
        <v>2164</v>
      </c>
      <c r="AU183" s="634" t="s">
        <v>2190</v>
      </c>
      <c r="AV183" s="634" t="s">
        <v>1887</v>
      </c>
      <c r="AW183" s="634" t="s">
        <v>2294</v>
      </c>
    </row>
    <row r="184" spans="1:49" ht="135" customHeight="1" thickBot="1" x14ac:dyDescent="0.45">
      <c r="A184" s="223"/>
      <c r="B184" s="1295" t="s">
        <v>1618</v>
      </c>
      <c r="C184" s="1292"/>
      <c r="D184" s="360"/>
      <c r="E184" s="379">
        <v>0.1</v>
      </c>
      <c r="F184" s="383"/>
      <c r="G184" s="384"/>
      <c r="H184" s="385"/>
      <c r="I184" s="394"/>
      <c r="J184" s="381">
        <f>+AVERAGE(J185)</f>
        <v>4.2000000000000003E-2</v>
      </c>
      <c r="K184" s="401">
        <f>+AVERAGE(K185)</f>
        <v>0.33</v>
      </c>
      <c r="L184" s="453">
        <f>+AVERAGE(L185)</f>
        <v>0.33</v>
      </c>
      <c r="M184" s="381">
        <f>+M185</f>
        <v>4.2000000000000003E-2</v>
      </c>
      <c r="N184" s="381">
        <f>+N185</f>
        <v>0.33</v>
      </c>
      <c r="O184" s="381"/>
      <c r="P184" s="382"/>
      <c r="Q184" s="388"/>
      <c r="R184" s="388"/>
      <c r="S184" s="388"/>
      <c r="T184" s="388"/>
      <c r="U184" s="833"/>
      <c r="V184" s="388"/>
      <c r="W184" s="388"/>
      <c r="X184" s="385"/>
      <c r="Y184" s="385"/>
      <c r="Z184" s="385"/>
      <c r="AA184" s="385"/>
      <c r="AB184" s="385"/>
      <c r="AC184" s="441">
        <f>+AVERAGE(AC185)</f>
        <v>0</v>
      </c>
      <c r="AD184" s="441">
        <f>+AVERAGE(AD185)</f>
        <v>7.575757575757576E-2</v>
      </c>
      <c r="AE184" s="441">
        <f>+AVERAGE(AE185)</f>
        <v>0</v>
      </c>
      <c r="AF184" s="460">
        <f>+(AF185)*E184</f>
        <v>0</v>
      </c>
      <c r="AG184" s="882">
        <f>+(AG185)*E184</f>
        <v>7.575757575757576E-3</v>
      </c>
      <c r="AH184" s="882">
        <f>+(AH185)*E184</f>
        <v>0</v>
      </c>
      <c r="AI184" s="401">
        <f>+AVERAGE(AI185)</f>
        <v>0</v>
      </c>
      <c r="AJ184" s="461">
        <v>2.5000000000000001E-2</v>
      </c>
      <c r="AK184" s="461">
        <f>+AVERAGE(AK185)</f>
        <v>2.5000000000000001E-2</v>
      </c>
      <c r="AL184" s="401">
        <f>+(AL185)*E184</f>
        <v>0</v>
      </c>
      <c r="AM184" s="453">
        <f>+(AM185)</f>
        <v>2.5000000000000001E-2</v>
      </c>
      <c r="AN184" s="453">
        <f>+(AN185)</f>
        <v>2.5000000000000001E-2</v>
      </c>
      <c r="AO184" s="136"/>
      <c r="AP184" s="359"/>
      <c r="AQ184" s="359"/>
      <c r="AR184" s="359"/>
      <c r="AS184" s="359"/>
      <c r="AT184" s="359"/>
      <c r="AU184" s="158"/>
      <c r="AV184" s="158"/>
    </row>
    <row r="185" spans="1:49" ht="135" customHeight="1" thickBot="1" x14ac:dyDescent="0.4">
      <c r="A185" s="223"/>
      <c r="B185" s="1147" t="s">
        <v>314</v>
      </c>
      <c r="C185" s="1147" t="s">
        <v>315</v>
      </c>
      <c r="D185" s="361" t="s">
        <v>297</v>
      </c>
      <c r="E185" s="269">
        <v>1</v>
      </c>
      <c r="F185" s="383">
        <v>5000</v>
      </c>
      <c r="G185" s="384">
        <v>210</v>
      </c>
      <c r="H185" s="1009">
        <v>1650</v>
      </c>
      <c r="I185" s="1010">
        <v>1650</v>
      </c>
      <c r="J185" s="386">
        <f>+G185/F185</f>
        <v>4.2000000000000003E-2</v>
      </c>
      <c r="K185" s="402">
        <f t="shared" si="164"/>
        <v>0.33</v>
      </c>
      <c r="L185" s="403">
        <f>+I185/F185</f>
        <v>0.33</v>
      </c>
      <c r="M185" s="389">
        <f>+(G185/F185)*E185</f>
        <v>4.2000000000000003E-2</v>
      </c>
      <c r="N185" s="389">
        <f t="shared" si="152"/>
        <v>0.33</v>
      </c>
      <c r="O185" s="389"/>
      <c r="P185" s="384">
        <v>0</v>
      </c>
      <c r="Q185" s="439">
        <v>0</v>
      </c>
      <c r="R185" s="439">
        <v>92</v>
      </c>
      <c r="S185" s="439">
        <v>33</v>
      </c>
      <c r="T185" s="439">
        <v>0</v>
      </c>
      <c r="U185" s="439">
        <v>0</v>
      </c>
      <c r="V185" s="385">
        <f>+Q185+R185+S185+T185+U185</f>
        <v>125</v>
      </c>
      <c r="W185" s="385">
        <f>+V185+P185+AB185</f>
        <v>125</v>
      </c>
      <c r="X185" s="439">
        <v>0</v>
      </c>
      <c r="Y185" s="439">
        <v>0</v>
      </c>
      <c r="Z185" s="385"/>
      <c r="AA185" s="385"/>
      <c r="AB185" s="385">
        <f t="shared" si="121"/>
        <v>0</v>
      </c>
      <c r="AC185" s="433">
        <f>+(P185/G185)</f>
        <v>0</v>
      </c>
      <c r="AD185" s="419">
        <f t="shared" si="153"/>
        <v>7.575757575757576E-2</v>
      </c>
      <c r="AE185" s="419">
        <f t="shared" si="159"/>
        <v>0</v>
      </c>
      <c r="AF185" s="433">
        <f>+AC185*E185</f>
        <v>0</v>
      </c>
      <c r="AG185" s="717">
        <f t="shared" si="161"/>
        <v>7.575757575757576E-2</v>
      </c>
      <c r="AH185" s="793">
        <f>+AE185*E185</f>
        <v>0</v>
      </c>
      <c r="AI185" s="457">
        <f>+P185/F185</f>
        <v>0</v>
      </c>
      <c r="AJ185" s="793">
        <v>2.5000000000000001E-2</v>
      </c>
      <c r="AK185" s="793">
        <f t="shared" si="156"/>
        <v>2.5000000000000001E-2</v>
      </c>
      <c r="AL185" s="457">
        <f>+AI185*E185</f>
        <v>0</v>
      </c>
      <c r="AM185" s="458">
        <f>+AJ185*E185</f>
        <v>2.5000000000000001E-2</v>
      </c>
      <c r="AN185" s="1310">
        <f t="shared" si="157"/>
        <v>2.5000000000000001E-2</v>
      </c>
      <c r="AO185" s="142" t="s">
        <v>1844</v>
      </c>
      <c r="AP185" s="597" t="s">
        <v>1886</v>
      </c>
      <c r="AQ185" s="597" t="s">
        <v>1986</v>
      </c>
      <c r="AR185" s="597" t="s">
        <v>2008</v>
      </c>
      <c r="AS185" s="634" t="s">
        <v>2106</v>
      </c>
      <c r="AT185" s="557" t="s">
        <v>2164</v>
      </c>
      <c r="AU185" s="634" t="s">
        <v>2190</v>
      </c>
      <c r="AV185" s="634" t="s">
        <v>1887</v>
      </c>
      <c r="AW185" s="634" t="s">
        <v>2294</v>
      </c>
    </row>
    <row r="186" spans="1:49" ht="135" customHeight="1" thickBot="1" x14ac:dyDescent="0.45">
      <c r="A186" s="223"/>
      <c r="B186" s="1295" t="s">
        <v>1619</v>
      </c>
      <c r="C186" s="1292"/>
      <c r="D186" s="360"/>
      <c r="E186" s="379">
        <v>0.1</v>
      </c>
      <c r="F186" s="383"/>
      <c r="G186" s="384"/>
      <c r="H186" s="385"/>
      <c r="I186" s="423"/>
      <c r="J186" s="381">
        <f>+AVERAGE(J187:J191)</f>
        <v>0.13873355263157894</v>
      </c>
      <c r="K186" s="401">
        <f>+AVERAGE(K187:K191)</f>
        <v>0.30382894736842103</v>
      </c>
      <c r="L186" s="453">
        <f>+AVERAGE(L187:L191)</f>
        <v>0.26398026315789475</v>
      </c>
      <c r="M186" s="381">
        <f>+M187+M188+M189+M190+M191</f>
        <v>0.11001315789473685</v>
      </c>
      <c r="N186" s="381">
        <f>+N187+N188+N189+N190+N191</f>
        <v>0.30417105263157895</v>
      </c>
      <c r="O186" s="381"/>
      <c r="P186" s="382"/>
      <c r="Q186" s="388"/>
      <c r="R186" s="388"/>
      <c r="S186" s="388"/>
      <c r="T186" s="388"/>
      <c r="U186" s="833"/>
      <c r="V186" s="388"/>
      <c r="W186" s="388"/>
      <c r="X186" s="385"/>
      <c r="Y186" s="385"/>
      <c r="Z186" s="385"/>
      <c r="AA186" s="385"/>
      <c r="AB186" s="385"/>
      <c r="AC186" s="441">
        <f>+AVERAGE(AC187:AC191)</f>
        <v>1</v>
      </c>
      <c r="AD186" s="441">
        <f>+AVERAGE(AD187:AD191)</f>
        <v>0.98120000000000007</v>
      </c>
      <c r="AE186" s="441">
        <f>+AVERAGE(AE187:AE191)</f>
        <v>0.32500000000000001</v>
      </c>
      <c r="AF186" s="441">
        <f>+(AF187+AF188+AF189+AF190+AF191)*E186</f>
        <v>8.0000000000000016E-2</v>
      </c>
      <c r="AG186" s="460">
        <f>+(AG187+AG188+AG189+AG190+AG191)*E186</f>
        <v>9.8208000000000018E-2</v>
      </c>
      <c r="AH186" s="882">
        <f>+(AH187+AH188+AH189+AH190+AH191)*E186</f>
        <v>2.6225999999999999E-2</v>
      </c>
      <c r="AI186" s="401">
        <f>+AVERAGE(AI187:AI191)</f>
        <v>0.18213075657894739</v>
      </c>
      <c r="AJ186" s="461">
        <v>0.58277039473684211</v>
      </c>
      <c r="AK186" s="461">
        <f>+AVERAGE(AK187:AK191)</f>
        <v>0.64975460526315787</v>
      </c>
      <c r="AL186" s="401">
        <f>+(AL187+AL188+AL189+AL190+AL191)*E186</f>
        <v>1.4271164473684213E-2</v>
      </c>
      <c r="AM186" s="453">
        <f>+(AM187+AM188+AM189+AM190+AM191)</f>
        <v>0.58047085526315789</v>
      </c>
      <c r="AN186" s="453">
        <f>+(AN187+AN188+AN189+AN190+AN191)</f>
        <v>0.64707164473684209</v>
      </c>
      <c r="AO186" s="136"/>
      <c r="AP186" s="359"/>
      <c r="AQ186" s="359"/>
      <c r="AR186" s="359"/>
      <c r="AS186" s="359"/>
      <c r="AT186" s="359"/>
      <c r="AU186" s="158"/>
      <c r="AV186" s="158"/>
    </row>
    <row r="187" spans="1:49" ht="135" customHeight="1" thickBot="1" x14ac:dyDescent="0.4">
      <c r="A187" s="223"/>
      <c r="B187" s="1147" t="s">
        <v>316</v>
      </c>
      <c r="C187" s="1147" t="s">
        <v>317</v>
      </c>
      <c r="D187" s="361" t="s">
        <v>297</v>
      </c>
      <c r="E187" s="269">
        <v>0.24</v>
      </c>
      <c r="F187" s="383">
        <v>8000</v>
      </c>
      <c r="G187" s="384">
        <v>350</v>
      </c>
      <c r="H187" s="384">
        <v>2550</v>
      </c>
      <c r="I187" s="385">
        <v>2000</v>
      </c>
      <c r="J187" s="386">
        <f>+G187/F187</f>
        <v>4.3749999999999997E-2</v>
      </c>
      <c r="K187" s="402">
        <f t="shared" si="164"/>
        <v>0.31874999999999998</v>
      </c>
      <c r="L187" s="403">
        <f t="shared" ref="L187:L191" si="168">+I187/F187</f>
        <v>0.25</v>
      </c>
      <c r="M187" s="389">
        <f>+(G187/F187)*E187</f>
        <v>1.0499999999999999E-2</v>
      </c>
      <c r="N187" s="389">
        <f t="shared" si="152"/>
        <v>7.6499999999999999E-2</v>
      </c>
      <c r="O187" s="389"/>
      <c r="P187" s="384">
        <v>477</v>
      </c>
      <c r="Q187" s="439">
        <v>32</v>
      </c>
      <c r="R187" s="439">
        <v>500</v>
      </c>
      <c r="S187" s="439">
        <v>1013</v>
      </c>
      <c r="T187" s="439">
        <v>137</v>
      </c>
      <c r="U187" s="439">
        <v>938</v>
      </c>
      <c r="V187" s="385">
        <f>+Q187+R187+S187+T187+U187</f>
        <v>2620</v>
      </c>
      <c r="W187" s="385">
        <f>+V187+P187+AB187</f>
        <v>3839</v>
      </c>
      <c r="X187" s="439">
        <v>88</v>
      </c>
      <c r="Y187" s="439">
        <v>654</v>
      </c>
      <c r="Z187" s="385"/>
      <c r="AA187" s="385"/>
      <c r="AB187" s="385">
        <f t="shared" si="121"/>
        <v>742</v>
      </c>
      <c r="AC187" s="386">
        <v>1</v>
      </c>
      <c r="AD187" s="419">
        <v>1</v>
      </c>
      <c r="AE187" s="419">
        <f t="shared" si="159"/>
        <v>0.371</v>
      </c>
      <c r="AF187" s="433">
        <f>+AC187*E187</f>
        <v>0.24</v>
      </c>
      <c r="AG187" s="457">
        <f t="shared" si="161"/>
        <v>0.24</v>
      </c>
      <c r="AH187" s="464">
        <f t="shared" ref="AH187:AH211" si="169">+AE187*E187</f>
        <v>8.9039999999999994E-2</v>
      </c>
      <c r="AI187" s="457">
        <f>+P187/F187</f>
        <v>5.9624999999999997E-2</v>
      </c>
      <c r="AJ187" s="464">
        <v>0.387125</v>
      </c>
      <c r="AK187" s="464">
        <f t="shared" si="156"/>
        <v>0.479875</v>
      </c>
      <c r="AL187" s="457">
        <f>+AI187*E187</f>
        <v>1.4309999999999998E-2</v>
      </c>
      <c r="AM187" s="458">
        <f>+AJ187*E187</f>
        <v>9.2909999999999993E-2</v>
      </c>
      <c r="AN187" s="1310">
        <f t="shared" si="157"/>
        <v>0.11516999999999999</v>
      </c>
      <c r="AO187" s="142" t="s">
        <v>1844</v>
      </c>
      <c r="AP187" s="597" t="s">
        <v>1886</v>
      </c>
      <c r="AQ187" s="597" t="s">
        <v>1986</v>
      </c>
      <c r="AR187" s="597" t="s">
        <v>2008</v>
      </c>
      <c r="AS187" s="634" t="s">
        <v>2106</v>
      </c>
      <c r="AT187" s="634" t="s">
        <v>2137</v>
      </c>
      <c r="AU187" s="634" t="s">
        <v>2190</v>
      </c>
      <c r="AV187" s="634" t="s">
        <v>1887</v>
      </c>
      <c r="AW187" s="634" t="s">
        <v>2294</v>
      </c>
    </row>
    <row r="188" spans="1:49" ht="135" customHeight="1" thickBot="1" x14ac:dyDescent="0.4">
      <c r="A188" s="223"/>
      <c r="B188" s="1147" t="s">
        <v>318</v>
      </c>
      <c r="C188" s="1147" t="s">
        <v>319</v>
      </c>
      <c r="D188" s="361" t="s">
        <v>297</v>
      </c>
      <c r="E188" s="269">
        <v>0.2</v>
      </c>
      <c r="F188" s="383">
        <v>1</v>
      </c>
      <c r="G188" s="384">
        <v>0</v>
      </c>
      <c r="H188" s="384">
        <v>0.33</v>
      </c>
      <c r="I188" s="385">
        <v>0</v>
      </c>
      <c r="J188" s="386"/>
      <c r="K188" s="402">
        <f t="shared" si="164"/>
        <v>0.33</v>
      </c>
      <c r="L188" s="403"/>
      <c r="M188" s="389"/>
      <c r="N188" s="389">
        <f t="shared" si="152"/>
        <v>6.6000000000000003E-2</v>
      </c>
      <c r="O188" s="389"/>
      <c r="P188" s="384"/>
      <c r="Q188" s="439">
        <v>0</v>
      </c>
      <c r="R188" s="439">
        <v>0</v>
      </c>
      <c r="S188" s="439">
        <v>0</v>
      </c>
      <c r="T188" s="439">
        <v>1</v>
      </c>
      <c r="U188" s="439">
        <v>0</v>
      </c>
      <c r="V188" s="385">
        <f t="shared" ref="V188:V191" si="170">+Q188+R188+S188+T188+U188</f>
        <v>1</v>
      </c>
      <c r="W188" s="385">
        <f t="shared" ref="W188:W189" si="171">+V188+P188+AB188</f>
        <v>1</v>
      </c>
      <c r="X188" s="439"/>
      <c r="Y188" s="439"/>
      <c r="Z188" s="385"/>
      <c r="AA188" s="385"/>
      <c r="AB188" s="385">
        <f t="shared" si="121"/>
        <v>0</v>
      </c>
      <c r="AC188" s="386"/>
      <c r="AD188" s="419">
        <v>1</v>
      </c>
      <c r="AE188" s="419"/>
      <c r="AF188" s="433"/>
      <c r="AG188" s="457">
        <f t="shared" si="161"/>
        <v>0.2</v>
      </c>
      <c r="AH188" s="458">
        <f t="shared" si="169"/>
        <v>0</v>
      </c>
      <c r="AI188" s="457"/>
      <c r="AJ188" s="464">
        <v>1</v>
      </c>
      <c r="AK188" s="464">
        <f t="shared" si="156"/>
        <v>1</v>
      </c>
      <c r="AL188" s="457"/>
      <c r="AM188" s="458">
        <f>+AJ188*E188</f>
        <v>0.2</v>
      </c>
      <c r="AN188" s="1310">
        <f t="shared" si="157"/>
        <v>0.2</v>
      </c>
      <c r="AO188" s="142" t="s">
        <v>1844</v>
      </c>
      <c r="AP188" s="598" t="s">
        <v>1931</v>
      </c>
      <c r="AQ188" s="597" t="s">
        <v>1986</v>
      </c>
      <c r="AR188" s="597" t="s">
        <v>2008</v>
      </c>
      <c r="AS188" s="634" t="s">
        <v>2106</v>
      </c>
      <c r="AT188" s="634" t="s">
        <v>2138</v>
      </c>
      <c r="AU188" s="634" t="s">
        <v>2190</v>
      </c>
      <c r="AV188" s="634" t="s">
        <v>1887</v>
      </c>
      <c r="AW188" s="634" t="s">
        <v>2294</v>
      </c>
    </row>
    <row r="189" spans="1:49" ht="135" customHeight="1" thickBot="1" x14ac:dyDescent="0.4">
      <c r="A189" s="223"/>
      <c r="B189" s="1147" t="s">
        <v>320</v>
      </c>
      <c r="C189" s="1147" t="s">
        <v>321</v>
      </c>
      <c r="D189" s="361" t="s">
        <v>297</v>
      </c>
      <c r="E189" s="269">
        <v>0.18</v>
      </c>
      <c r="F189" s="383">
        <v>3800</v>
      </c>
      <c r="G189" s="384">
        <v>280</v>
      </c>
      <c r="H189" s="384">
        <v>1170</v>
      </c>
      <c r="I189" s="385">
        <v>1400</v>
      </c>
      <c r="J189" s="386">
        <f>+G189/F189</f>
        <v>7.3684210526315783E-2</v>
      </c>
      <c r="K189" s="402">
        <f t="shared" si="164"/>
        <v>0.30789473684210528</v>
      </c>
      <c r="L189" s="403">
        <f t="shared" si="168"/>
        <v>0.36842105263157893</v>
      </c>
      <c r="M189" s="389">
        <f>+(G189/F189)*E189</f>
        <v>1.326315789473684E-2</v>
      </c>
      <c r="N189" s="389">
        <f>+(H189/F189)*E189</f>
        <v>5.5421052631578947E-2</v>
      </c>
      <c r="O189" s="389"/>
      <c r="P189" s="384">
        <v>529</v>
      </c>
      <c r="Q189" s="439">
        <v>0</v>
      </c>
      <c r="R189" s="439">
        <v>180</v>
      </c>
      <c r="S189" s="439">
        <v>226</v>
      </c>
      <c r="T189" s="439">
        <v>373</v>
      </c>
      <c r="U189" s="439">
        <v>443</v>
      </c>
      <c r="V189" s="385">
        <f t="shared" si="170"/>
        <v>1222</v>
      </c>
      <c r="W189" s="385">
        <f t="shared" si="171"/>
        <v>1954</v>
      </c>
      <c r="X189" s="439">
        <v>39</v>
      </c>
      <c r="Y189" s="439">
        <v>164</v>
      </c>
      <c r="Z189" s="385"/>
      <c r="AA189" s="385"/>
      <c r="AB189" s="385">
        <f t="shared" si="121"/>
        <v>203</v>
      </c>
      <c r="AC189" s="386">
        <v>1</v>
      </c>
      <c r="AD189" s="419">
        <v>1</v>
      </c>
      <c r="AE189" s="419">
        <f t="shared" si="159"/>
        <v>0.14499999999999999</v>
      </c>
      <c r="AF189" s="433">
        <f>+AC189*E189</f>
        <v>0.18</v>
      </c>
      <c r="AG189" s="457">
        <f t="shared" si="161"/>
        <v>0.18</v>
      </c>
      <c r="AH189" s="458">
        <f t="shared" si="169"/>
        <v>2.6099999999999998E-2</v>
      </c>
      <c r="AI189" s="457">
        <f>+P189/F189</f>
        <v>0.13921052631578948</v>
      </c>
      <c r="AJ189" s="458">
        <v>0.46078947368421053</v>
      </c>
      <c r="AK189" s="458">
        <f t="shared" si="156"/>
        <v>0.51421052631578945</v>
      </c>
      <c r="AL189" s="457">
        <f>+AI189*E189</f>
        <v>2.5057894736842105E-2</v>
      </c>
      <c r="AM189" s="458">
        <f>+AJ189*E189</f>
        <v>8.2942105263157886E-2</v>
      </c>
      <c r="AN189" s="1310">
        <f t="shared" si="157"/>
        <v>9.2557894736842103E-2</v>
      </c>
      <c r="AO189" s="142" t="s">
        <v>1844</v>
      </c>
      <c r="AP189" s="597" t="s">
        <v>1886</v>
      </c>
      <c r="AQ189" s="597" t="s">
        <v>1986</v>
      </c>
      <c r="AR189" s="597" t="s">
        <v>2008</v>
      </c>
      <c r="AS189" s="634" t="s">
        <v>2106</v>
      </c>
      <c r="AT189" s="557" t="s">
        <v>2164</v>
      </c>
      <c r="AU189" s="634" t="s">
        <v>2190</v>
      </c>
      <c r="AV189" s="634" t="s">
        <v>1887</v>
      </c>
      <c r="AW189" s="634" t="s">
        <v>2294</v>
      </c>
    </row>
    <row r="190" spans="1:49" ht="135" customHeight="1" thickBot="1" x14ac:dyDescent="0.4">
      <c r="A190" s="223"/>
      <c r="B190" s="1147" t="s">
        <v>322</v>
      </c>
      <c r="C190" s="1147" t="s">
        <v>323</v>
      </c>
      <c r="D190" s="361" t="s">
        <v>297</v>
      </c>
      <c r="E190" s="269">
        <v>0.2</v>
      </c>
      <c r="F190" s="383">
        <v>80</v>
      </c>
      <c r="G190" s="384">
        <v>30</v>
      </c>
      <c r="H190" s="384">
        <v>20</v>
      </c>
      <c r="I190" s="385">
        <v>10</v>
      </c>
      <c r="J190" s="386">
        <f>+G190/F190</f>
        <v>0.375</v>
      </c>
      <c r="K190" s="402">
        <f t="shared" si="164"/>
        <v>0.25</v>
      </c>
      <c r="L190" s="403">
        <f t="shared" si="168"/>
        <v>0.125</v>
      </c>
      <c r="M190" s="389">
        <f>+(G190/F190)*E190</f>
        <v>7.5000000000000011E-2</v>
      </c>
      <c r="N190" s="389">
        <f t="shared" si="152"/>
        <v>0.05</v>
      </c>
      <c r="O190" s="389"/>
      <c r="P190" s="384">
        <v>32</v>
      </c>
      <c r="Q190" s="439">
        <v>3</v>
      </c>
      <c r="R190" s="439">
        <v>3</v>
      </c>
      <c r="S190" s="439">
        <v>4</v>
      </c>
      <c r="T190" s="439">
        <v>2</v>
      </c>
      <c r="U190" s="439">
        <v>7</v>
      </c>
      <c r="V190" s="385">
        <f t="shared" si="170"/>
        <v>19</v>
      </c>
      <c r="W190" s="385">
        <f>+V190+P190+AB190</f>
        <v>54</v>
      </c>
      <c r="X190" s="439">
        <v>1</v>
      </c>
      <c r="Y190" s="439">
        <v>2</v>
      </c>
      <c r="Z190" s="385"/>
      <c r="AA190" s="385"/>
      <c r="AB190" s="385">
        <f t="shared" si="121"/>
        <v>3</v>
      </c>
      <c r="AC190" s="386">
        <v>1</v>
      </c>
      <c r="AD190" s="419">
        <f t="shared" si="153"/>
        <v>0.95</v>
      </c>
      <c r="AE190" s="419">
        <f t="shared" si="159"/>
        <v>0.3</v>
      </c>
      <c r="AF190" s="433">
        <f>+AC190*E190</f>
        <v>0.2</v>
      </c>
      <c r="AG190" s="457">
        <f t="shared" si="161"/>
        <v>0.19</v>
      </c>
      <c r="AH190" s="458">
        <f t="shared" si="169"/>
        <v>0.06</v>
      </c>
      <c r="AI190" s="457">
        <f>+P190/F190</f>
        <v>0.4</v>
      </c>
      <c r="AJ190" s="458">
        <v>0.63749999999999996</v>
      </c>
      <c r="AK190" s="458">
        <f t="shared" si="156"/>
        <v>0.67500000000000004</v>
      </c>
      <c r="AL190" s="457">
        <f>+AI190*E190</f>
        <v>8.0000000000000016E-2</v>
      </c>
      <c r="AM190" s="458">
        <f>+AJ190*E190</f>
        <v>0.1275</v>
      </c>
      <c r="AN190" s="1310">
        <f t="shared" si="157"/>
        <v>0.13500000000000001</v>
      </c>
      <c r="AO190" s="142" t="s">
        <v>1844</v>
      </c>
      <c r="AP190" s="597" t="s">
        <v>1886</v>
      </c>
      <c r="AQ190" s="597" t="s">
        <v>1986</v>
      </c>
      <c r="AR190" s="597" t="s">
        <v>2008</v>
      </c>
      <c r="AS190" s="634" t="s">
        <v>2106</v>
      </c>
      <c r="AT190" s="634" t="s">
        <v>2137</v>
      </c>
      <c r="AU190" s="634" t="s">
        <v>2190</v>
      </c>
      <c r="AV190" s="634" t="s">
        <v>1887</v>
      </c>
      <c r="AW190" s="634" t="s">
        <v>2294</v>
      </c>
    </row>
    <row r="191" spans="1:49" ht="135" customHeight="1" thickBot="1" x14ac:dyDescent="0.4">
      <c r="A191" s="223"/>
      <c r="B191" s="1147" t="s">
        <v>324</v>
      </c>
      <c r="C191" s="1147" t="s">
        <v>325</v>
      </c>
      <c r="D191" s="361" t="s">
        <v>297</v>
      </c>
      <c r="E191" s="269">
        <v>0.18</v>
      </c>
      <c r="F191" s="383">
        <v>3200</v>
      </c>
      <c r="G191" s="384">
        <v>200</v>
      </c>
      <c r="H191" s="384">
        <v>1000</v>
      </c>
      <c r="I191" s="385">
        <v>1000</v>
      </c>
      <c r="J191" s="386">
        <f>+G191/F191</f>
        <v>6.25E-2</v>
      </c>
      <c r="K191" s="402">
        <f t="shared" si="164"/>
        <v>0.3125</v>
      </c>
      <c r="L191" s="403">
        <f t="shared" si="168"/>
        <v>0.3125</v>
      </c>
      <c r="M191" s="389">
        <f>+(G191/F191)*E191</f>
        <v>1.125E-2</v>
      </c>
      <c r="N191" s="389">
        <f t="shared" si="152"/>
        <v>5.6249999999999994E-2</v>
      </c>
      <c r="O191" s="389"/>
      <c r="P191" s="384">
        <v>415</v>
      </c>
      <c r="Q191" s="439">
        <v>98</v>
      </c>
      <c r="R191" s="439">
        <v>104</v>
      </c>
      <c r="S191" s="439">
        <v>129</v>
      </c>
      <c r="T191" s="439">
        <v>110</v>
      </c>
      <c r="U191" s="439">
        <v>515</v>
      </c>
      <c r="V191" s="385">
        <f t="shared" si="170"/>
        <v>956</v>
      </c>
      <c r="W191" s="385">
        <f>+V191+P191+AB191</f>
        <v>1855</v>
      </c>
      <c r="X191" s="439">
        <v>168</v>
      </c>
      <c r="Y191" s="439">
        <v>316</v>
      </c>
      <c r="Z191" s="385"/>
      <c r="AA191" s="385"/>
      <c r="AB191" s="385">
        <f t="shared" si="121"/>
        <v>484</v>
      </c>
      <c r="AC191" s="386">
        <v>1</v>
      </c>
      <c r="AD191" s="419">
        <f t="shared" si="153"/>
        <v>0.95599999999999996</v>
      </c>
      <c r="AE191" s="419">
        <f t="shared" si="159"/>
        <v>0.48399999999999999</v>
      </c>
      <c r="AF191" s="433">
        <f>+AC191*E191</f>
        <v>0.18</v>
      </c>
      <c r="AG191" s="457">
        <f t="shared" si="161"/>
        <v>0.17207999999999998</v>
      </c>
      <c r="AH191" s="459">
        <f t="shared" si="169"/>
        <v>8.7119999999999989E-2</v>
      </c>
      <c r="AI191" s="457">
        <f>+P191/F191</f>
        <v>0.12968750000000001</v>
      </c>
      <c r="AJ191" s="459">
        <v>0.42843750000000003</v>
      </c>
      <c r="AK191" s="459">
        <f t="shared" si="156"/>
        <v>0.57968750000000002</v>
      </c>
      <c r="AL191" s="457">
        <f>+AI191*E191</f>
        <v>2.334375E-2</v>
      </c>
      <c r="AM191" s="458">
        <f>+AJ191*E191</f>
        <v>7.711875E-2</v>
      </c>
      <c r="AN191" s="1310">
        <f t="shared" si="157"/>
        <v>0.10434375</v>
      </c>
      <c r="AO191" s="142" t="s">
        <v>1844</v>
      </c>
      <c r="AP191" s="597" t="s">
        <v>1886</v>
      </c>
      <c r="AQ191" s="597" t="s">
        <v>1986</v>
      </c>
      <c r="AR191" s="597" t="s">
        <v>2008</v>
      </c>
      <c r="AS191" s="634" t="s">
        <v>2106</v>
      </c>
      <c r="AT191" s="634" t="s">
        <v>2137</v>
      </c>
      <c r="AU191" s="634" t="s">
        <v>2190</v>
      </c>
      <c r="AV191" s="634" t="s">
        <v>1887</v>
      </c>
      <c r="AW191" s="634" t="s">
        <v>2294</v>
      </c>
    </row>
    <row r="192" spans="1:49" ht="135" customHeight="1" thickBot="1" x14ac:dyDescent="0.45">
      <c r="A192" s="223"/>
      <c r="B192" s="1295" t="s">
        <v>1620</v>
      </c>
      <c r="C192" s="1292"/>
      <c r="D192" s="360"/>
      <c r="E192" s="379">
        <v>0.1</v>
      </c>
      <c r="F192" s="383"/>
      <c r="G192" s="384"/>
      <c r="H192" s="385"/>
      <c r="I192" s="385"/>
      <c r="J192" s="381">
        <f>+AVERAGE(J193:J194)</f>
        <v>1.2500000000000001E-2</v>
      </c>
      <c r="K192" s="401">
        <f>+AVERAGE(K193:K194)</f>
        <v>0.31666666666666665</v>
      </c>
      <c r="L192" s="453">
        <f>+AVERAGE(L193:L194)</f>
        <v>0.42500000000000004</v>
      </c>
      <c r="M192" s="381">
        <f>+M193+M194</f>
        <v>3.7499999999999999E-3</v>
      </c>
      <c r="N192" s="381">
        <f>+N193+N194</f>
        <v>0.32333333333333331</v>
      </c>
      <c r="O192" s="381"/>
      <c r="P192" s="382"/>
      <c r="Q192" s="388"/>
      <c r="R192" s="388"/>
      <c r="S192" s="388"/>
      <c r="T192" s="388"/>
      <c r="U192" s="833"/>
      <c r="V192" s="388"/>
      <c r="W192" s="388"/>
      <c r="X192" s="385"/>
      <c r="Y192" s="385"/>
      <c r="Z192" s="385"/>
      <c r="AA192" s="385"/>
      <c r="AB192" s="385"/>
      <c r="AC192" s="441">
        <f>+AVERAGE(AC193:AC194)</f>
        <v>1</v>
      </c>
      <c r="AD192" s="441">
        <f>+AVERAGE(AD193:AD194)</f>
        <v>0.24791666666666667</v>
      </c>
      <c r="AE192" s="441">
        <f>+AVERAGE(AE193:AE194)</f>
        <v>0.11466666666666667</v>
      </c>
      <c r="AF192" s="441">
        <f>+(AF193+AF194)*E192</f>
        <v>0.03</v>
      </c>
      <c r="AG192" s="460">
        <f>+(AG193+AG194)*E192</f>
        <v>2.5514999999999999E-2</v>
      </c>
      <c r="AH192" s="882">
        <f>+(AH193+AH194)*E192</f>
        <v>1.4679999999999999E-2</v>
      </c>
      <c r="AI192" s="401">
        <f>+AVERAGE(AI193:AI194)</f>
        <v>1.2500000000000001E-2</v>
      </c>
      <c r="AJ192" s="461">
        <v>8.5058333333333333E-2</v>
      </c>
      <c r="AK192" s="461">
        <f>+AVERAGE(AK193:AK194)</f>
        <v>0.13178333333333334</v>
      </c>
      <c r="AL192" s="401">
        <f>+(AL193+AL194)*E192</f>
        <v>3.7500000000000001E-4</v>
      </c>
      <c r="AM192" s="913">
        <f>+(AM193+AM194)</f>
        <v>8.6501666666666671E-2</v>
      </c>
      <c r="AN192" s="913">
        <f>+(AN193+AN194)</f>
        <v>0.14573666666666665</v>
      </c>
      <c r="AO192" s="136"/>
      <c r="AP192" s="359"/>
      <c r="AQ192" s="359"/>
      <c r="AR192" s="359"/>
      <c r="AS192" s="359"/>
      <c r="AT192" s="359"/>
      <c r="AU192" s="158"/>
      <c r="AV192" s="158"/>
    </row>
    <row r="193" spans="1:49" ht="135" customHeight="1" thickBot="1" x14ac:dyDescent="0.4">
      <c r="A193" s="223"/>
      <c r="B193" s="1147" t="s">
        <v>326</v>
      </c>
      <c r="C193" s="1147" t="s">
        <v>327</v>
      </c>
      <c r="D193" s="361" t="s">
        <v>297</v>
      </c>
      <c r="E193" s="269">
        <v>0.3</v>
      </c>
      <c r="F193" s="383">
        <v>20000</v>
      </c>
      <c r="G193" s="384">
        <v>250</v>
      </c>
      <c r="H193" s="384">
        <v>6000</v>
      </c>
      <c r="I193" s="385">
        <v>9000</v>
      </c>
      <c r="J193" s="386">
        <f>+G193/F193</f>
        <v>1.2500000000000001E-2</v>
      </c>
      <c r="K193" s="402">
        <f t="shared" si="164"/>
        <v>0.3</v>
      </c>
      <c r="L193" s="403">
        <f t="shared" ref="L193:L194" si="172">+I193/F193</f>
        <v>0.45</v>
      </c>
      <c r="M193" s="389">
        <f>+(G193/F193)*E193</f>
        <v>3.7499999999999999E-3</v>
      </c>
      <c r="N193" s="389">
        <f t="shared" si="152"/>
        <v>0.09</v>
      </c>
      <c r="O193" s="389"/>
      <c r="P193" s="384">
        <v>250</v>
      </c>
      <c r="Q193" s="439">
        <v>219</v>
      </c>
      <c r="R193" s="439">
        <v>331</v>
      </c>
      <c r="S193" s="439">
        <v>397</v>
      </c>
      <c r="T193" s="439">
        <v>211</v>
      </c>
      <c r="U193" s="439">
        <v>221</v>
      </c>
      <c r="V193" s="385">
        <f>+Q193+R193+S193+T193+U193</f>
        <v>1379</v>
      </c>
      <c r="W193" s="385">
        <f>+V193+P193+AB193</f>
        <v>1938</v>
      </c>
      <c r="X193" s="439">
        <v>45</v>
      </c>
      <c r="Y193" s="439">
        <v>264</v>
      </c>
      <c r="Z193" s="385"/>
      <c r="AA193" s="385"/>
      <c r="AB193" s="385">
        <f t="shared" si="121"/>
        <v>309</v>
      </c>
      <c r="AC193" s="433">
        <f>+(P193/G193)</f>
        <v>1</v>
      </c>
      <c r="AD193" s="419">
        <f t="shared" si="153"/>
        <v>0.22983333333333333</v>
      </c>
      <c r="AE193" s="419">
        <f t="shared" si="159"/>
        <v>3.4333333333333334E-2</v>
      </c>
      <c r="AF193" s="433">
        <f>+AC193*E193</f>
        <v>0.3</v>
      </c>
      <c r="AG193" s="457">
        <f t="shared" si="161"/>
        <v>6.8949999999999997E-2</v>
      </c>
      <c r="AH193" s="464">
        <f t="shared" si="169"/>
        <v>1.03E-2</v>
      </c>
      <c r="AI193" s="457">
        <f>+P193/F193</f>
        <v>1.2500000000000001E-2</v>
      </c>
      <c r="AJ193" s="464">
        <v>8.1449999999999995E-2</v>
      </c>
      <c r="AK193" s="464">
        <f>+W193/F193</f>
        <v>9.69E-2</v>
      </c>
      <c r="AL193" s="457">
        <f>+AI193*E193</f>
        <v>3.7499999999999999E-3</v>
      </c>
      <c r="AM193" s="458">
        <f>+AJ193*E193</f>
        <v>2.4434999999999998E-2</v>
      </c>
      <c r="AN193" s="1310">
        <f t="shared" si="157"/>
        <v>2.9069999999999999E-2</v>
      </c>
      <c r="AO193" s="142" t="s">
        <v>1844</v>
      </c>
      <c r="AP193" s="597" t="s">
        <v>1886</v>
      </c>
      <c r="AQ193" s="597" t="s">
        <v>1986</v>
      </c>
      <c r="AR193" s="597" t="s">
        <v>2008</v>
      </c>
      <c r="AS193" s="634" t="s">
        <v>2106</v>
      </c>
      <c r="AT193" s="557" t="s">
        <v>2164</v>
      </c>
      <c r="AU193" s="634" t="s">
        <v>2190</v>
      </c>
      <c r="AV193" s="634" t="s">
        <v>1887</v>
      </c>
      <c r="AW193" s="634" t="s">
        <v>2294</v>
      </c>
    </row>
    <row r="194" spans="1:49" ht="135" customHeight="1" thickBot="1" x14ac:dyDescent="0.4">
      <c r="A194" s="223"/>
      <c r="B194" s="1147" t="s">
        <v>328</v>
      </c>
      <c r="C194" s="1147" t="s">
        <v>329</v>
      </c>
      <c r="D194" s="361" t="s">
        <v>297</v>
      </c>
      <c r="E194" s="269">
        <v>0.7</v>
      </c>
      <c r="F194" s="383">
        <v>3000</v>
      </c>
      <c r="G194" s="384">
        <v>0</v>
      </c>
      <c r="H194" s="384">
        <v>1000</v>
      </c>
      <c r="I194" s="385">
        <v>1200</v>
      </c>
      <c r="J194" s="386"/>
      <c r="K194" s="402">
        <f>+H194/F194</f>
        <v>0.33333333333333331</v>
      </c>
      <c r="L194" s="403">
        <f t="shared" si="172"/>
        <v>0.4</v>
      </c>
      <c r="M194" s="389"/>
      <c r="N194" s="389">
        <f>+(H194/F194)*E194</f>
        <v>0.23333333333333331</v>
      </c>
      <c r="O194" s="389"/>
      <c r="P194" s="384"/>
      <c r="Q194" s="439">
        <v>0</v>
      </c>
      <c r="R194" s="439">
        <v>0</v>
      </c>
      <c r="S194" s="439">
        <v>199</v>
      </c>
      <c r="T194" s="439">
        <v>67</v>
      </c>
      <c r="U194" s="439">
        <v>0</v>
      </c>
      <c r="V194" s="385">
        <f>+Q194+R194+S194+T194+U194</f>
        <v>266</v>
      </c>
      <c r="W194" s="385">
        <f>+V194+P194+AB194</f>
        <v>500</v>
      </c>
      <c r="X194" s="439">
        <v>207</v>
      </c>
      <c r="Y194" s="439">
        <v>27</v>
      </c>
      <c r="Z194" s="385"/>
      <c r="AA194" s="385"/>
      <c r="AB194" s="385">
        <f t="shared" si="121"/>
        <v>234</v>
      </c>
      <c r="AC194" s="433"/>
      <c r="AD194" s="419">
        <f t="shared" si="153"/>
        <v>0.26600000000000001</v>
      </c>
      <c r="AE194" s="419">
        <f t="shared" si="159"/>
        <v>0.19500000000000001</v>
      </c>
      <c r="AF194" s="433"/>
      <c r="AG194" s="457">
        <f t="shared" si="161"/>
        <v>0.1862</v>
      </c>
      <c r="AH194" s="459">
        <f t="shared" si="169"/>
        <v>0.13649999999999998</v>
      </c>
      <c r="AI194" s="457"/>
      <c r="AJ194" s="464">
        <v>8.8666666666666671E-2</v>
      </c>
      <c r="AK194" s="793">
        <f>+W194/F194</f>
        <v>0.16666666666666666</v>
      </c>
      <c r="AL194" s="457"/>
      <c r="AM194" s="911">
        <f>+AJ194*E194</f>
        <v>6.2066666666666666E-2</v>
      </c>
      <c r="AN194" s="1328">
        <f t="shared" si="157"/>
        <v>0.11666666666666665</v>
      </c>
      <c r="AO194" s="142" t="s">
        <v>1844</v>
      </c>
      <c r="AP194" s="598" t="s">
        <v>1931</v>
      </c>
      <c r="AQ194" s="597" t="s">
        <v>1986</v>
      </c>
      <c r="AR194" s="597" t="s">
        <v>2008</v>
      </c>
      <c r="AS194" s="634" t="s">
        <v>2106</v>
      </c>
      <c r="AT194" s="634" t="s">
        <v>2137</v>
      </c>
      <c r="AU194" s="634" t="s">
        <v>2190</v>
      </c>
      <c r="AV194" s="634" t="s">
        <v>1887</v>
      </c>
      <c r="AW194" s="634" t="s">
        <v>2294</v>
      </c>
    </row>
    <row r="195" spans="1:49" ht="135" customHeight="1" thickBot="1" x14ac:dyDescent="0.45">
      <c r="A195" s="223"/>
      <c r="B195" s="1295" t="s">
        <v>1621</v>
      </c>
      <c r="C195" s="1292"/>
      <c r="D195" s="360"/>
      <c r="E195" s="379">
        <v>0.1</v>
      </c>
      <c r="F195" s="383"/>
      <c r="G195" s="384"/>
      <c r="H195" s="385"/>
      <c r="I195" s="385"/>
      <c r="J195" s="381">
        <f>+AVERAGE(J196:J198)</f>
        <v>0.19771672771672774</v>
      </c>
      <c r="K195" s="401">
        <f>+AVERAGE(K196:K198)</f>
        <v>0.28894993894993898</v>
      </c>
      <c r="L195" s="453">
        <f>+AVERAGE(L196:L198)</f>
        <v>0.23064713064713063</v>
      </c>
      <c r="M195" s="381">
        <f>+M196+M197+M198</f>
        <v>0.19857509157509157</v>
      </c>
      <c r="N195" s="381">
        <f>+N196+N197+N198</f>
        <v>0.29342490842490843</v>
      </c>
      <c r="O195" s="381"/>
      <c r="P195" s="382"/>
      <c r="Q195" s="388"/>
      <c r="R195" s="388"/>
      <c r="S195" s="388"/>
      <c r="T195" s="388"/>
      <c r="U195" s="833"/>
      <c r="V195" s="388"/>
      <c r="W195" s="388"/>
      <c r="X195" s="385"/>
      <c r="Y195" s="385"/>
      <c r="Z195" s="385"/>
      <c r="AA195" s="385"/>
      <c r="AB195" s="385"/>
      <c r="AC195" s="441">
        <f>+AVERAGE(AC196:AC198)</f>
        <v>0.68</v>
      </c>
      <c r="AD195" s="441">
        <f>+AVERAGE(AD196:AD198)</f>
        <v>0.99259259259259258</v>
      </c>
      <c r="AE195" s="441">
        <f>+AVERAGE(AE196:AE198)</f>
        <v>0.88888888888888884</v>
      </c>
      <c r="AF195" s="441">
        <f>+(AF196+AF197+AF198)*E195</f>
        <v>7.9000000000000015E-2</v>
      </c>
      <c r="AG195" s="460">
        <f>+(AG196+AG197+AG198)*E195</f>
        <v>9.9555555555555564E-2</v>
      </c>
      <c r="AH195" s="882">
        <f>+(AH196+AH197+AH198)*E195</f>
        <v>9.3333333333333338E-2</v>
      </c>
      <c r="AI195" s="401">
        <f>+AVERAGE(AI196:AI198)</f>
        <v>0.20072039072039072</v>
      </c>
      <c r="AJ195" s="461">
        <v>0.58818070818070811</v>
      </c>
      <c r="AK195" s="461">
        <f>+AVERAGE(AK196:AK198)</f>
        <v>0.79251526251526261</v>
      </c>
      <c r="AL195" s="401">
        <f>+(AL196+AL197+AL198)*E195</f>
        <v>1.9708058608058607E-2</v>
      </c>
      <c r="AM195" s="453">
        <f>+(AM196+AM197+AM198)</f>
        <v>0.64027106227106223</v>
      </c>
      <c r="AN195" s="453">
        <f>+(AN196+AN197+AN198)</f>
        <v>0.83677289377289377</v>
      </c>
      <c r="AO195" s="136"/>
      <c r="AP195" s="359"/>
      <c r="AQ195" s="359"/>
      <c r="AR195" s="359"/>
      <c r="AS195" s="359"/>
      <c r="AT195" s="359"/>
      <c r="AU195" s="158"/>
      <c r="AV195" s="158"/>
    </row>
    <row r="196" spans="1:49" ht="135" customHeight="1" thickBot="1" x14ac:dyDescent="0.4">
      <c r="A196" s="223"/>
      <c r="B196" s="1147" t="s">
        <v>330</v>
      </c>
      <c r="C196" s="1147" t="s">
        <v>331</v>
      </c>
      <c r="D196" s="361" t="s">
        <v>297</v>
      </c>
      <c r="E196" s="269">
        <v>0.5</v>
      </c>
      <c r="F196" s="383">
        <v>1092</v>
      </c>
      <c r="G196" s="384">
        <v>200</v>
      </c>
      <c r="H196" s="385">
        <v>346</v>
      </c>
      <c r="I196" s="385">
        <v>155</v>
      </c>
      <c r="J196" s="386">
        <f>+G196/F196</f>
        <v>0.18315018315018314</v>
      </c>
      <c r="K196" s="402">
        <f t="shared" ref="K196:K211" si="173">+H196/F196</f>
        <v>0.31684981684981683</v>
      </c>
      <c r="L196" s="403">
        <f t="shared" ref="L196:L198" si="174">+I196/F196</f>
        <v>0.14194139194139194</v>
      </c>
      <c r="M196" s="389">
        <f>+(G196/F196)*E196</f>
        <v>9.1575091575091569E-2</v>
      </c>
      <c r="N196" s="389">
        <f t="shared" ref="N196:N197" si="175">+(H196/F196)*E196</f>
        <v>0.15842490842490842</v>
      </c>
      <c r="O196" s="389"/>
      <c r="P196" s="384">
        <v>188</v>
      </c>
      <c r="Q196" s="439">
        <v>125</v>
      </c>
      <c r="R196" s="439">
        <v>45</v>
      </c>
      <c r="S196" s="439">
        <v>371</v>
      </c>
      <c r="T196" s="439">
        <v>29</v>
      </c>
      <c r="U196" s="439">
        <v>106</v>
      </c>
      <c r="V196" s="385">
        <f>+Q196+R196+S196+T196+U196</f>
        <v>676</v>
      </c>
      <c r="W196" s="385">
        <f>+V196+P196+AB196</f>
        <v>1042</v>
      </c>
      <c r="X196" s="439">
        <v>45</v>
      </c>
      <c r="Y196" s="439">
        <v>133</v>
      </c>
      <c r="Z196" s="385"/>
      <c r="AA196" s="385"/>
      <c r="AB196" s="385">
        <f t="shared" ref="AB196:AB211" si="176">+X196+Y196+Z196+AA196</f>
        <v>178</v>
      </c>
      <c r="AC196" s="433">
        <f>+(P196/G196)</f>
        <v>0.94</v>
      </c>
      <c r="AD196" s="419">
        <v>1</v>
      </c>
      <c r="AE196" s="419">
        <v>1</v>
      </c>
      <c r="AF196" s="433">
        <f>+AC196*E196</f>
        <v>0.47</v>
      </c>
      <c r="AG196" s="457">
        <f t="shared" si="161"/>
        <v>0.5</v>
      </c>
      <c r="AH196" s="464">
        <f t="shared" si="169"/>
        <v>0.5</v>
      </c>
      <c r="AI196" s="457">
        <f>+P196/F196</f>
        <v>0.17216117216117216</v>
      </c>
      <c r="AJ196" s="464">
        <v>0.79120879120879117</v>
      </c>
      <c r="AK196" s="464">
        <f t="shared" ref="AK196:AK211" si="177">+W196/F196</f>
        <v>0.95421245421245426</v>
      </c>
      <c r="AL196" s="457">
        <f>+AI196*E196</f>
        <v>8.608058608058608E-2</v>
      </c>
      <c r="AM196" s="458">
        <f>+AJ196*E196</f>
        <v>0.39560439560439559</v>
      </c>
      <c r="AN196" s="1310">
        <f t="shared" si="157"/>
        <v>0.47710622710622713</v>
      </c>
      <c r="AO196" s="142" t="s">
        <v>1844</v>
      </c>
      <c r="AP196" s="597" t="s">
        <v>1886</v>
      </c>
      <c r="AQ196" s="597" t="s">
        <v>1986</v>
      </c>
      <c r="AR196" s="597" t="s">
        <v>2008</v>
      </c>
      <c r="AS196" s="634" t="s">
        <v>2106</v>
      </c>
      <c r="AT196" s="634" t="s">
        <v>2137</v>
      </c>
      <c r="AU196" s="634" t="s">
        <v>2190</v>
      </c>
      <c r="AV196" s="634" t="s">
        <v>1887</v>
      </c>
      <c r="AW196" s="634" t="s">
        <v>2294</v>
      </c>
    </row>
    <row r="197" spans="1:49" ht="135" customHeight="1" thickBot="1" x14ac:dyDescent="0.4">
      <c r="A197" s="223"/>
      <c r="B197" s="1147" t="s">
        <v>332</v>
      </c>
      <c r="C197" s="1147" t="s">
        <v>333</v>
      </c>
      <c r="D197" s="361" t="s">
        <v>297</v>
      </c>
      <c r="E197" s="269">
        <v>0.3</v>
      </c>
      <c r="F197" s="383">
        <v>4</v>
      </c>
      <c r="G197" s="384">
        <v>1</v>
      </c>
      <c r="H197" s="385">
        <v>1</v>
      </c>
      <c r="I197" s="385">
        <v>1</v>
      </c>
      <c r="J197" s="386">
        <f>+G197/F197</f>
        <v>0.25</v>
      </c>
      <c r="K197" s="402">
        <f t="shared" si="173"/>
        <v>0.25</v>
      </c>
      <c r="L197" s="403">
        <f t="shared" si="174"/>
        <v>0.25</v>
      </c>
      <c r="M197" s="389">
        <f>+(G197/F197)*E197</f>
        <v>7.4999999999999997E-2</v>
      </c>
      <c r="N197" s="389">
        <f t="shared" si="175"/>
        <v>7.4999999999999997E-2</v>
      </c>
      <c r="O197" s="389"/>
      <c r="P197" s="384">
        <v>1</v>
      </c>
      <c r="Q197" s="439">
        <v>1</v>
      </c>
      <c r="R197" s="439">
        <v>0</v>
      </c>
      <c r="S197" s="439">
        <v>0</v>
      </c>
      <c r="T197" s="439">
        <v>0</v>
      </c>
      <c r="U197" s="439">
        <v>0</v>
      </c>
      <c r="V197" s="385">
        <f t="shared" ref="V197:V198" si="178">+Q197+R197+S197+T197+U197</f>
        <v>1</v>
      </c>
      <c r="W197" s="385">
        <f t="shared" ref="W197:W198" si="179">+V197+P197+AB197</f>
        <v>3</v>
      </c>
      <c r="X197" s="439">
        <v>1</v>
      </c>
      <c r="Y197" s="439">
        <v>0</v>
      </c>
      <c r="Z197" s="385"/>
      <c r="AA197" s="385"/>
      <c r="AB197" s="385">
        <f t="shared" si="176"/>
        <v>1</v>
      </c>
      <c r="AC197" s="433">
        <f>+(P197/G197)</f>
        <v>1</v>
      </c>
      <c r="AD197" s="419">
        <f t="shared" si="153"/>
        <v>1</v>
      </c>
      <c r="AE197" s="419">
        <f t="shared" si="159"/>
        <v>1</v>
      </c>
      <c r="AF197" s="433">
        <f>+AC197*E197</f>
        <v>0.3</v>
      </c>
      <c r="AG197" s="457">
        <f>+AD197*E197</f>
        <v>0.3</v>
      </c>
      <c r="AH197" s="458">
        <f t="shared" si="169"/>
        <v>0.3</v>
      </c>
      <c r="AI197" s="457">
        <f>+P197/F197</f>
        <v>0.25</v>
      </c>
      <c r="AJ197" s="458">
        <v>0.5</v>
      </c>
      <c r="AK197" s="458">
        <f t="shared" si="177"/>
        <v>0.75</v>
      </c>
      <c r="AL197" s="457">
        <f>+AI197*E197</f>
        <v>7.4999999999999997E-2</v>
      </c>
      <c r="AM197" s="458">
        <f>+AJ197*E197</f>
        <v>0.15</v>
      </c>
      <c r="AN197" s="1313">
        <f t="shared" si="157"/>
        <v>0.22499999999999998</v>
      </c>
      <c r="AO197" s="142" t="s">
        <v>1844</v>
      </c>
      <c r="AP197" s="597" t="s">
        <v>1886</v>
      </c>
      <c r="AQ197" s="597" t="s">
        <v>1986</v>
      </c>
      <c r="AR197" s="597" t="s">
        <v>2008</v>
      </c>
      <c r="AS197" s="634" t="s">
        <v>2106</v>
      </c>
      <c r="AT197" s="634" t="s">
        <v>2137</v>
      </c>
      <c r="AU197" s="634" t="s">
        <v>2190</v>
      </c>
      <c r="AV197" s="634" t="s">
        <v>1887</v>
      </c>
      <c r="AW197" s="634" t="s">
        <v>2294</v>
      </c>
    </row>
    <row r="198" spans="1:49" ht="135" customHeight="1" thickBot="1" x14ac:dyDescent="0.4">
      <c r="A198" s="223"/>
      <c r="B198" s="1147" t="s">
        <v>334</v>
      </c>
      <c r="C198" s="1147" t="s">
        <v>335</v>
      </c>
      <c r="D198" s="361" t="s">
        <v>297</v>
      </c>
      <c r="E198" s="269">
        <v>0.2</v>
      </c>
      <c r="F198" s="383">
        <v>150</v>
      </c>
      <c r="G198" s="384">
        <v>24</v>
      </c>
      <c r="H198" s="385">
        <v>45</v>
      </c>
      <c r="I198" s="385">
        <v>45</v>
      </c>
      <c r="J198" s="386">
        <f>+G198/F198</f>
        <v>0.16</v>
      </c>
      <c r="K198" s="402">
        <f t="shared" si="173"/>
        <v>0.3</v>
      </c>
      <c r="L198" s="403">
        <f t="shared" si="174"/>
        <v>0.3</v>
      </c>
      <c r="M198" s="389">
        <f>+(G198/F198)*E198</f>
        <v>3.2000000000000001E-2</v>
      </c>
      <c r="N198" s="389">
        <f>+(H198/F198)*E198</f>
        <v>0.06</v>
      </c>
      <c r="O198" s="389"/>
      <c r="P198" s="384">
        <v>27</v>
      </c>
      <c r="Q198" s="439">
        <v>0</v>
      </c>
      <c r="R198" s="439">
        <v>6</v>
      </c>
      <c r="S198" s="439">
        <v>25</v>
      </c>
      <c r="T198" s="439">
        <v>7</v>
      </c>
      <c r="U198" s="439">
        <v>6</v>
      </c>
      <c r="V198" s="385">
        <f t="shared" si="178"/>
        <v>44</v>
      </c>
      <c r="W198" s="385">
        <f t="shared" si="179"/>
        <v>101</v>
      </c>
      <c r="X198" s="439">
        <v>6</v>
      </c>
      <c r="Y198" s="439">
        <v>24</v>
      </c>
      <c r="Z198" s="385"/>
      <c r="AA198" s="385"/>
      <c r="AB198" s="385">
        <f t="shared" si="176"/>
        <v>30</v>
      </c>
      <c r="AC198" s="433">
        <v>0.1</v>
      </c>
      <c r="AD198" s="419">
        <f t="shared" si="153"/>
        <v>0.97777777777777775</v>
      </c>
      <c r="AE198" s="419">
        <f t="shared" si="159"/>
        <v>0.66666666666666663</v>
      </c>
      <c r="AF198" s="433">
        <f>+AC198*E198</f>
        <v>2.0000000000000004E-2</v>
      </c>
      <c r="AG198" s="457">
        <f t="shared" si="161"/>
        <v>0.19555555555555557</v>
      </c>
      <c r="AH198" s="459">
        <f t="shared" si="169"/>
        <v>0.13333333333333333</v>
      </c>
      <c r="AI198" s="457">
        <f>+P198/F198</f>
        <v>0.18</v>
      </c>
      <c r="AJ198" s="459">
        <v>0.47333333333333333</v>
      </c>
      <c r="AK198" s="459">
        <f t="shared" si="177"/>
        <v>0.67333333333333334</v>
      </c>
      <c r="AL198" s="457">
        <f>+AI198*E198</f>
        <v>3.5999999999999997E-2</v>
      </c>
      <c r="AM198" s="458">
        <f>+AJ198*E198</f>
        <v>9.4666666666666677E-2</v>
      </c>
      <c r="AN198" s="1310">
        <f t="shared" si="157"/>
        <v>0.13466666666666668</v>
      </c>
      <c r="AO198" s="142" t="s">
        <v>1844</v>
      </c>
      <c r="AP198" s="597" t="s">
        <v>1886</v>
      </c>
      <c r="AQ198" s="597" t="s">
        <v>1986</v>
      </c>
      <c r="AR198" s="597" t="s">
        <v>2008</v>
      </c>
      <c r="AS198" s="634" t="s">
        <v>2106</v>
      </c>
      <c r="AT198" s="634" t="s">
        <v>2137</v>
      </c>
      <c r="AU198" s="634" t="s">
        <v>2190</v>
      </c>
      <c r="AV198" s="634" t="s">
        <v>1887</v>
      </c>
      <c r="AW198" s="634" t="s">
        <v>2294</v>
      </c>
    </row>
    <row r="199" spans="1:49" ht="135" customHeight="1" thickBot="1" x14ac:dyDescent="0.45">
      <c r="A199" s="223"/>
      <c r="B199" s="1295" t="s">
        <v>1622</v>
      </c>
      <c r="C199" s="1292"/>
      <c r="D199" s="360"/>
      <c r="E199" s="379">
        <v>0.1</v>
      </c>
      <c r="F199" s="383"/>
      <c r="G199" s="384"/>
      <c r="H199" s="385"/>
      <c r="I199" s="394"/>
      <c r="J199" s="381">
        <f>+AVERAGE(J200:J202)</f>
        <v>0.14374999999999999</v>
      </c>
      <c r="K199" s="401">
        <f>+AVERAGE(K200:K202)</f>
        <v>0.36074640522875817</v>
      </c>
      <c r="L199" s="453">
        <f>+AVERAGE(L200:L202)</f>
        <v>0.30612745098039212</v>
      </c>
      <c r="M199" s="381">
        <f>+M200+M201+M202</f>
        <v>6.7500000000000004E-2</v>
      </c>
      <c r="N199" s="381">
        <f>+N200+N201+N202</f>
        <v>0.36927960784313729</v>
      </c>
      <c r="O199" s="381"/>
      <c r="P199" s="382"/>
      <c r="Q199" s="388"/>
      <c r="R199" s="388"/>
      <c r="S199" s="388"/>
      <c r="T199" s="388"/>
      <c r="U199" s="833"/>
      <c r="V199" s="388"/>
      <c r="W199" s="388"/>
      <c r="X199" s="385"/>
      <c r="Y199" s="385"/>
      <c r="Z199" s="385"/>
      <c r="AA199" s="385"/>
      <c r="AB199" s="385"/>
      <c r="AC199" s="441">
        <f>+AVERAGE(AC200:AC202)</f>
        <v>0.72222222222222221</v>
      </c>
      <c r="AD199" s="441">
        <f>+AVERAGE(AD200:AD202)</f>
        <v>0.70303030303030312</v>
      </c>
      <c r="AE199" s="441">
        <f>+AVERAGE(AE200:AE202)</f>
        <v>0.12922807017543858</v>
      </c>
      <c r="AF199" s="441">
        <f>+(AF200+AF201+AF202)*E199</f>
        <v>3.888888888888889E-2</v>
      </c>
      <c r="AG199" s="460">
        <f>+(AG200+AG201+AG202)*E199</f>
        <v>7.0454545454545464E-2</v>
      </c>
      <c r="AH199" s="882">
        <f>+(AH200+AH201+AH202)*E199</f>
        <v>8.3315789473684208E-3</v>
      </c>
      <c r="AI199" s="401">
        <f>+AVERAGE(AI200:AI202)</f>
        <v>0.25741666666666668</v>
      </c>
      <c r="AJ199" s="461">
        <v>0.4186372549019608</v>
      </c>
      <c r="AK199" s="461">
        <f>+AVERAGE(AK200:AK202)</f>
        <v>0.46964052287581698</v>
      </c>
      <c r="AL199" s="401">
        <f>+(AL200+AL201+AL202)*E199</f>
        <v>1.4611666666666665E-2</v>
      </c>
      <c r="AM199" s="453">
        <f>+(AM200+AM201+AM202)</f>
        <v>0.40015588235294119</v>
      </c>
      <c r="AN199" s="453">
        <f>+(AN200+AN201+AN202)</f>
        <v>0.43291078431372548</v>
      </c>
      <c r="AO199" s="136"/>
      <c r="AP199" s="359"/>
      <c r="AQ199" s="359"/>
      <c r="AR199" s="359"/>
      <c r="AS199" s="359"/>
      <c r="AT199" s="359"/>
      <c r="AU199" s="158"/>
      <c r="AV199" s="158"/>
    </row>
    <row r="200" spans="1:49" ht="135" customHeight="1" thickBot="1" x14ac:dyDescent="0.4">
      <c r="A200" s="223"/>
      <c r="B200" s="1147" t="s">
        <v>336</v>
      </c>
      <c r="C200" s="1147" t="s">
        <v>337</v>
      </c>
      <c r="D200" s="361" t="s">
        <v>297</v>
      </c>
      <c r="E200" s="269">
        <v>0.3</v>
      </c>
      <c r="F200" s="383">
        <v>10000</v>
      </c>
      <c r="G200" s="384">
        <v>1000</v>
      </c>
      <c r="H200" s="1009">
        <f>4000-1658</f>
        <v>2342</v>
      </c>
      <c r="I200" s="1010">
        <v>1500</v>
      </c>
      <c r="J200" s="386">
        <f>+G200/F200</f>
        <v>0.1</v>
      </c>
      <c r="K200" s="402">
        <f t="shared" si="173"/>
        <v>0.23419999999999999</v>
      </c>
      <c r="L200" s="403">
        <f t="shared" ref="L200:L202" si="180">+I200/F200</f>
        <v>0.15</v>
      </c>
      <c r="M200" s="389">
        <f>+(G200/F200)*E200</f>
        <v>0.03</v>
      </c>
      <c r="N200" s="389">
        <f t="shared" ref="N200:N208" si="181">+(H200/F200)*E200</f>
        <v>7.0259999999999989E-2</v>
      </c>
      <c r="O200" s="389"/>
      <c r="P200" s="384">
        <v>4315</v>
      </c>
      <c r="Q200" s="439">
        <v>0</v>
      </c>
      <c r="R200" s="439">
        <v>0</v>
      </c>
      <c r="S200" s="439">
        <v>2700</v>
      </c>
      <c r="T200" s="439">
        <v>0</v>
      </c>
      <c r="U200" s="439">
        <v>0</v>
      </c>
      <c r="V200" s="385">
        <f>+Q200+R200+S200+T200+U200</f>
        <v>2700</v>
      </c>
      <c r="W200" s="385">
        <f>+V200+P200+AB200</f>
        <v>7015</v>
      </c>
      <c r="X200" s="439">
        <v>0</v>
      </c>
      <c r="Y200" s="439">
        <v>0</v>
      </c>
      <c r="Z200" s="385"/>
      <c r="AA200" s="385"/>
      <c r="AB200" s="385">
        <f t="shared" si="176"/>
        <v>0</v>
      </c>
      <c r="AC200" s="433">
        <v>1</v>
      </c>
      <c r="AD200" s="419">
        <v>1</v>
      </c>
      <c r="AE200" s="419">
        <f t="shared" si="159"/>
        <v>0</v>
      </c>
      <c r="AF200" s="433">
        <f>+AC200*E200</f>
        <v>0.3</v>
      </c>
      <c r="AG200" s="457">
        <f t="shared" si="161"/>
        <v>0.3</v>
      </c>
      <c r="AH200" s="464">
        <f t="shared" si="169"/>
        <v>0</v>
      </c>
      <c r="AI200" s="457">
        <f>+P200/F200</f>
        <v>0.43149999999999999</v>
      </c>
      <c r="AJ200" s="464">
        <v>0.70150000000000001</v>
      </c>
      <c r="AK200" s="464">
        <f t="shared" si="177"/>
        <v>0.70150000000000001</v>
      </c>
      <c r="AL200" s="457">
        <f>+AI200*E200</f>
        <v>0.12944999999999998</v>
      </c>
      <c r="AM200" s="458">
        <f>+AJ200*E200</f>
        <v>0.21045</v>
      </c>
      <c r="AN200" s="1310">
        <f t="shared" si="157"/>
        <v>0.21045</v>
      </c>
      <c r="AO200" s="142" t="s">
        <v>1844</v>
      </c>
      <c r="AP200" s="597" t="s">
        <v>1886</v>
      </c>
      <c r="AQ200" s="597" t="s">
        <v>1986</v>
      </c>
      <c r="AR200" s="597" t="s">
        <v>2008</v>
      </c>
      <c r="AS200" s="634" t="s">
        <v>2106</v>
      </c>
      <c r="AT200" s="634" t="s">
        <v>2137</v>
      </c>
      <c r="AU200" s="634" t="s">
        <v>2190</v>
      </c>
      <c r="AV200" s="634" t="s">
        <v>1887</v>
      </c>
      <c r="AW200" s="634" t="s">
        <v>2294</v>
      </c>
    </row>
    <row r="201" spans="1:49" ht="135" customHeight="1" thickBot="1" x14ac:dyDescent="0.4">
      <c r="A201" s="223"/>
      <c r="B201" s="1147" t="s">
        <v>338</v>
      </c>
      <c r="C201" s="1147" t="s">
        <v>339</v>
      </c>
      <c r="D201" s="361" t="s">
        <v>297</v>
      </c>
      <c r="E201" s="269">
        <v>0.2</v>
      </c>
      <c r="F201" s="383">
        <v>96</v>
      </c>
      <c r="G201" s="384">
        <v>18</v>
      </c>
      <c r="H201" s="385">
        <v>40</v>
      </c>
      <c r="I201" s="423">
        <v>38</v>
      </c>
      <c r="J201" s="386">
        <f>+G201/F201</f>
        <v>0.1875</v>
      </c>
      <c r="K201" s="402">
        <f t="shared" si="173"/>
        <v>0.41666666666666669</v>
      </c>
      <c r="L201" s="403">
        <f t="shared" si="180"/>
        <v>0.39583333333333331</v>
      </c>
      <c r="M201" s="389">
        <f>+(G201/F201)*E201</f>
        <v>3.7500000000000006E-2</v>
      </c>
      <c r="N201" s="389">
        <f t="shared" si="181"/>
        <v>8.3333333333333343E-2</v>
      </c>
      <c r="O201" s="389"/>
      <c r="P201" s="384">
        <v>8</v>
      </c>
      <c r="Q201" s="439">
        <v>0</v>
      </c>
      <c r="R201" s="439">
        <v>6</v>
      </c>
      <c r="S201" s="439">
        <v>8</v>
      </c>
      <c r="T201" s="439">
        <v>3</v>
      </c>
      <c r="U201" s="439">
        <v>3</v>
      </c>
      <c r="V201" s="385">
        <f t="shared" ref="V201:V202" si="182">+Q201+R201+S201+T201+U201</f>
        <v>20</v>
      </c>
      <c r="W201" s="385">
        <f t="shared" ref="W201:W202" si="183">+V201+P201+AB201</f>
        <v>42</v>
      </c>
      <c r="X201" s="439">
        <v>5</v>
      </c>
      <c r="Y201" s="439">
        <v>9</v>
      </c>
      <c r="Z201" s="385"/>
      <c r="AA201" s="385"/>
      <c r="AB201" s="385">
        <f t="shared" si="176"/>
        <v>14</v>
      </c>
      <c r="AC201" s="433">
        <f>+(P201/G201)</f>
        <v>0.44444444444444442</v>
      </c>
      <c r="AD201" s="419">
        <f t="shared" si="153"/>
        <v>0.5</v>
      </c>
      <c r="AE201" s="419">
        <f t="shared" si="159"/>
        <v>0.36842105263157893</v>
      </c>
      <c r="AF201" s="433">
        <f>+AC201*E201</f>
        <v>8.8888888888888892E-2</v>
      </c>
      <c r="AG201" s="457">
        <f t="shared" si="161"/>
        <v>0.1</v>
      </c>
      <c r="AH201" s="458">
        <f t="shared" si="169"/>
        <v>7.3684210526315783E-2</v>
      </c>
      <c r="AI201" s="457">
        <f>+P201/F201</f>
        <v>8.3333333333333329E-2</v>
      </c>
      <c r="AJ201" s="458">
        <v>0.29166666666666669</v>
      </c>
      <c r="AK201" s="458">
        <f t="shared" si="177"/>
        <v>0.4375</v>
      </c>
      <c r="AL201" s="457">
        <f>+AI201*E201</f>
        <v>1.6666666666666666E-2</v>
      </c>
      <c r="AM201" s="458">
        <f>+AJ201*E201</f>
        <v>5.8333333333333341E-2</v>
      </c>
      <c r="AN201" s="1310">
        <f t="shared" si="157"/>
        <v>8.7500000000000008E-2</v>
      </c>
      <c r="AO201" s="142" t="s">
        <v>1844</v>
      </c>
      <c r="AP201" s="597" t="s">
        <v>1886</v>
      </c>
      <c r="AQ201" s="597" t="s">
        <v>1986</v>
      </c>
      <c r="AR201" s="597" t="s">
        <v>2008</v>
      </c>
      <c r="AS201" s="634" t="s">
        <v>2106</v>
      </c>
      <c r="AT201" s="634" t="s">
        <v>2137</v>
      </c>
      <c r="AU201" s="634" t="s">
        <v>2190</v>
      </c>
      <c r="AV201" s="634" t="s">
        <v>1887</v>
      </c>
      <c r="AW201" s="634" t="s">
        <v>2294</v>
      </c>
    </row>
    <row r="202" spans="1:49" ht="135" customHeight="1" thickBot="1" x14ac:dyDescent="0.4">
      <c r="A202" s="223"/>
      <c r="B202" s="1147" t="s">
        <v>340</v>
      </c>
      <c r="C202" s="1147" t="s">
        <v>341</v>
      </c>
      <c r="D202" s="361" t="s">
        <v>297</v>
      </c>
      <c r="E202" s="269">
        <v>0.5</v>
      </c>
      <c r="F202" s="383">
        <v>51000</v>
      </c>
      <c r="G202" s="384">
        <v>0</v>
      </c>
      <c r="H202" s="385">
        <v>22000</v>
      </c>
      <c r="I202" s="385">
        <v>19000</v>
      </c>
      <c r="J202" s="386"/>
      <c r="K202" s="402">
        <f t="shared" si="173"/>
        <v>0.43137254901960786</v>
      </c>
      <c r="L202" s="403">
        <f t="shared" si="180"/>
        <v>0.37254901960784315</v>
      </c>
      <c r="M202" s="389"/>
      <c r="N202" s="389">
        <f t="shared" si="181"/>
        <v>0.21568627450980393</v>
      </c>
      <c r="O202" s="389"/>
      <c r="P202" s="384"/>
      <c r="Q202" s="439">
        <v>0</v>
      </c>
      <c r="R202" s="439">
        <v>0</v>
      </c>
      <c r="S202" s="439">
        <v>2800</v>
      </c>
      <c r="T202" s="439">
        <v>0</v>
      </c>
      <c r="U202" s="439">
        <v>10600</v>
      </c>
      <c r="V202" s="385">
        <f t="shared" si="182"/>
        <v>13400</v>
      </c>
      <c r="W202" s="385">
        <f t="shared" si="183"/>
        <v>13766</v>
      </c>
      <c r="X202" s="439">
        <v>132</v>
      </c>
      <c r="Y202" s="439">
        <v>234</v>
      </c>
      <c r="Z202" s="385"/>
      <c r="AA202" s="385"/>
      <c r="AB202" s="385">
        <f t="shared" si="176"/>
        <v>366</v>
      </c>
      <c r="AC202" s="433"/>
      <c r="AD202" s="419">
        <f t="shared" si="153"/>
        <v>0.60909090909090913</v>
      </c>
      <c r="AE202" s="419">
        <f t="shared" si="159"/>
        <v>1.9263157894736843E-2</v>
      </c>
      <c r="AF202" s="433"/>
      <c r="AG202" s="457">
        <f t="shared" si="161"/>
        <v>0.30454545454545456</v>
      </c>
      <c r="AH202" s="459">
        <f t="shared" si="169"/>
        <v>9.6315789473684216E-3</v>
      </c>
      <c r="AI202" s="457"/>
      <c r="AJ202" s="458">
        <v>0.2627450980392157</v>
      </c>
      <c r="AK202" s="459">
        <f t="shared" si="177"/>
        <v>0.26992156862745098</v>
      </c>
      <c r="AL202" s="457"/>
      <c r="AM202" s="458">
        <f>+AJ202*E202</f>
        <v>0.13137254901960785</v>
      </c>
      <c r="AN202" s="1310">
        <f t="shared" si="157"/>
        <v>0.13496078431372549</v>
      </c>
      <c r="AO202" s="142" t="s">
        <v>1844</v>
      </c>
      <c r="AP202" s="598" t="s">
        <v>1931</v>
      </c>
      <c r="AQ202" s="597" t="s">
        <v>1986</v>
      </c>
      <c r="AR202" s="597" t="s">
        <v>2008</v>
      </c>
      <c r="AS202" s="634" t="s">
        <v>2106</v>
      </c>
      <c r="AT202" s="634" t="s">
        <v>2137</v>
      </c>
      <c r="AU202" s="634" t="s">
        <v>2190</v>
      </c>
      <c r="AV202" s="634" t="s">
        <v>1887</v>
      </c>
      <c r="AW202" s="634" t="s">
        <v>2294</v>
      </c>
    </row>
    <row r="203" spans="1:49" ht="135" customHeight="1" thickBot="1" x14ac:dyDescent="0.45">
      <c r="A203" s="223"/>
      <c r="B203" s="1295" t="s">
        <v>1623</v>
      </c>
      <c r="C203" s="1292"/>
      <c r="D203" s="360"/>
      <c r="E203" s="379">
        <v>0.1</v>
      </c>
      <c r="F203" s="383"/>
      <c r="G203" s="384"/>
      <c r="H203" s="385"/>
      <c r="I203" s="385"/>
      <c r="J203" s="381">
        <f>+AVERAGE(J204:J205)</f>
        <v>0.24264705882352941</v>
      </c>
      <c r="K203" s="401">
        <f>+AVERAGE(K204:K205)</f>
        <v>0.30147058823529416</v>
      </c>
      <c r="L203" s="453">
        <f>+AVERAGE(L204:L205)</f>
        <v>0.24264705882352941</v>
      </c>
      <c r="M203" s="381">
        <f>+M204+M205</f>
        <v>0.24044117647058824</v>
      </c>
      <c r="N203" s="381">
        <f>+N204+N205</f>
        <v>0.31691176470588234</v>
      </c>
      <c r="O203" s="381"/>
      <c r="P203" s="382"/>
      <c r="Q203" s="388"/>
      <c r="R203" s="388"/>
      <c r="S203" s="388"/>
      <c r="T203" s="388"/>
      <c r="U203" s="833"/>
      <c r="V203" s="388"/>
      <c r="W203" s="388"/>
      <c r="X203" s="385"/>
      <c r="Y203" s="385"/>
      <c r="Z203" s="385"/>
      <c r="AA203" s="385"/>
      <c r="AB203" s="385"/>
      <c r="AC203" s="441">
        <f>+AVERAGE(AC204:AC205)</f>
        <v>1</v>
      </c>
      <c r="AD203" s="441">
        <f>+AVERAGE(AD204:AD205)</f>
        <v>1</v>
      </c>
      <c r="AE203" s="441">
        <f>+AVERAGE(AE204:AE205)</f>
        <v>0.75</v>
      </c>
      <c r="AF203" s="441">
        <f>+(AF204+AF205)*E203</f>
        <v>0.1</v>
      </c>
      <c r="AG203" s="460">
        <f>+(AG204+AG205)*E203</f>
        <v>0.1</v>
      </c>
      <c r="AH203" s="882">
        <f>+(AH204+AH205)*E203</f>
        <v>6.7500000000000004E-2</v>
      </c>
      <c r="AI203" s="401">
        <f>+AVERAGE(AI204:AI205)</f>
        <v>0.24264705882352941</v>
      </c>
      <c r="AJ203" s="461">
        <v>0.57352941176470584</v>
      </c>
      <c r="AK203" s="461">
        <f>+AVERAGE(AK204:AK205)</f>
        <v>0.75735294117647056</v>
      </c>
      <c r="AL203" s="401">
        <f>+(AL204+AL205)*E203</f>
        <v>2.4044117647058827E-2</v>
      </c>
      <c r="AM203" s="453">
        <f>+(AM204+AM205)</f>
        <v>0.59558823529411775</v>
      </c>
      <c r="AN203" s="453">
        <f>+(AN204+AN205)</f>
        <v>0.75955882352941173</v>
      </c>
      <c r="AO203" s="136"/>
      <c r="AP203" s="359"/>
      <c r="AQ203" s="359"/>
      <c r="AR203" s="359"/>
      <c r="AS203" s="359"/>
      <c r="AT203" s="359"/>
      <c r="AU203" s="158"/>
      <c r="AV203" s="158"/>
    </row>
    <row r="204" spans="1:49" ht="135" customHeight="1" thickBot="1" x14ac:dyDescent="0.4">
      <c r="A204" s="223"/>
      <c r="B204" s="1147" t="s">
        <v>342</v>
      </c>
      <c r="C204" s="1147" t="s">
        <v>343</v>
      </c>
      <c r="D204" s="361" t="s">
        <v>297</v>
      </c>
      <c r="E204" s="386">
        <v>0.65</v>
      </c>
      <c r="F204" s="383">
        <v>17</v>
      </c>
      <c r="G204" s="384">
        <v>4</v>
      </c>
      <c r="H204" s="385">
        <v>6</v>
      </c>
      <c r="I204" s="385">
        <v>4</v>
      </c>
      <c r="J204" s="433">
        <f>+G204/F204</f>
        <v>0.23529411764705882</v>
      </c>
      <c r="K204" s="457">
        <f t="shared" si="173"/>
        <v>0.35294117647058826</v>
      </c>
      <c r="L204" s="458">
        <f t="shared" ref="L204:L205" si="184">+I204/F204</f>
        <v>0.23529411764705882</v>
      </c>
      <c r="M204" s="389">
        <f>+(G204/F204)*E204</f>
        <v>0.15294117647058825</v>
      </c>
      <c r="N204" s="389">
        <f>+(H204/F204)*E204</f>
        <v>0.22941176470588237</v>
      </c>
      <c r="O204" s="389"/>
      <c r="P204" s="384">
        <v>4</v>
      </c>
      <c r="Q204" s="439">
        <v>3</v>
      </c>
      <c r="R204" s="439">
        <v>4</v>
      </c>
      <c r="S204" s="439">
        <v>0</v>
      </c>
      <c r="T204" s="439">
        <v>0</v>
      </c>
      <c r="U204" s="439">
        <v>0</v>
      </c>
      <c r="V204" s="385">
        <f>+Q204+R204+S204+T204+U204</f>
        <v>7</v>
      </c>
      <c r="W204" s="385">
        <f>+V204+P204+AB204</f>
        <v>13</v>
      </c>
      <c r="X204" s="439">
        <v>0</v>
      </c>
      <c r="Y204" s="439">
        <v>2</v>
      </c>
      <c r="Z204" s="385"/>
      <c r="AA204" s="385"/>
      <c r="AB204" s="385">
        <f t="shared" si="176"/>
        <v>2</v>
      </c>
      <c r="AC204" s="433">
        <f>+(P204/G204)</f>
        <v>1</v>
      </c>
      <c r="AD204" s="419">
        <v>1</v>
      </c>
      <c r="AE204" s="419">
        <f t="shared" si="159"/>
        <v>0.5</v>
      </c>
      <c r="AF204" s="433">
        <f>+AC204*E204</f>
        <v>0.65</v>
      </c>
      <c r="AG204" s="457">
        <f t="shared" si="161"/>
        <v>0.65</v>
      </c>
      <c r="AH204" s="464">
        <f t="shared" si="169"/>
        <v>0.32500000000000001</v>
      </c>
      <c r="AI204" s="457">
        <f>+P204/F204</f>
        <v>0.23529411764705882</v>
      </c>
      <c r="AJ204" s="464">
        <v>0.6470588235294118</v>
      </c>
      <c r="AK204" s="464">
        <f t="shared" si="177"/>
        <v>0.76470588235294112</v>
      </c>
      <c r="AL204" s="457">
        <f>+AI204*E204</f>
        <v>0.15294117647058825</v>
      </c>
      <c r="AM204" s="458">
        <f>+AJ204*E204</f>
        <v>0.42058823529411771</v>
      </c>
      <c r="AN204" s="1310">
        <f t="shared" si="157"/>
        <v>0.49705882352941178</v>
      </c>
      <c r="AO204" s="142" t="s">
        <v>1844</v>
      </c>
      <c r="AP204" s="597" t="s">
        <v>1886</v>
      </c>
      <c r="AQ204" s="597" t="s">
        <v>1986</v>
      </c>
      <c r="AR204" s="597" t="s">
        <v>2008</v>
      </c>
      <c r="AS204" s="634" t="s">
        <v>2106</v>
      </c>
      <c r="AT204" s="634" t="s">
        <v>2137</v>
      </c>
      <c r="AU204" s="634" t="s">
        <v>2190</v>
      </c>
      <c r="AV204" s="634" t="s">
        <v>1887</v>
      </c>
      <c r="AW204" s="634" t="s">
        <v>2294</v>
      </c>
    </row>
    <row r="205" spans="1:49" ht="135" customHeight="1" thickBot="1" x14ac:dyDescent="0.4">
      <c r="A205" s="223"/>
      <c r="B205" s="1147" t="s">
        <v>344</v>
      </c>
      <c r="C205" s="1147" t="s">
        <v>345</v>
      </c>
      <c r="D205" s="361" t="s">
        <v>297</v>
      </c>
      <c r="E205" s="386">
        <v>0.35</v>
      </c>
      <c r="F205" s="383">
        <v>4</v>
      </c>
      <c r="G205" s="384">
        <v>1</v>
      </c>
      <c r="H205" s="385">
        <v>1</v>
      </c>
      <c r="I205" s="385">
        <v>1</v>
      </c>
      <c r="J205" s="386">
        <f>+G205/F205</f>
        <v>0.25</v>
      </c>
      <c r="K205" s="402">
        <f t="shared" si="173"/>
        <v>0.25</v>
      </c>
      <c r="L205" s="403">
        <f t="shared" si="184"/>
        <v>0.25</v>
      </c>
      <c r="M205" s="389">
        <f>+(G205/F205)*E205</f>
        <v>8.7499999999999994E-2</v>
      </c>
      <c r="N205" s="389">
        <f t="shared" si="181"/>
        <v>8.7499999999999994E-2</v>
      </c>
      <c r="O205" s="389"/>
      <c r="P205" s="384">
        <v>1</v>
      </c>
      <c r="Q205" s="439">
        <v>0</v>
      </c>
      <c r="R205" s="439">
        <v>1</v>
      </c>
      <c r="S205" s="439">
        <v>0</v>
      </c>
      <c r="T205" s="439">
        <v>0</v>
      </c>
      <c r="U205" s="439">
        <v>0</v>
      </c>
      <c r="V205" s="385">
        <f>+Q205+R205+S205+T205+U205</f>
        <v>1</v>
      </c>
      <c r="W205" s="385">
        <f>+V205+P205+AB205</f>
        <v>3</v>
      </c>
      <c r="X205" s="439">
        <v>0</v>
      </c>
      <c r="Y205" s="439">
        <v>1</v>
      </c>
      <c r="Z205" s="385"/>
      <c r="AA205" s="385"/>
      <c r="AB205" s="385">
        <f t="shared" si="176"/>
        <v>1</v>
      </c>
      <c r="AC205" s="433">
        <f>+(P205/G205)</f>
        <v>1</v>
      </c>
      <c r="AD205" s="419">
        <f t="shared" si="153"/>
        <v>1</v>
      </c>
      <c r="AE205" s="419">
        <f t="shared" si="159"/>
        <v>1</v>
      </c>
      <c r="AF205" s="433">
        <f>+AC205*E205</f>
        <v>0.35</v>
      </c>
      <c r="AG205" s="457">
        <f t="shared" si="161"/>
        <v>0.35</v>
      </c>
      <c r="AH205" s="459">
        <f t="shared" si="169"/>
        <v>0.35</v>
      </c>
      <c r="AI205" s="681">
        <f>+P205/F205</f>
        <v>0.25</v>
      </c>
      <c r="AJ205" s="459">
        <v>0.5</v>
      </c>
      <c r="AK205" s="459">
        <f t="shared" si="177"/>
        <v>0.75</v>
      </c>
      <c r="AL205" s="457">
        <f>+AI205*E205</f>
        <v>8.7499999999999994E-2</v>
      </c>
      <c r="AM205" s="458">
        <f>+AJ205*E205</f>
        <v>0.17499999999999999</v>
      </c>
      <c r="AN205" s="1310">
        <f t="shared" si="157"/>
        <v>0.26249999999999996</v>
      </c>
      <c r="AO205" s="142" t="s">
        <v>1844</v>
      </c>
      <c r="AP205" s="597" t="s">
        <v>1886</v>
      </c>
      <c r="AQ205" s="597" t="s">
        <v>1986</v>
      </c>
      <c r="AR205" s="597" t="s">
        <v>2008</v>
      </c>
      <c r="AS205" s="634" t="s">
        <v>2106</v>
      </c>
      <c r="AT205" s="634" t="s">
        <v>2137</v>
      </c>
      <c r="AU205" s="634" t="s">
        <v>2190</v>
      </c>
      <c r="AV205" s="634" t="s">
        <v>1887</v>
      </c>
      <c r="AW205" s="634" t="s">
        <v>2294</v>
      </c>
    </row>
    <row r="206" spans="1:49" ht="135" customHeight="1" thickBot="1" x14ac:dyDescent="0.45">
      <c r="A206" s="223"/>
      <c r="B206" s="1295" t="s">
        <v>1625</v>
      </c>
      <c r="C206" s="1292"/>
      <c r="D206" s="360"/>
      <c r="E206" s="379">
        <v>0.05</v>
      </c>
      <c r="F206" s="383"/>
      <c r="G206" s="384"/>
      <c r="H206" s="385"/>
      <c r="I206" s="385"/>
      <c r="J206" s="381">
        <f>+AVERAGE(J207:J208)</f>
        <v>0.20833333333333331</v>
      </c>
      <c r="K206" s="401">
        <f>+AVERAGE(K207:K208)</f>
        <v>0.2361111111111111</v>
      </c>
      <c r="L206" s="453">
        <f>+AVERAGE(L207:L208)</f>
        <v>0.21666666666666667</v>
      </c>
      <c r="M206" s="381">
        <f>+M207+M208</f>
        <v>0.2</v>
      </c>
      <c r="N206" s="381">
        <f>+N207+N208</f>
        <v>0.23888888888888887</v>
      </c>
      <c r="O206" s="381"/>
      <c r="P206" s="382"/>
      <c r="Q206" s="388"/>
      <c r="R206" s="388"/>
      <c r="S206" s="388"/>
      <c r="T206" s="388"/>
      <c r="U206" s="833"/>
      <c r="V206" s="388"/>
      <c r="W206" s="388"/>
      <c r="X206" s="385"/>
      <c r="Y206" s="385"/>
      <c r="Z206" s="385"/>
      <c r="AA206" s="385"/>
      <c r="AB206" s="385"/>
      <c r="AC206" s="441">
        <f>+AVERAGE(AC207:AC208)</f>
        <v>0.58611111111111103</v>
      </c>
      <c r="AD206" s="441">
        <f>+AVERAGE(AD207:AD208)</f>
        <v>1</v>
      </c>
      <c r="AE206" s="441">
        <f>+AVERAGE(AE207:AE208)</f>
        <v>0.3858858858858859</v>
      </c>
      <c r="AF206" s="441">
        <f>+(AF207+AF208)*E206</f>
        <v>3.2944444444444443E-2</v>
      </c>
      <c r="AG206" s="460">
        <f>+(AG207+AG208)*E206</f>
        <v>0.05</v>
      </c>
      <c r="AH206" s="882">
        <f>+(AH207+AH208)*E206</f>
        <v>1.7597597597597599E-2</v>
      </c>
      <c r="AI206" s="877">
        <f>+AVERAGE(AI207:AI208)</f>
        <v>0.10694444444444444</v>
      </c>
      <c r="AJ206" s="461">
        <v>0.58472222222222225</v>
      </c>
      <c r="AK206" s="461">
        <f>+AVERAGE(AK207:AK208)</f>
        <v>0.65277777777777779</v>
      </c>
      <c r="AL206" s="401">
        <f>+(AL207+AL208)*E206</f>
        <v>5.8611111111111112E-3</v>
      </c>
      <c r="AM206" s="453">
        <f>+(AM207+AM208)</f>
        <v>0.55444444444444452</v>
      </c>
      <c r="AN206" s="453">
        <f>+(AN207+AN208)</f>
        <v>0.62222222222222223</v>
      </c>
      <c r="AO206" s="136"/>
      <c r="AP206" s="359"/>
      <c r="AQ206" s="359"/>
      <c r="AR206" s="359"/>
      <c r="AS206" s="359"/>
      <c r="AT206" s="359"/>
      <c r="AU206" s="158"/>
      <c r="AV206" s="158"/>
    </row>
    <row r="207" spans="1:49" ht="135" customHeight="1" thickBot="1" x14ac:dyDescent="0.4">
      <c r="A207" s="223"/>
      <c r="B207" s="1147" t="s">
        <v>346</v>
      </c>
      <c r="C207" s="1147" t="s">
        <v>347</v>
      </c>
      <c r="D207" s="361" t="s">
        <v>297</v>
      </c>
      <c r="E207" s="269">
        <v>0.6</v>
      </c>
      <c r="F207" s="383">
        <v>120</v>
      </c>
      <c r="G207" s="384">
        <v>20</v>
      </c>
      <c r="H207" s="385">
        <v>30</v>
      </c>
      <c r="I207" s="385">
        <v>37</v>
      </c>
      <c r="J207" s="386">
        <f>+G207/F207</f>
        <v>0.16666666666666666</v>
      </c>
      <c r="K207" s="402">
        <f t="shared" si="173"/>
        <v>0.25</v>
      </c>
      <c r="L207" s="403">
        <f t="shared" ref="L207:L208" si="185">+I207/F207</f>
        <v>0.30833333333333335</v>
      </c>
      <c r="M207" s="389">
        <f>+(G207/F207)*E207</f>
        <v>9.9999999999999992E-2</v>
      </c>
      <c r="N207" s="389">
        <f t="shared" si="181"/>
        <v>0.15</v>
      </c>
      <c r="O207" s="389"/>
      <c r="P207" s="794">
        <v>19</v>
      </c>
      <c r="Q207" s="439">
        <v>8</v>
      </c>
      <c r="R207" s="439">
        <v>10</v>
      </c>
      <c r="S207" s="439">
        <v>11</v>
      </c>
      <c r="T207" s="439">
        <v>1</v>
      </c>
      <c r="U207" s="439">
        <v>3</v>
      </c>
      <c r="V207" s="385">
        <f>+Q207+R207+S207+T207+U207</f>
        <v>33</v>
      </c>
      <c r="W207" s="385">
        <f>+V207+P207+AB207</f>
        <v>60</v>
      </c>
      <c r="X207" s="439">
        <v>2</v>
      </c>
      <c r="Y207" s="439">
        <v>6</v>
      </c>
      <c r="Z207" s="385"/>
      <c r="AA207" s="385"/>
      <c r="AB207" s="385">
        <f t="shared" si="176"/>
        <v>8</v>
      </c>
      <c r="AC207" s="433">
        <f>+(P207/G207)</f>
        <v>0.95</v>
      </c>
      <c r="AD207" s="419">
        <v>1</v>
      </c>
      <c r="AE207" s="419">
        <f t="shared" si="159"/>
        <v>0.21621621621621623</v>
      </c>
      <c r="AF207" s="433">
        <f>+AC207*E207</f>
        <v>0.56999999999999995</v>
      </c>
      <c r="AG207" s="457">
        <f>+AD207*E207</f>
        <v>0.6</v>
      </c>
      <c r="AH207" s="464">
        <f t="shared" si="169"/>
        <v>0.12972972972972974</v>
      </c>
      <c r="AI207" s="717">
        <f>+P207/F207</f>
        <v>0.15833333333333333</v>
      </c>
      <c r="AJ207" s="464">
        <v>0.43333333333333335</v>
      </c>
      <c r="AK207" s="464">
        <f t="shared" si="177"/>
        <v>0.5</v>
      </c>
      <c r="AL207" s="457">
        <f>+AI207*E207</f>
        <v>9.4999999999999987E-2</v>
      </c>
      <c r="AM207" s="458">
        <f>+AJ207*E207</f>
        <v>0.26</v>
      </c>
      <c r="AN207" s="1310">
        <f t="shared" si="157"/>
        <v>0.3</v>
      </c>
      <c r="AO207" s="142" t="s">
        <v>1844</v>
      </c>
      <c r="AP207" s="597" t="s">
        <v>1886</v>
      </c>
      <c r="AQ207" s="597" t="s">
        <v>1986</v>
      </c>
      <c r="AR207" s="597" t="s">
        <v>2008</v>
      </c>
      <c r="AS207" s="634" t="s">
        <v>2106</v>
      </c>
      <c r="AT207" s="557" t="s">
        <v>2164</v>
      </c>
      <c r="AU207" s="634" t="s">
        <v>2190</v>
      </c>
      <c r="AV207" s="634" t="s">
        <v>1887</v>
      </c>
      <c r="AW207" s="634" t="s">
        <v>2294</v>
      </c>
    </row>
    <row r="208" spans="1:49" ht="135" customHeight="1" thickBot="1" x14ac:dyDescent="0.4">
      <c r="A208" s="223"/>
      <c r="B208" s="1147" t="s">
        <v>348</v>
      </c>
      <c r="C208" s="1147" t="s">
        <v>349</v>
      </c>
      <c r="D208" s="361" t="s">
        <v>297</v>
      </c>
      <c r="E208" s="269">
        <v>0.4</v>
      </c>
      <c r="F208" s="383">
        <v>72</v>
      </c>
      <c r="G208" s="384">
        <v>18</v>
      </c>
      <c r="H208" s="385">
        <v>16</v>
      </c>
      <c r="I208" s="385">
        <v>9</v>
      </c>
      <c r="J208" s="386">
        <f>+G208/F208</f>
        <v>0.25</v>
      </c>
      <c r="K208" s="402">
        <f t="shared" si="173"/>
        <v>0.22222222222222221</v>
      </c>
      <c r="L208" s="403">
        <f t="shared" si="185"/>
        <v>0.125</v>
      </c>
      <c r="M208" s="389">
        <f>+(G208/F208)*E208</f>
        <v>0.1</v>
      </c>
      <c r="N208" s="389">
        <f t="shared" si="181"/>
        <v>8.8888888888888892E-2</v>
      </c>
      <c r="O208" s="389"/>
      <c r="P208" s="794">
        <v>4</v>
      </c>
      <c r="Q208" s="439">
        <v>4</v>
      </c>
      <c r="R208" s="439">
        <v>9</v>
      </c>
      <c r="S208" s="439">
        <v>4</v>
      </c>
      <c r="T208" s="439">
        <v>16</v>
      </c>
      <c r="U208" s="439"/>
      <c r="V208" s="385">
        <f>+Q208+R208+S208+T208+U208</f>
        <v>33</v>
      </c>
      <c r="W208" s="385">
        <f>+V208+P208+16+AB208</f>
        <v>58</v>
      </c>
      <c r="X208" s="439">
        <v>1</v>
      </c>
      <c r="Y208" s="439">
        <v>4</v>
      </c>
      <c r="Z208" s="385"/>
      <c r="AA208" s="385"/>
      <c r="AB208" s="385">
        <f t="shared" si="176"/>
        <v>5</v>
      </c>
      <c r="AC208" s="433">
        <f>+(P208/G208)</f>
        <v>0.22222222222222221</v>
      </c>
      <c r="AD208" s="419">
        <v>1</v>
      </c>
      <c r="AE208" s="419">
        <f t="shared" si="159"/>
        <v>0.55555555555555558</v>
      </c>
      <c r="AF208" s="433">
        <f>+AC208*E208</f>
        <v>8.8888888888888892E-2</v>
      </c>
      <c r="AG208" s="457">
        <f t="shared" si="161"/>
        <v>0.4</v>
      </c>
      <c r="AH208" s="459">
        <f t="shared" si="169"/>
        <v>0.22222222222222224</v>
      </c>
      <c r="AI208" s="457">
        <f>+P208/F208</f>
        <v>5.5555555555555552E-2</v>
      </c>
      <c r="AJ208" s="459">
        <v>0.73611111111111116</v>
      </c>
      <c r="AK208" s="459">
        <f t="shared" si="177"/>
        <v>0.80555555555555558</v>
      </c>
      <c r="AL208" s="457">
        <f>+AI208*E208</f>
        <v>2.2222222222222223E-2</v>
      </c>
      <c r="AM208" s="458">
        <f>+AJ208*E208</f>
        <v>0.29444444444444445</v>
      </c>
      <c r="AN208" s="1310">
        <f t="shared" si="157"/>
        <v>0.32222222222222224</v>
      </c>
      <c r="AO208" s="142" t="s">
        <v>1844</v>
      </c>
      <c r="AP208" s="597" t="s">
        <v>1886</v>
      </c>
      <c r="AQ208" s="597" t="s">
        <v>1986</v>
      </c>
      <c r="AR208" s="597" t="s">
        <v>2008</v>
      </c>
      <c r="AS208" s="634" t="s">
        <v>2106</v>
      </c>
      <c r="AT208" s="634" t="s">
        <v>2137</v>
      </c>
      <c r="AU208" s="634" t="s">
        <v>2190</v>
      </c>
      <c r="AV208" s="634" t="s">
        <v>1887</v>
      </c>
      <c r="AW208" s="634" t="s">
        <v>2294</v>
      </c>
    </row>
    <row r="209" spans="1:48" ht="135" customHeight="1" thickBot="1" x14ac:dyDescent="0.45">
      <c r="A209" s="223"/>
      <c r="B209" s="1295" t="s">
        <v>1624</v>
      </c>
      <c r="C209" s="1292"/>
      <c r="D209" s="360"/>
      <c r="E209" s="379">
        <v>0.1</v>
      </c>
      <c r="F209" s="383"/>
      <c r="G209" s="384"/>
      <c r="H209" s="385"/>
      <c r="I209" s="385"/>
      <c r="J209" s="381">
        <f>+AVERAGE(J210:J211)</f>
        <v>0.14262820512820512</v>
      </c>
      <c r="K209" s="401">
        <f>+AVERAGE(K210:K211)</f>
        <v>0.22275641025641027</v>
      </c>
      <c r="L209" s="453">
        <f>+AVERAGE(L210:L211)</f>
        <v>0.625</v>
      </c>
      <c r="M209" s="381">
        <f>+M210+M211</f>
        <v>0.15576923076923077</v>
      </c>
      <c r="N209" s="381"/>
      <c r="O209" s="381"/>
      <c r="P209" s="382"/>
      <c r="Q209" s="388"/>
      <c r="R209" s="388"/>
      <c r="S209" s="388"/>
      <c r="T209" s="388"/>
      <c r="U209" s="833"/>
      <c r="V209" s="388"/>
      <c r="W209" s="388"/>
      <c r="X209" s="385"/>
      <c r="Y209" s="385"/>
      <c r="Z209" s="385"/>
      <c r="AA209" s="385"/>
      <c r="AB209" s="385"/>
      <c r="AC209" s="441">
        <f>+AVERAGE(AC210:AC211)</f>
        <v>1</v>
      </c>
      <c r="AD209" s="441">
        <f>+AVERAGE(AD210:AD211)</f>
        <v>0.9642857142857143</v>
      </c>
      <c r="AE209" s="441">
        <f>+AVERAGE(AE210:AE211)</f>
        <v>0.5</v>
      </c>
      <c r="AF209" s="441">
        <f>+(AF210+AF211)*E209</f>
        <v>0.1</v>
      </c>
      <c r="AG209" s="460">
        <f>+(AG210+AG211)*E209</f>
        <v>0</v>
      </c>
      <c r="AH209" s="882">
        <f>+(AH210+AH211)*E209</f>
        <v>4.0000000000000008E-2</v>
      </c>
      <c r="AI209" s="401">
        <f>+AVERAGE(AI210:AI211)</f>
        <v>0.24038461538461539</v>
      </c>
      <c r="AJ209" s="461">
        <v>0.76041666666666674</v>
      </c>
      <c r="AK209" s="461">
        <f>+AVERAGE(AK210:AK211)</f>
        <v>0.76041666666666674</v>
      </c>
      <c r="AL209" s="401">
        <f>+(AL210+AL211)*E209</f>
        <v>2.4230769230769233E-2</v>
      </c>
      <c r="AM209" s="453">
        <f>+(AM210+AM211)</f>
        <v>0.71250000000000002</v>
      </c>
      <c r="AN209" s="453">
        <f>+(AN210+AN211)</f>
        <v>0.71250000000000002</v>
      </c>
      <c r="AO209" s="136"/>
      <c r="AP209" s="359"/>
      <c r="AQ209" s="359"/>
      <c r="AR209" s="676"/>
      <c r="AS209" s="359"/>
      <c r="AT209" s="359"/>
      <c r="AU209" s="158"/>
      <c r="AV209" s="158"/>
    </row>
    <row r="210" spans="1:48" ht="135" customHeight="1" thickBot="1" x14ac:dyDescent="0.4">
      <c r="A210" s="223"/>
      <c r="B210" s="1147" t="s">
        <v>350</v>
      </c>
      <c r="C210" s="1147" t="s">
        <v>351</v>
      </c>
      <c r="D210" s="365" t="s">
        <v>352</v>
      </c>
      <c r="E210" s="295">
        <v>0.4</v>
      </c>
      <c r="F210" s="383">
        <v>13</v>
      </c>
      <c r="G210" s="384">
        <v>1</v>
      </c>
      <c r="H210" s="385">
        <v>2</v>
      </c>
      <c r="I210" s="385">
        <v>13</v>
      </c>
      <c r="J210" s="386">
        <f>+G210/F210</f>
        <v>7.6923076923076927E-2</v>
      </c>
      <c r="K210" s="402">
        <f t="shared" si="173"/>
        <v>0.15384615384615385</v>
      </c>
      <c r="L210" s="403">
        <f t="shared" ref="L210:L211" si="186">+I210/F210</f>
        <v>1</v>
      </c>
      <c r="M210" s="389">
        <f>+(G210/F210)*E210</f>
        <v>3.0769230769230771E-2</v>
      </c>
      <c r="N210" s="389"/>
      <c r="O210" s="389"/>
      <c r="P210" s="384">
        <v>3</v>
      </c>
      <c r="Q210" s="439">
        <v>0</v>
      </c>
      <c r="R210" s="439">
        <v>13</v>
      </c>
      <c r="S210" s="439">
        <v>0</v>
      </c>
      <c r="T210" s="439">
        <v>0</v>
      </c>
      <c r="U210" s="439">
        <v>0</v>
      </c>
      <c r="V210" s="385">
        <f>+Q210+R210+S210+T210+U210</f>
        <v>13</v>
      </c>
      <c r="W210" s="385">
        <f>+V210+P210+AB210</f>
        <v>29</v>
      </c>
      <c r="X210" s="439">
        <v>13</v>
      </c>
      <c r="Y210" s="439">
        <v>0</v>
      </c>
      <c r="Z210" s="385"/>
      <c r="AA210" s="385"/>
      <c r="AB210" s="385">
        <f t="shared" si="176"/>
        <v>13</v>
      </c>
      <c r="AC210" s="433">
        <v>1</v>
      </c>
      <c r="AD210" s="419">
        <v>1</v>
      </c>
      <c r="AE210" s="419">
        <f t="shared" si="159"/>
        <v>1</v>
      </c>
      <c r="AF210" s="433">
        <f>+AC210*E210</f>
        <v>0.4</v>
      </c>
      <c r="AG210" s="457"/>
      <c r="AH210" s="464">
        <f t="shared" si="169"/>
        <v>0.4</v>
      </c>
      <c r="AI210" s="457">
        <f>+P210/F210</f>
        <v>0.23076923076923078</v>
      </c>
      <c r="AJ210" s="464">
        <v>1</v>
      </c>
      <c r="AK210" s="464">
        <v>1</v>
      </c>
      <c r="AL210" s="457">
        <f>+AI210*E210</f>
        <v>9.2307692307692313E-2</v>
      </c>
      <c r="AM210" s="458">
        <f>+AJ210*E210</f>
        <v>0.4</v>
      </c>
      <c r="AN210" s="1310">
        <f t="shared" si="157"/>
        <v>0.4</v>
      </c>
      <c r="AO210" s="142" t="s">
        <v>1844</v>
      </c>
      <c r="AP210" s="598" t="s">
        <v>1958</v>
      </c>
      <c r="AQ210" s="716" t="s">
        <v>1986</v>
      </c>
      <c r="AR210" s="557" t="s">
        <v>2039</v>
      </c>
      <c r="AS210" s="557" t="s">
        <v>2102</v>
      </c>
      <c r="AT210" s="557" t="s">
        <v>1859</v>
      </c>
      <c r="AU210" s="634" t="s">
        <v>2190</v>
      </c>
      <c r="AV210" s="557" t="s">
        <v>1859</v>
      </c>
    </row>
    <row r="211" spans="1:48" ht="135" customHeight="1" thickBot="1" x14ac:dyDescent="0.4">
      <c r="A211" s="223"/>
      <c r="B211" s="1147" t="s">
        <v>353</v>
      </c>
      <c r="C211" s="1147" t="s">
        <v>354</v>
      </c>
      <c r="D211" s="365" t="s">
        <v>352</v>
      </c>
      <c r="E211" s="295">
        <v>0.6</v>
      </c>
      <c r="F211" s="383">
        <v>48</v>
      </c>
      <c r="G211" s="384">
        <v>10</v>
      </c>
      <c r="H211" s="385">
        <v>14</v>
      </c>
      <c r="I211" s="385">
        <v>12</v>
      </c>
      <c r="J211" s="386">
        <f>+G211/F211</f>
        <v>0.20833333333333334</v>
      </c>
      <c r="K211" s="402">
        <f t="shared" si="173"/>
        <v>0.29166666666666669</v>
      </c>
      <c r="L211" s="408">
        <f t="shared" si="186"/>
        <v>0.25</v>
      </c>
      <c r="M211" s="389">
        <f>+(G211/F211)*E211</f>
        <v>0.125</v>
      </c>
      <c r="N211" s="389"/>
      <c r="O211" s="389"/>
      <c r="P211" s="384">
        <v>12</v>
      </c>
      <c r="Q211" s="439">
        <v>0</v>
      </c>
      <c r="R211" s="439">
        <v>0</v>
      </c>
      <c r="S211" s="439">
        <v>9</v>
      </c>
      <c r="T211" s="439">
        <v>0</v>
      </c>
      <c r="U211" s="439">
        <v>4</v>
      </c>
      <c r="V211" s="385">
        <f>+Q211+R211+S211+T211+U211</f>
        <v>13</v>
      </c>
      <c r="W211" s="385">
        <f>+V211+P211+AB211</f>
        <v>25</v>
      </c>
      <c r="X211" s="439">
        <v>0</v>
      </c>
      <c r="Y211" s="439">
        <v>0</v>
      </c>
      <c r="Z211" s="385"/>
      <c r="AA211" s="385"/>
      <c r="AB211" s="385">
        <f t="shared" si="176"/>
        <v>0</v>
      </c>
      <c r="AC211" s="433">
        <v>1</v>
      </c>
      <c r="AD211" s="419">
        <f t="shared" si="153"/>
        <v>0.9285714285714286</v>
      </c>
      <c r="AE211" s="419">
        <f t="shared" si="159"/>
        <v>0</v>
      </c>
      <c r="AF211" s="433">
        <f>+AC211*E211</f>
        <v>0.6</v>
      </c>
      <c r="AG211" s="457"/>
      <c r="AH211" s="856">
        <f t="shared" si="169"/>
        <v>0</v>
      </c>
      <c r="AI211" s="457">
        <f>+P211/F211</f>
        <v>0.25</v>
      </c>
      <c r="AJ211" s="856">
        <v>0.52083333333333337</v>
      </c>
      <c r="AK211" s="856">
        <f t="shared" si="177"/>
        <v>0.52083333333333337</v>
      </c>
      <c r="AL211" s="457">
        <f>+AI211*E211</f>
        <v>0.15</v>
      </c>
      <c r="AM211" s="856">
        <f>+AJ211*E211</f>
        <v>0.3125</v>
      </c>
      <c r="AN211" s="1319">
        <f t="shared" si="157"/>
        <v>0.3125</v>
      </c>
      <c r="AO211" s="142" t="s">
        <v>1844</v>
      </c>
      <c r="AP211" s="598" t="s">
        <v>1958</v>
      </c>
      <c r="AQ211" s="597" t="s">
        <v>1986</v>
      </c>
      <c r="AR211" s="557" t="s">
        <v>2039</v>
      </c>
      <c r="AS211" s="634" t="s">
        <v>2103</v>
      </c>
      <c r="AT211" s="634" t="s">
        <v>2137</v>
      </c>
      <c r="AU211" s="634" t="s">
        <v>2190</v>
      </c>
      <c r="AV211" s="634" t="s">
        <v>1887</v>
      </c>
    </row>
    <row r="212" spans="1:48" ht="21" customHeight="1" thickBot="1" x14ac:dyDescent="0.45">
      <c r="A212" s="115"/>
      <c r="B212" s="1298"/>
      <c r="C212" s="1298"/>
      <c r="D212" s="115"/>
      <c r="E212" s="434"/>
      <c r="F212" s="434"/>
      <c r="G212" s="258"/>
      <c r="H212" s="258"/>
      <c r="I212" s="258"/>
      <c r="J212" s="258"/>
      <c r="K212" s="258"/>
      <c r="L212" s="260"/>
      <c r="M212" s="258"/>
      <c r="N212" s="258"/>
      <c r="O212" s="258"/>
      <c r="P212" s="258"/>
      <c r="Q212" s="258"/>
      <c r="R212" s="258"/>
      <c r="S212" s="258"/>
      <c r="T212" s="258"/>
      <c r="U212" s="258"/>
      <c r="V212" s="258"/>
      <c r="W212" s="258"/>
      <c r="X212" s="258"/>
      <c r="Y212" s="258"/>
      <c r="Z212" s="258"/>
      <c r="AA212" s="258"/>
      <c r="AB212" s="258"/>
      <c r="AC212" s="258"/>
      <c r="AD212" s="258"/>
      <c r="AE212" s="258"/>
      <c r="AF212" s="258"/>
      <c r="AG212" s="258"/>
      <c r="AH212" s="260"/>
      <c r="AI212" s="258"/>
      <c r="AJ212" s="260"/>
      <c r="AK212" s="260"/>
      <c r="AL212" s="258"/>
      <c r="AM212" s="260"/>
      <c r="AN212" s="260"/>
      <c r="AO212" s="115"/>
      <c r="AP212" s="115"/>
      <c r="AQ212" s="115"/>
      <c r="AR212" s="115"/>
      <c r="AS212" s="115"/>
      <c r="AT212" s="115"/>
      <c r="AU212" s="115"/>
      <c r="AV212" s="115"/>
    </row>
    <row r="213" spans="1:48" ht="21" customHeight="1" thickBot="1" x14ac:dyDescent="0.45">
      <c r="A213" s="115"/>
      <c r="B213" s="1298"/>
      <c r="C213" s="1298"/>
      <c r="D213" s="115"/>
      <c r="E213" s="434"/>
      <c r="F213" s="434"/>
      <c r="G213" s="258"/>
      <c r="H213" s="258"/>
      <c r="I213" s="258"/>
      <c r="J213" s="258"/>
      <c r="K213" s="258"/>
      <c r="L213" s="258"/>
      <c r="M213" s="258"/>
      <c r="N213" s="258"/>
      <c r="O213" s="258"/>
      <c r="P213" s="258"/>
      <c r="Q213" s="258"/>
      <c r="R213" s="258"/>
      <c r="S213" s="258"/>
      <c r="T213" s="258"/>
      <c r="U213" s="258"/>
      <c r="V213" s="258"/>
      <c r="W213" s="258"/>
      <c r="X213" s="258"/>
      <c r="Y213" s="258"/>
      <c r="Z213" s="258"/>
      <c r="AA213" s="258"/>
      <c r="AB213" s="258"/>
      <c r="AC213" s="258"/>
      <c r="AD213" s="258"/>
      <c r="AE213" s="258"/>
      <c r="AF213" s="258"/>
      <c r="AG213" s="258"/>
      <c r="AH213" s="258"/>
      <c r="AI213" s="258"/>
      <c r="AJ213" s="258"/>
      <c r="AK213" s="258"/>
      <c r="AL213" s="258"/>
      <c r="AM213" s="258"/>
      <c r="AN213" s="258"/>
      <c r="AO213" s="115"/>
      <c r="AP213" s="115"/>
      <c r="AQ213" s="115"/>
      <c r="AR213" s="115"/>
      <c r="AS213" s="115"/>
      <c r="AT213" s="115"/>
      <c r="AU213" s="115"/>
      <c r="AV213" s="115"/>
    </row>
    <row r="214" spans="1:48" ht="21" customHeight="1" thickBot="1" x14ac:dyDescent="0.45">
      <c r="A214" s="115"/>
      <c r="B214" s="1299"/>
      <c r="C214" s="1298"/>
      <c r="D214" s="115"/>
      <c r="E214" s="434"/>
      <c r="F214" s="434"/>
      <c r="G214" s="258"/>
      <c r="H214" s="258"/>
      <c r="I214" s="258"/>
      <c r="J214" s="258"/>
      <c r="K214" s="258"/>
      <c r="L214" s="258"/>
      <c r="M214" s="258"/>
      <c r="N214" s="258"/>
      <c r="O214" s="258"/>
      <c r="P214" s="258"/>
      <c r="Q214" s="258"/>
      <c r="R214" s="258"/>
      <c r="S214" s="258"/>
      <c r="T214" s="258"/>
      <c r="U214" s="258"/>
      <c r="V214" s="258"/>
      <c r="W214" s="258"/>
      <c r="X214" s="258"/>
      <c r="Y214" s="258"/>
      <c r="Z214" s="258"/>
      <c r="AA214" s="258"/>
      <c r="AB214" s="258"/>
      <c r="AC214" s="258"/>
      <c r="AD214" s="258"/>
      <c r="AE214" s="258"/>
      <c r="AF214" s="258"/>
      <c r="AG214" s="258"/>
      <c r="AH214" s="258"/>
      <c r="AI214" s="258"/>
      <c r="AJ214" s="258"/>
      <c r="AK214" s="258"/>
      <c r="AL214" s="258"/>
      <c r="AM214" s="258"/>
      <c r="AN214" s="258"/>
      <c r="AO214" s="115"/>
      <c r="AP214" s="115"/>
      <c r="AQ214" s="115"/>
      <c r="AR214" s="115"/>
      <c r="AS214" s="115"/>
      <c r="AT214" s="115"/>
      <c r="AU214" s="115"/>
      <c r="AV214" s="115"/>
    </row>
    <row r="215" spans="1:48" ht="21" customHeight="1" thickBot="1" x14ac:dyDescent="0.45">
      <c r="A215" s="115"/>
      <c r="B215" s="1298"/>
      <c r="C215" s="1298"/>
      <c r="D215" s="115"/>
      <c r="E215" s="434"/>
      <c r="F215" s="434"/>
      <c r="G215" s="258"/>
      <c r="H215" s="258"/>
      <c r="I215" s="258"/>
      <c r="J215" s="258"/>
      <c r="K215" s="258"/>
      <c r="L215" s="258"/>
      <c r="M215" s="258"/>
      <c r="N215" s="258"/>
      <c r="O215" s="258"/>
      <c r="P215" s="258"/>
      <c r="Q215" s="258"/>
      <c r="R215" s="258"/>
      <c r="S215" s="258"/>
      <c r="T215" s="258"/>
      <c r="U215" s="258"/>
      <c r="V215" s="258"/>
      <c r="W215" s="258"/>
      <c r="X215" s="258"/>
      <c r="Y215" s="258"/>
      <c r="Z215" s="258"/>
      <c r="AA215" s="258"/>
      <c r="AB215" s="258"/>
      <c r="AC215" s="258"/>
      <c r="AD215" s="258"/>
      <c r="AE215" s="258"/>
      <c r="AF215" s="258"/>
      <c r="AG215" s="258"/>
      <c r="AH215" s="258"/>
      <c r="AI215" s="258"/>
      <c r="AJ215" s="258"/>
      <c r="AK215" s="258"/>
      <c r="AL215" s="258"/>
      <c r="AM215" s="258"/>
      <c r="AN215" s="258"/>
      <c r="AO215" s="115"/>
      <c r="AP215" s="115"/>
      <c r="AQ215" s="115"/>
      <c r="AR215" s="115"/>
      <c r="AS215" s="115"/>
      <c r="AT215" s="115"/>
      <c r="AU215" s="115"/>
      <c r="AV215" s="115"/>
    </row>
    <row r="216" spans="1:48" ht="21" customHeight="1" thickBot="1" x14ac:dyDescent="0.45">
      <c r="A216" s="115"/>
      <c r="B216" s="1298"/>
      <c r="C216" s="1298"/>
      <c r="D216" s="115"/>
      <c r="E216" s="434"/>
      <c r="F216" s="434"/>
      <c r="G216" s="258"/>
      <c r="H216" s="258"/>
      <c r="I216" s="258"/>
      <c r="J216" s="258"/>
      <c r="K216" s="258"/>
      <c r="L216" s="258"/>
      <c r="M216" s="258"/>
      <c r="N216" s="258"/>
      <c r="O216" s="258"/>
      <c r="P216" s="258"/>
      <c r="Q216" s="258"/>
      <c r="R216" s="258"/>
      <c r="S216" s="258"/>
      <c r="T216" s="258"/>
      <c r="U216" s="258"/>
      <c r="V216" s="258"/>
      <c r="W216" s="258"/>
      <c r="X216" s="258"/>
      <c r="Y216" s="258"/>
      <c r="Z216" s="258"/>
      <c r="AA216" s="258"/>
      <c r="AB216" s="258"/>
      <c r="AC216" s="258"/>
      <c r="AD216" s="258"/>
      <c r="AE216" s="258"/>
      <c r="AF216" s="258"/>
      <c r="AG216" s="258"/>
      <c r="AH216" s="258"/>
      <c r="AI216" s="258"/>
      <c r="AJ216" s="258"/>
      <c r="AK216" s="258"/>
      <c r="AL216" s="258"/>
      <c r="AM216" s="258"/>
      <c r="AN216" s="258"/>
      <c r="AO216" s="115"/>
      <c r="AP216" s="115"/>
      <c r="AQ216" s="115"/>
      <c r="AR216" s="115"/>
      <c r="AS216" s="115"/>
      <c r="AT216" s="115"/>
      <c r="AU216" s="115"/>
      <c r="AV216" s="115"/>
    </row>
    <row r="217" spans="1:48" ht="21" customHeight="1" thickBot="1" x14ac:dyDescent="0.45">
      <c r="A217" s="115"/>
      <c r="B217" s="1298"/>
      <c r="C217" s="1298"/>
      <c r="D217" s="115"/>
      <c r="E217" s="434"/>
      <c r="F217" s="434"/>
      <c r="G217" s="258"/>
      <c r="H217" s="258"/>
      <c r="I217" s="258"/>
      <c r="J217" s="258"/>
      <c r="K217" s="258"/>
      <c r="L217" s="258"/>
      <c r="M217" s="258"/>
      <c r="N217" s="258"/>
      <c r="O217" s="258"/>
      <c r="P217" s="258"/>
      <c r="Q217" s="258"/>
      <c r="R217" s="258"/>
      <c r="S217" s="258"/>
      <c r="T217" s="258"/>
      <c r="U217" s="258"/>
      <c r="V217" s="258"/>
      <c r="W217" s="258"/>
      <c r="X217" s="258"/>
      <c r="Y217" s="258"/>
      <c r="Z217" s="258"/>
      <c r="AA217" s="258"/>
      <c r="AB217" s="258"/>
      <c r="AC217" s="258"/>
      <c r="AD217" s="258"/>
      <c r="AE217" s="258"/>
      <c r="AF217" s="258"/>
      <c r="AG217" s="258"/>
      <c r="AH217" s="258"/>
      <c r="AI217" s="258"/>
      <c r="AJ217" s="258"/>
      <c r="AK217" s="258"/>
      <c r="AL217" s="258"/>
      <c r="AM217" s="258"/>
      <c r="AN217" s="258"/>
      <c r="AO217" s="115"/>
      <c r="AP217" s="115"/>
      <c r="AQ217" s="115"/>
      <c r="AR217" s="115"/>
      <c r="AS217" s="115"/>
      <c r="AT217" s="115"/>
      <c r="AU217" s="115"/>
      <c r="AV217" s="115"/>
    </row>
    <row r="218" spans="1:48" ht="21" customHeight="1" thickBot="1" x14ac:dyDescent="0.45">
      <c r="A218" s="115"/>
      <c r="B218" s="1298"/>
      <c r="C218" s="1298"/>
      <c r="D218" s="115"/>
      <c r="E218" s="434"/>
      <c r="F218" s="434"/>
      <c r="G218" s="258"/>
      <c r="H218" s="258"/>
      <c r="I218" s="258"/>
      <c r="J218" s="258"/>
      <c r="K218" s="258"/>
      <c r="L218" s="258"/>
      <c r="M218" s="258"/>
      <c r="N218" s="258"/>
      <c r="O218" s="258"/>
      <c r="P218" s="258"/>
      <c r="Q218" s="258"/>
      <c r="R218" s="258"/>
      <c r="S218" s="258"/>
      <c r="T218" s="258"/>
      <c r="U218" s="258"/>
      <c r="V218" s="258"/>
      <c r="W218" s="258"/>
      <c r="X218" s="258"/>
      <c r="Y218" s="258"/>
      <c r="Z218" s="258"/>
      <c r="AA218" s="258"/>
      <c r="AB218" s="258"/>
      <c r="AC218" s="258"/>
      <c r="AD218" s="258"/>
      <c r="AE218" s="258"/>
      <c r="AF218" s="258"/>
      <c r="AG218" s="258"/>
      <c r="AH218" s="258"/>
      <c r="AI218" s="258"/>
      <c r="AJ218" s="258"/>
      <c r="AK218" s="258"/>
      <c r="AL218" s="258"/>
      <c r="AM218" s="258"/>
      <c r="AN218" s="258"/>
      <c r="AO218" s="115"/>
      <c r="AP218" s="115"/>
      <c r="AQ218" s="115"/>
      <c r="AR218" s="115"/>
      <c r="AS218" s="115"/>
      <c r="AT218" s="115"/>
      <c r="AU218" s="115"/>
      <c r="AV218" s="115"/>
    </row>
    <row r="219" spans="1:48" ht="21" customHeight="1" thickBot="1" x14ac:dyDescent="0.45">
      <c r="A219" s="115"/>
      <c r="B219" s="1298"/>
      <c r="C219" s="1298"/>
      <c r="D219" s="115"/>
      <c r="E219" s="434"/>
      <c r="F219" s="434"/>
      <c r="G219" s="258"/>
      <c r="H219" s="258"/>
      <c r="I219" s="258"/>
      <c r="J219" s="258"/>
      <c r="K219" s="258"/>
      <c r="L219" s="258"/>
      <c r="M219" s="258"/>
      <c r="N219" s="258"/>
      <c r="O219" s="258"/>
      <c r="P219" s="258"/>
      <c r="Q219" s="258"/>
      <c r="R219" s="258"/>
      <c r="S219" s="258"/>
      <c r="T219" s="258"/>
      <c r="U219" s="258"/>
      <c r="V219" s="258"/>
      <c r="W219" s="258"/>
      <c r="X219" s="258"/>
      <c r="Y219" s="258"/>
      <c r="Z219" s="258"/>
      <c r="AA219" s="258"/>
      <c r="AB219" s="258"/>
      <c r="AC219" s="258"/>
      <c r="AD219" s="258"/>
      <c r="AE219" s="258"/>
      <c r="AF219" s="258"/>
      <c r="AG219" s="258"/>
      <c r="AH219" s="258"/>
      <c r="AI219" s="258"/>
      <c r="AJ219" s="258"/>
      <c r="AK219" s="258"/>
      <c r="AL219" s="258"/>
      <c r="AM219" s="258"/>
      <c r="AN219" s="258"/>
      <c r="AO219" s="115"/>
      <c r="AP219" s="115"/>
      <c r="AQ219" s="115"/>
      <c r="AR219" s="115"/>
      <c r="AS219" s="115"/>
      <c r="AT219" s="115"/>
      <c r="AU219" s="115"/>
      <c r="AV219" s="115"/>
    </row>
    <row r="220" spans="1:48" ht="21" customHeight="1" thickBot="1" x14ac:dyDescent="0.45">
      <c r="A220" s="115"/>
      <c r="B220" s="1298"/>
      <c r="C220" s="1298"/>
      <c r="D220" s="115"/>
      <c r="E220" s="434"/>
      <c r="F220" s="434"/>
      <c r="G220" s="258"/>
      <c r="H220" s="258"/>
      <c r="I220" s="258"/>
      <c r="J220" s="258"/>
      <c r="K220" s="258"/>
      <c r="L220" s="258"/>
      <c r="M220" s="258"/>
      <c r="N220" s="258"/>
      <c r="O220" s="258"/>
      <c r="P220" s="258"/>
      <c r="Q220" s="258"/>
      <c r="R220" s="258"/>
      <c r="S220" s="258"/>
      <c r="T220" s="258"/>
      <c r="U220" s="258"/>
      <c r="V220" s="258"/>
      <c r="W220" s="258"/>
      <c r="X220" s="258"/>
      <c r="Y220" s="258"/>
      <c r="Z220" s="258"/>
      <c r="AA220" s="258"/>
      <c r="AB220" s="258"/>
      <c r="AC220" s="258"/>
      <c r="AD220" s="258"/>
      <c r="AE220" s="258"/>
      <c r="AF220" s="258"/>
      <c r="AG220" s="258"/>
      <c r="AH220" s="258"/>
      <c r="AI220" s="258"/>
      <c r="AJ220" s="258"/>
      <c r="AK220" s="258"/>
      <c r="AL220" s="258"/>
      <c r="AM220" s="258"/>
      <c r="AN220" s="258"/>
      <c r="AO220" s="115"/>
      <c r="AP220" s="115"/>
      <c r="AQ220" s="115"/>
      <c r="AR220" s="115"/>
      <c r="AS220" s="115"/>
      <c r="AT220" s="115"/>
      <c r="AU220" s="115"/>
      <c r="AV220" s="115"/>
    </row>
    <row r="221" spans="1:48" ht="21" customHeight="1" thickBot="1" x14ac:dyDescent="0.45">
      <c r="A221" s="115"/>
      <c r="B221" s="1298"/>
      <c r="C221" s="1298"/>
      <c r="D221" s="115"/>
      <c r="E221" s="434"/>
      <c r="F221" s="434"/>
      <c r="G221" s="258"/>
      <c r="H221" s="258"/>
      <c r="I221" s="258"/>
      <c r="J221" s="258"/>
      <c r="K221" s="258"/>
      <c r="L221" s="258"/>
      <c r="M221" s="258"/>
      <c r="N221" s="258"/>
      <c r="O221" s="258"/>
      <c r="P221" s="258"/>
      <c r="Q221" s="258"/>
      <c r="R221" s="258"/>
      <c r="S221" s="258"/>
      <c r="T221" s="258"/>
      <c r="U221" s="258"/>
      <c r="V221" s="258"/>
      <c r="W221" s="258"/>
      <c r="X221" s="258"/>
      <c r="Y221" s="258"/>
      <c r="Z221" s="258"/>
      <c r="AA221" s="258"/>
      <c r="AB221" s="258"/>
      <c r="AC221" s="258"/>
      <c r="AD221" s="258"/>
      <c r="AE221" s="258"/>
      <c r="AF221" s="258"/>
      <c r="AG221" s="258"/>
      <c r="AH221" s="258"/>
      <c r="AI221" s="258"/>
      <c r="AJ221" s="258"/>
      <c r="AK221" s="258"/>
      <c r="AL221" s="258"/>
      <c r="AM221" s="258"/>
      <c r="AN221" s="258"/>
      <c r="AO221" s="115"/>
      <c r="AP221" s="115"/>
      <c r="AQ221" s="115"/>
      <c r="AR221" s="115"/>
      <c r="AS221" s="115"/>
      <c r="AT221" s="115"/>
      <c r="AU221" s="115"/>
      <c r="AV221" s="115"/>
    </row>
    <row r="222" spans="1:48" ht="21" customHeight="1" thickBot="1" x14ac:dyDescent="0.45">
      <c r="A222" s="115"/>
      <c r="B222" s="1298"/>
      <c r="C222" s="1298"/>
      <c r="D222" s="115"/>
      <c r="E222" s="434"/>
      <c r="F222" s="434"/>
      <c r="G222" s="258"/>
      <c r="H222" s="258"/>
      <c r="I222" s="258"/>
      <c r="J222" s="258"/>
      <c r="K222" s="258"/>
      <c r="L222" s="258"/>
      <c r="M222" s="258"/>
      <c r="N222" s="258"/>
      <c r="O222" s="258"/>
      <c r="P222" s="258"/>
      <c r="Q222" s="258"/>
      <c r="R222" s="258"/>
      <c r="S222" s="258"/>
      <c r="T222" s="258"/>
      <c r="U222" s="258"/>
      <c r="V222" s="258"/>
      <c r="W222" s="258"/>
      <c r="X222" s="258"/>
      <c r="Y222" s="258"/>
      <c r="Z222" s="258"/>
      <c r="AA222" s="258"/>
      <c r="AB222" s="258"/>
      <c r="AC222" s="258"/>
      <c r="AD222" s="258"/>
      <c r="AE222" s="258"/>
      <c r="AF222" s="258"/>
      <c r="AG222" s="258"/>
      <c r="AH222" s="258"/>
      <c r="AI222" s="258"/>
      <c r="AJ222" s="258"/>
      <c r="AK222" s="258"/>
      <c r="AL222" s="258"/>
      <c r="AM222" s="258"/>
      <c r="AN222" s="258"/>
      <c r="AO222" s="115"/>
      <c r="AP222" s="115"/>
      <c r="AQ222" s="115"/>
      <c r="AR222" s="115"/>
      <c r="AS222" s="115"/>
      <c r="AT222" s="115"/>
      <c r="AU222" s="115"/>
      <c r="AV222" s="115"/>
    </row>
    <row r="223" spans="1:48" ht="21" customHeight="1" thickBot="1" x14ac:dyDescent="0.45">
      <c r="A223" s="115"/>
      <c r="B223" s="1298"/>
      <c r="C223" s="1298"/>
      <c r="D223" s="115"/>
      <c r="E223" s="434"/>
      <c r="F223" s="434"/>
      <c r="G223" s="258"/>
      <c r="H223" s="258"/>
      <c r="I223" s="258"/>
      <c r="J223" s="258"/>
      <c r="K223" s="258"/>
      <c r="L223" s="258"/>
      <c r="M223" s="258"/>
      <c r="N223" s="258"/>
      <c r="O223" s="258"/>
      <c r="P223" s="258"/>
      <c r="Q223" s="258"/>
      <c r="R223" s="258"/>
      <c r="S223" s="258"/>
      <c r="T223" s="258"/>
      <c r="U223" s="258"/>
      <c r="V223" s="258"/>
      <c r="W223" s="258"/>
      <c r="X223" s="258"/>
      <c r="Y223" s="258"/>
      <c r="Z223" s="258"/>
      <c r="AA223" s="258"/>
      <c r="AB223" s="258"/>
      <c r="AC223" s="258"/>
      <c r="AD223" s="258"/>
      <c r="AE223" s="258"/>
      <c r="AF223" s="258"/>
      <c r="AG223" s="258"/>
      <c r="AH223" s="258"/>
      <c r="AI223" s="258"/>
      <c r="AJ223" s="258"/>
      <c r="AK223" s="258"/>
      <c r="AL223" s="258"/>
      <c r="AM223" s="258"/>
      <c r="AN223" s="258"/>
      <c r="AO223" s="115"/>
      <c r="AP223" s="115"/>
      <c r="AQ223" s="115"/>
      <c r="AR223" s="115"/>
      <c r="AS223" s="115"/>
      <c r="AT223" s="115"/>
      <c r="AU223" s="115"/>
      <c r="AV223" s="115"/>
    </row>
    <row r="224" spans="1:48" ht="21" customHeight="1" thickBot="1" x14ac:dyDescent="0.45">
      <c r="A224" s="115"/>
      <c r="B224" s="1298"/>
      <c r="C224" s="1298"/>
      <c r="D224" s="115"/>
      <c r="E224" s="434"/>
      <c r="F224" s="434"/>
      <c r="G224" s="258"/>
      <c r="H224" s="258"/>
      <c r="I224" s="258"/>
      <c r="J224" s="258"/>
      <c r="K224" s="258"/>
      <c r="L224" s="258"/>
      <c r="M224" s="258"/>
      <c r="N224" s="258"/>
      <c r="O224" s="258"/>
      <c r="P224" s="258"/>
      <c r="Q224" s="258"/>
      <c r="R224" s="258"/>
      <c r="S224" s="258"/>
      <c r="T224" s="258"/>
      <c r="U224" s="258"/>
      <c r="V224" s="258"/>
      <c r="W224" s="258"/>
      <c r="X224" s="258"/>
      <c r="Y224" s="258"/>
      <c r="Z224" s="258"/>
      <c r="AA224" s="258"/>
      <c r="AB224" s="258"/>
      <c r="AC224" s="258"/>
      <c r="AD224" s="258"/>
      <c r="AE224" s="258"/>
      <c r="AF224" s="258"/>
      <c r="AG224" s="258"/>
      <c r="AH224" s="258"/>
      <c r="AI224" s="258"/>
      <c r="AJ224" s="258"/>
      <c r="AK224" s="258"/>
      <c r="AL224" s="258"/>
      <c r="AM224" s="258"/>
      <c r="AN224" s="258"/>
      <c r="AO224" s="115"/>
      <c r="AP224" s="115"/>
      <c r="AQ224" s="115"/>
      <c r="AR224" s="115"/>
      <c r="AS224" s="115"/>
      <c r="AT224" s="115"/>
      <c r="AU224" s="115"/>
      <c r="AV224" s="115"/>
    </row>
    <row r="225" spans="1:48" ht="21" customHeight="1" thickBot="1" x14ac:dyDescent="0.45">
      <c r="A225" s="115"/>
      <c r="B225" s="1298"/>
      <c r="C225" s="1298"/>
      <c r="D225" s="115"/>
      <c r="E225" s="434"/>
      <c r="F225" s="434"/>
      <c r="G225" s="258"/>
      <c r="H225" s="258"/>
      <c r="I225" s="258"/>
      <c r="J225" s="258"/>
      <c r="K225" s="258"/>
      <c r="L225" s="258"/>
      <c r="M225" s="258"/>
      <c r="N225" s="258"/>
      <c r="O225" s="258"/>
      <c r="P225" s="258"/>
      <c r="Q225" s="258"/>
      <c r="R225" s="258"/>
      <c r="S225" s="258"/>
      <c r="T225" s="258"/>
      <c r="U225" s="258"/>
      <c r="V225" s="258"/>
      <c r="W225" s="258"/>
      <c r="X225" s="258"/>
      <c r="Y225" s="258"/>
      <c r="Z225" s="258"/>
      <c r="AA225" s="258"/>
      <c r="AB225" s="258"/>
      <c r="AC225" s="258"/>
      <c r="AD225" s="258"/>
      <c r="AE225" s="258"/>
      <c r="AF225" s="258"/>
      <c r="AG225" s="258"/>
      <c r="AH225" s="258"/>
      <c r="AI225" s="258"/>
      <c r="AJ225" s="258"/>
      <c r="AK225" s="258"/>
      <c r="AL225" s="258"/>
      <c r="AM225" s="258"/>
      <c r="AN225" s="258"/>
      <c r="AO225" s="115"/>
      <c r="AP225" s="115"/>
      <c r="AQ225" s="115"/>
      <c r="AR225" s="115"/>
      <c r="AS225" s="115"/>
      <c r="AT225" s="115"/>
      <c r="AU225" s="115"/>
      <c r="AV225" s="115"/>
    </row>
    <row r="226" spans="1:48" ht="21" customHeight="1" thickBot="1" x14ac:dyDescent="0.45">
      <c r="A226" s="115"/>
      <c r="B226" s="1298"/>
      <c r="C226" s="1298"/>
      <c r="D226" s="115"/>
      <c r="E226" s="434"/>
      <c r="F226" s="434"/>
      <c r="G226" s="258"/>
      <c r="H226" s="258"/>
      <c r="I226" s="258"/>
      <c r="J226" s="258"/>
      <c r="K226" s="258"/>
      <c r="L226" s="258"/>
      <c r="M226" s="258"/>
      <c r="N226" s="258"/>
      <c r="O226" s="258"/>
      <c r="P226" s="258"/>
      <c r="Q226" s="258"/>
      <c r="R226" s="258"/>
      <c r="S226" s="258"/>
      <c r="T226" s="258"/>
      <c r="U226" s="258"/>
      <c r="V226" s="258"/>
      <c r="W226" s="258"/>
      <c r="X226" s="258"/>
      <c r="Y226" s="258"/>
      <c r="Z226" s="258"/>
      <c r="AA226" s="258"/>
      <c r="AB226" s="258"/>
      <c r="AC226" s="258"/>
      <c r="AD226" s="258"/>
      <c r="AE226" s="258"/>
      <c r="AF226" s="258"/>
      <c r="AG226" s="258"/>
      <c r="AH226" s="258"/>
      <c r="AI226" s="258"/>
      <c r="AJ226" s="258"/>
      <c r="AK226" s="258"/>
      <c r="AL226" s="258"/>
      <c r="AM226" s="258"/>
      <c r="AN226" s="258"/>
      <c r="AO226" s="115"/>
      <c r="AP226" s="115"/>
      <c r="AQ226" s="115"/>
      <c r="AR226" s="115"/>
      <c r="AS226" s="115"/>
      <c r="AT226" s="115"/>
      <c r="AU226" s="115"/>
      <c r="AV226" s="115"/>
    </row>
    <row r="227" spans="1:48" ht="21" customHeight="1" thickBot="1" x14ac:dyDescent="0.45">
      <c r="A227" s="115"/>
      <c r="B227" s="1298"/>
      <c r="C227" s="1298"/>
      <c r="D227" s="115"/>
      <c r="E227" s="434"/>
      <c r="F227" s="434"/>
      <c r="G227" s="258"/>
      <c r="H227" s="258"/>
      <c r="I227" s="258"/>
      <c r="J227" s="258"/>
      <c r="K227" s="258"/>
      <c r="L227" s="258"/>
      <c r="M227" s="258"/>
      <c r="N227" s="258"/>
      <c r="O227" s="258"/>
      <c r="P227" s="258"/>
      <c r="Q227" s="258"/>
      <c r="R227" s="258"/>
      <c r="S227" s="258"/>
      <c r="T227" s="258"/>
      <c r="U227" s="258"/>
      <c r="V227" s="258"/>
      <c r="W227" s="258"/>
      <c r="X227" s="258"/>
      <c r="Y227" s="258"/>
      <c r="Z227" s="258"/>
      <c r="AA227" s="258"/>
      <c r="AB227" s="258"/>
      <c r="AC227" s="258"/>
      <c r="AD227" s="258"/>
      <c r="AE227" s="258"/>
      <c r="AF227" s="258"/>
      <c r="AG227" s="258"/>
      <c r="AH227" s="258"/>
      <c r="AI227" s="258"/>
      <c r="AJ227" s="258"/>
      <c r="AK227" s="258"/>
      <c r="AL227" s="258"/>
      <c r="AM227" s="258"/>
      <c r="AN227" s="258"/>
      <c r="AO227" s="115"/>
      <c r="AP227" s="115"/>
      <c r="AQ227" s="115"/>
      <c r="AR227" s="115"/>
      <c r="AS227" s="115"/>
      <c r="AT227" s="115"/>
      <c r="AU227" s="115"/>
      <c r="AV227" s="115"/>
    </row>
    <row r="228" spans="1:48" ht="21" customHeight="1" thickBot="1" x14ac:dyDescent="0.45">
      <c r="A228" s="115"/>
      <c r="B228" s="1298"/>
      <c r="C228" s="1298"/>
      <c r="D228" s="115"/>
      <c r="E228" s="434"/>
      <c r="F228" s="434"/>
      <c r="G228" s="258"/>
      <c r="H228" s="258"/>
      <c r="I228" s="258"/>
      <c r="J228" s="258"/>
      <c r="K228" s="258"/>
      <c r="L228" s="258"/>
      <c r="M228" s="258"/>
      <c r="N228" s="258"/>
      <c r="O228" s="258"/>
      <c r="P228" s="258"/>
      <c r="Q228" s="258"/>
      <c r="R228" s="258"/>
      <c r="S228" s="258"/>
      <c r="T228" s="258"/>
      <c r="U228" s="258"/>
      <c r="V228" s="258"/>
      <c r="W228" s="258"/>
      <c r="X228" s="258"/>
      <c r="Y228" s="258"/>
      <c r="Z228" s="258"/>
      <c r="AA228" s="258"/>
      <c r="AB228" s="258"/>
      <c r="AC228" s="258"/>
      <c r="AD228" s="258"/>
      <c r="AE228" s="258"/>
      <c r="AF228" s="258"/>
      <c r="AG228" s="258"/>
      <c r="AH228" s="258"/>
      <c r="AI228" s="258"/>
      <c r="AJ228" s="258"/>
      <c r="AK228" s="258"/>
      <c r="AL228" s="258"/>
      <c r="AM228" s="258"/>
      <c r="AN228" s="258"/>
      <c r="AO228" s="115"/>
      <c r="AP228" s="115"/>
      <c r="AQ228" s="115"/>
      <c r="AR228" s="115"/>
      <c r="AS228" s="115"/>
      <c r="AT228" s="115"/>
      <c r="AU228" s="115"/>
      <c r="AV228" s="115"/>
    </row>
    <row r="229" spans="1:48" ht="21" customHeight="1" thickBot="1" x14ac:dyDescent="0.45">
      <c r="A229" s="115"/>
      <c r="B229" s="1298"/>
      <c r="C229" s="1298"/>
      <c r="D229" s="115"/>
      <c r="E229" s="434"/>
      <c r="F229" s="434"/>
      <c r="G229" s="258"/>
      <c r="H229" s="258"/>
      <c r="I229" s="258"/>
      <c r="J229" s="258"/>
      <c r="K229" s="258"/>
      <c r="L229" s="258"/>
      <c r="M229" s="258"/>
      <c r="N229" s="258"/>
      <c r="O229" s="258"/>
      <c r="P229" s="258"/>
      <c r="Q229" s="258"/>
      <c r="R229" s="258"/>
      <c r="S229" s="258"/>
      <c r="T229" s="258"/>
      <c r="U229" s="258"/>
      <c r="V229" s="258"/>
      <c r="W229" s="258"/>
      <c r="X229" s="258"/>
      <c r="Y229" s="258"/>
      <c r="Z229" s="258"/>
      <c r="AA229" s="258"/>
      <c r="AB229" s="258"/>
      <c r="AC229" s="258"/>
      <c r="AD229" s="258"/>
      <c r="AE229" s="258"/>
      <c r="AF229" s="258"/>
      <c r="AG229" s="258"/>
      <c r="AH229" s="258"/>
      <c r="AI229" s="258"/>
      <c r="AJ229" s="258"/>
      <c r="AK229" s="258"/>
      <c r="AL229" s="258"/>
      <c r="AM229" s="258"/>
      <c r="AN229" s="258"/>
      <c r="AO229" s="115"/>
      <c r="AP229" s="115"/>
      <c r="AQ229" s="115"/>
      <c r="AR229" s="115"/>
      <c r="AS229" s="115"/>
      <c r="AT229" s="115"/>
      <c r="AU229" s="115"/>
      <c r="AV229" s="115"/>
    </row>
    <row r="230" spans="1:48" ht="21" customHeight="1" thickBot="1" x14ac:dyDescent="0.45">
      <c r="A230" s="115"/>
      <c r="B230" s="1298"/>
      <c r="C230" s="1298"/>
      <c r="D230" s="115"/>
      <c r="E230" s="434"/>
      <c r="F230" s="434"/>
      <c r="G230" s="258"/>
      <c r="H230" s="258"/>
      <c r="I230" s="258"/>
      <c r="J230" s="258"/>
      <c r="K230" s="258"/>
      <c r="L230" s="258"/>
      <c r="M230" s="258"/>
      <c r="N230" s="258"/>
      <c r="O230" s="258"/>
      <c r="P230" s="258"/>
      <c r="Q230" s="258"/>
      <c r="R230" s="258"/>
      <c r="S230" s="258"/>
      <c r="T230" s="258"/>
      <c r="U230" s="258"/>
      <c r="V230" s="258"/>
      <c r="W230" s="258"/>
      <c r="X230" s="258"/>
      <c r="Y230" s="258"/>
      <c r="Z230" s="258"/>
      <c r="AA230" s="258"/>
      <c r="AB230" s="258"/>
      <c r="AC230" s="258"/>
      <c r="AD230" s="258"/>
      <c r="AE230" s="258"/>
      <c r="AF230" s="258"/>
      <c r="AG230" s="258"/>
      <c r="AH230" s="258"/>
      <c r="AI230" s="258"/>
      <c r="AJ230" s="258"/>
      <c r="AK230" s="258"/>
      <c r="AL230" s="258"/>
      <c r="AM230" s="258"/>
      <c r="AN230" s="258"/>
      <c r="AO230" s="115"/>
      <c r="AP230" s="115"/>
      <c r="AQ230" s="115"/>
      <c r="AR230" s="115"/>
      <c r="AS230" s="115"/>
      <c r="AT230" s="115"/>
      <c r="AU230" s="115"/>
      <c r="AV230" s="115"/>
    </row>
    <row r="231" spans="1:48" ht="21" customHeight="1" thickBot="1" x14ac:dyDescent="0.45">
      <c r="A231" s="115"/>
      <c r="B231" s="1298"/>
      <c r="C231" s="1298"/>
      <c r="D231" s="115"/>
      <c r="E231" s="434"/>
      <c r="F231" s="434"/>
      <c r="G231" s="258"/>
      <c r="H231" s="258"/>
      <c r="I231" s="258"/>
      <c r="J231" s="258"/>
      <c r="K231" s="258"/>
      <c r="L231" s="258"/>
      <c r="M231" s="258"/>
      <c r="N231" s="258"/>
      <c r="O231" s="258"/>
      <c r="P231" s="258"/>
      <c r="Q231" s="258"/>
      <c r="R231" s="258"/>
      <c r="S231" s="258"/>
      <c r="T231" s="258"/>
      <c r="U231" s="258"/>
      <c r="V231" s="258"/>
      <c r="W231" s="258"/>
      <c r="X231" s="258"/>
      <c r="Y231" s="258"/>
      <c r="Z231" s="258"/>
      <c r="AA231" s="258"/>
      <c r="AB231" s="258"/>
      <c r="AC231" s="258"/>
      <c r="AD231" s="258"/>
      <c r="AE231" s="258"/>
      <c r="AF231" s="258"/>
      <c r="AG231" s="258"/>
      <c r="AH231" s="258"/>
      <c r="AI231" s="258"/>
      <c r="AJ231" s="258"/>
      <c r="AK231" s="258"/>
      <c r="AL231" s="258"/>
      <c r="AM231" s="258"/>
      <c r="AN231" s="258"/>
      <c r="AO231" s="115"/>
      <c r="AP231" s="115"/>
      <c r="AQ231" s="115"/>
      <c r="AR231" s="115"/>
      <c r="AS231" s="115"/>
      <c r="AT231" s="115"/>
      <c r="AU231" s="115"/>
      <c r="AV231" s="115"/>
    </row>
    <row r="232" spans="1:48" ht="21" customHeight="1" thickBot="1" x14ac:dyDescent="0.45">
      <c r="A232" s="115"/>
      <c r="B232" s="1298"/>
      <c r="C232" s="1298"/>
      <c r="D232" s="115"/>
      <c r="E232" s="434"/>
      <c r="F232" s="434"/>
      <c r="G232" s="258"/>
      <c r="H232" s="258"/>
      <c r="I232" s="258"/>
      <c r="J232" s="258"/>
      <c r="K232" s="258"/>
      <c r="L232" s="258"/>
      <c r="M232" s="258"/>
      <c r="N232" s="258"/>
      <c r="O232" s="258"/>
      <c r="P232" s="258"/>
      <c r="Q232" s="258"/>
      <c r="R232" s="258"/>
      <c r="S232" s="258"/>
      <c r="T232" s="258"/>
      <c r="U232" s="258"/>
      <c r="V232" s="258"/>
      <c r="W232" s="258"/>
      <c r="X232" s="258"/>
      <c r="Y232" s="258"/>
      <c r="Z232" s="258"/>
      <c r="AA232" s="258"/>
      <c r="AB232" s="258"/>
      <c r="AC232" s="258"/>
      <c r="AD232" s="258"/>
      <c r="AE232" s="258"/>
      <c r="AF232" s="258"/>
      <c r="AG232" s="258"/>
      <c r="AH232" s="258"/>
      <c r="AI232" s="258"/>
      <c r="AJ232" s="258"/>
      <c r="AK232" s="258"/>
      <c r="AL232" s="258"/>
      <c r="AM232" s="258"/>
      <c r="AN232" s="258"/>
      <c r="AO232" s="115"/>
      <c r="AP232" s="115"/>
      <c r="AQ232" s="115"/>
      <c r="AR232" s="115"/>
      <c r="AS232" s="115"/>
      <c r="AT232" s="115"/>
      <c r="AU232" s="115"/>
      <c r="AV232" s="115"/>
    </row>
    <row r="233" spans="1:48" ht="21" customHeight="1" thickBot="1" x14ac:dyDescent="0.45">
      <c r="A233" s="115"/>
      <c r="B233" s="1298"/>
      <c r="C233" s="1298"/>
      <c r="D233" s="115"/>
      <c r="E233" s="434"/>
      <c r="F233" s="434"/>
      <c r="G233" s="258"/>
      <c r="H233" s="258"/>
      <c r="I233" s="258"/>
      <c r="J233" s="258"/>
      <c r="K233" s="258"/>
      <c r="L233" s="258"/>
      <c r="M233" s="258"/>
      <c r="N233" s="258"/>
      <c r="O233" s="258"/>
      <c r="P233" s="258"/>
      <c r="Q233" s="258"/>
      <c r="R233" s="258"/>
      <c r="S233" s="258"/>
      <c r="T233" s="258"/>
      <c r="U233" s="258"/>
      <c r="V233" s="258"/>
      <c r="W233" s="258"/>
      <c r="X233" s="258"/>
      <c r="Y233" s="258"/>
      <c r="Z233" s="258"/>
      <c r="AA233" s="258"/>
      <c r="AB233" s="258"/>
      <c r="AC233" s="258"/>
      <c r="AD233" s="258"/>
      <c r="AE233" s="258"/>
      <c r="AF233" s="258"/>
      <c r="AG233" s="258"/>
      <c r="AH233" s="258"/>
      <c r="AI233" s="258"/>
      <c r="AJ233" s="258"/>
      <c r="AK233" s="258"/>
      <c r="AL233" s="258"/>
      <c r="AM233" s="258"/>
      <c r="AN233" s="258"/>
      <c r="AO233" s="115"/>
      <c r="AP233" s="115"/>
      <c r="AQ233" s="115"/>
      <c r="AR233" s="115"/>
      <c r="AS233" s="115"/>
      <c r="AT233" s="115"/>
      <c r="AU233" s="115"/>
      <c r="AV233" s="115"/>
    </row>
    <row r="234" spans="1:48" ht="21" customHeight="1" thickBot="1" x14ac:dyDescent="0.45">
      <c r="A234" s="115"/>
      <c r="B234" s="1298"/>
      <c r="C234" s="1298"/>
      <c r="D234" s="115"/>
      <c r="E234" s="434"/>
      <c r="F234" s="434"/>
      <c r="G234" s="258"/>
      <c r="H234" s="258"/>
      <c r="I234" s="258"/>
      <c r="J234" s="258"/>
      <c r="K234" s="258"/>
      <c r="L234" s="258"/>
      <c r="M234" s="258"/>
      <c r="N234" s="258"/>
      <c r="O234" s="258"/>
      <c r="P234" s="258"/>
      <c r="Q234" s="258"/>
      <c r="R234" s="258"/>
      <c r="S234" s="258"/>
      <c r="T234" s="258"/>
      <c r="U234" s="258"/>
      <c r="V234" s="258"/>
      <c r="W234" s="258"/>
      <c r="X234" s="258"/>
      <c r="Y234" s="258"/>
      <c r="Z234" s="258"/>
      <c r="AA234" s="258"/>
      <c r="AB234" s="258"/>
      <c r="AC234" s="258"/>
      <c r="AD234" s="258"/>
      <c r="AE234" s="258"/>
      <c r="AF234" s="258"/>
      <c r="AG234" s="258"/>
      <c r="AH234" s="258"/>
      <c r="AI234" s="258"/>
      <c r="AJ234" s="258"/>
      <c r="AK234" s="258"/>
      <c r="AL234" s="258"/>
      <c r="AM234" s="258"/>
      <c r="AN234" s="258"/>
      <c r="AO234" s="115"/>
      <c r="AP234" s="115"/>
      <c r="AQ234" s="115"/>
      <c r="AR234" s="115"/>
      <c r="AS234" s="115"/>
      <c r="AT234" s="115"/>
      <c r="AU234" s="115"/>
      <c r="AV234" s="115"/>
    </row>
    <row r="235" spans="1:48" ht="21" customHeight="1" thickBot="1" x14ac:dyDescent="0.45">
      <c r="A235" s="115"/>
      <c r="B235" s="1298"/>
      <c r="C235" s="1298"/>
      <c r="D235" s="115"/>
      <c r="E235" s="434"/>
      <c r="F235" s="434"/>
      <c r="G235" s="258"/>
      <c r="H235" s="258"/>
      <c r="I235" s="258"/>
      <c r="J235" s="258"/>
      <c r="K235" s="258"/>
      <c r="L235" s="258"/>
      <c r="M235" s="258"/>
      <c r="N235" s="258"/>
      <c r="O235" s="258"/>
      <c r="P235" s="258"/>
      <c r="Q235" s="258"/>
      <c r="R235" s="258"/>
      <c r="S235" s="258"/>
      <c r="T235" s="258"/>
      <c r="U235" s="258"/>
      <c r="V235" s="258"/>
      <c r="W235" s="258"/>
      <c r="X235" s="258"/>
      <c r="Y235" s="258"/>
      <c r="Z235" s="258"/>
      <c r="AA235" s="258"/>
      <c r="AB235" s="258"/>
      <c r="AC235" s="258"/>
      <c r="AD235" s="258"/>
      <c r="AE235" s="258"/>
      <c r="AF235" s="258"/>
      <c r="AG235" s="258"/>
      <c r="AH235" s="258"/>
      <c r="AI235" s="258"/>
      <c r="AJ235" s="258"/>
      <c r="AK235" s="258"/>
      <c r="AL235" s="258"/>
      <c r="AM235" s="258"/>
      <c r="AN235" s="258"/>
      <c r="AO235" s="115"/>
      <c r="AP235" s="115"/>
      <c r="AQ235" s="115"/>
      <c r="AR235" s="115"/>
      <c r="AS235" s="115"/>
      <c r="AT235" s="115"/>
      <c r="AU235" s="115"/>
      <c r="AV235" s="115"/>
    </row>
    <row r="236" spans="1:48" ht="21" customHeight="1" thickBot="1" x14ac:dyDescent="0.45">
      <c r="A236" s="115"/>
      <c r="B236" s="1298"/>
      <c r="C236" s="1298"/>
      <c r="D236" s="115"/>
      <c r="E236" s="434"/>
      <c r="F236" s="434"/>
      <c r="G236" s="258"/>
      <c r="H236" s="258"/>
      <c r="I236" s="258"/>
      <c r="J236" s="258"/>
      <c r="K236" s="258"/>
      <c r="L236" s="258"/>
      <c r="M236" s="258"/>
      <c r="N236" s="258"/>
      <c r="O236" s="258"/>
      <c r="P236" s="258"/>
      <c r="Q236" s="258"/>
      <c r="R236" s="258"/>
      <c r="S236" s="258"/>
      <c r="T236" s="258"/>
      <c r="U236" s="258"/>
      <c r="V236" s="258"/>
      <c r="W236" s="258"/>
      <c r="X236" s="258"/>
      <c r="Y236" s="258"/>
      <c r="Z236" s="258"/>
      <c r="AA236" s="258"/>
      <c r="AB236" s="258"/>
      <c r="AC236" s="258"/>
      <c r="AD236" s="258"/>
      <c r="AE236" s="258"/>
      <c r="AF236" s="258"/>
      <c r="AG236" s="258"/>
      <c r="AH236" s="258"/>
      <c r="AI236" s="258"/>
      <c r="AJ236" s="258"/>
      <c r="AK236" s="258"/>
      <c r="AL236" s="258"/>
      <c r="AM236" s="258"/>
      <c r="AN236" s="258"/>
      <c r="AO236" s="115"/>
      <c r="AP236" s="115"/>
      <c r="AQ236" s="115"/>
      <c r="AR236" s="115"/>
      <c r="AS236" s="115"/>
      <c r="AT236" s="115"/>
      <c r="AU236" s="115"/>
      <c r="AV236" s="115"/>
    </row>
    <row r="237" spans="1:48" ht="21" customHeight="1" thickBot="1" x14ac:dyDescent="0.45">
      <c r="A237" s="115"/>
      <c r="B237" s="1298"/>
      <c r="C237" s="1298"/>
      <c r="D237" s="115"/>
      <c r="E237" s="434"/>
      <c r="F237" s="434"/>
      <c r="G237" s="258"/>
      <c r="H237" s="258"/>
      <c r="I237" s="258"/>
      <c r="J237" s="258"/>
      <c r="K237" s="258"/>
      <c r="L237" s="258"/>
      <c r="M237" s="258"/>
      <c r="N237" s="258"/>
      <c r="O237" s="258"/>
      <c r="P237" s="258"/>
      <c r="Q237" s="258"/>
      <c r="R237" s="258"/>
      <c r="S237" s="258"/>
      <c r="T237" s="258"/>
      <c r="U237" s="258"/>
      <c r="V237" s="258"/>
      <c r="W237" s="258"/>
      <c r="X237" s="258"/>
      <c r="Y237" s="258"/>
      <c r="Z237" s="258"/>
      <c r="AA237" s="258"/>
      <c r="AB237" s="258"/>
      <c r="AC237" s="258"/>
      <c r="AD237" s="258"/>
      <c r="AE237" s="258"/>
      <c r="AF237" s="258"/>
      <c r="AG237" s="258"/>
      <c r="AH237" s="258"/>
      <c r="AI237" s="258"/>
      <c r="AJ237" s="258"/>
      <c r="AK237" s="258"/>
      <c r="AL237" s="258"/>
      <c r="AM237" s="258"/>
      <c r="AN237" s="258"/>
      <c r="AO237" s="115"/>
      <c r="AP237" s="115"/>
      <c r="AQ237" s="115"/>
      <c r="AR237" s="115"/>
      <c r="AS237" s="115"/>
      <c r="AT237" s="115"/>
      <c r="AU237" s="115"/>
      <c r="AV237" s="115"/>
    </row>
    <row r="238" spans="1:48" ht="21" customHeight="1" thickBot="1" x14ac:dyDescent="0.45">
      <c r="A238" s="115"/>
      <c r="B238" s="1298"/>
      <c r="C238" s="1298"/>
      <c r="D238" s="115"/>
      <c r="E238" s="434"/>
      <c r="F238" s="434"/>
      <c r="G238" s="258"/>
      <c r="H238" s="258"/>
      <c r="I238" s="258"/>
      <c r="J238" s="258"/>
      <c r="K238" s="258"/>
      <c r="L238" s="258"/>
      <c r="M238" s="258"/>
      <c r="N238" s="258"/>
      <c r="O238" s="258"/>
      <c r="P238" s="258"/>
      <c r="Q238" s="258"/>
      <c r="R238" s="258"/>
      <c r="S238" s="258"/>
      <c r="T238" s="258"/>
      <c r="U238" s="258"/>
      <c r="V238" s="258"/>
      <c r="W238" s="258"/>
      <c r="X238" s="258"/>
      <c r="Y238" s="258"/>
      <c r="Z238" s="258"/>
      <c r="AA238" s="258"/>
      <c r="AB238" s="258"/>
      <c r="AC238" s="258"/>
      <c r="AD238" s="258"/>
      <c r="AE238" s="258"/>
      <c r="AF238" s="258"/>
      <c r="AG238" s="258"/>
      <c r="AH238" s="258"/>
      <c r="AI238" s="258"/>
      <c r="AJ238" s="258"/>
      <c r="AK238" s="258"/>
      <c r="AL238" s="258"/>
      <c r="AM238" s="258"/>
      <c r="AN238" s="258"/>
      <c r="AO238" s="115"/>
      <c r="AP238" s="115"/>
      <c r="AQ238" s="115"/>
      <c r="AR238" s="115"/>
      <c r="AS238" s="115"/>
      <c r="AT238" s="115"/>
      <c r="AU238" s="115"/>
      <c r="AV238" s="115"/>
    </row>
    <row r="239" spans="1:48" ht="21" customHeight="1" thickBot="1" x14ac:dyDescent="0.45">
      <c r="A239" s="115"/>
      <c r="B239" s="1298"/>
      <c r="C239" s="1298"/>
      <c r="D239" s="115"/>
      <c r="E239" s="434"/>
      <c r="F239" s="434"/>
      <c r="G239" s="258"/>
      <c r="H239" s="258"/>
      <c r="I239" s="258"/>
      <c r="J239" s="258"/>
      <c r="K239" s="258"/>
      <c r="L239" s="258"/>
      <c r="M239" s="258"/>
      <c r="N239" s="258"/>
      <c r="O239" s="258"/>
      <c r="P239" s="258"/>
      <c r="Q239" s="258"/>
      <c r="R239" s="258"/>
      <c r="S239" s="258"/>
      <c r="T239" s="258"/>
      <c r="U239" s="258"/>
      <c r="V239" s="258"/>
      <c r="W239" s="258"/>
      <c r="X239" s="258"/>
      <c r="Y239" s="258"/>
      <c r="Z239" s="258"/>
      <c r="AA239" s="258"/>
      <c r="AB239" s="258"/>
      <c r="AC239" s="258"/>
      <c r="AD239" s="258"/>
      <c r="AE239" s="258"/>
      <c r="AF239" s="258"/>
      <c r="AG239" s="258"/>
      <c r="AH239" s="258"/>
      <c r="AI239" s="258"/>
      <c r="AJ239" s="258"/>
      <c r="AK239" s="258"/>
      <c r="AL239" s="258"/>
      <c r="AM239" s="258"/>
      <c r="AN239" s="258"/>
      <c r="AO239" s="115"/>
      <c r="AP239" s="115"/>
      <c r="AQ239" s="115"/>
      <c r="AR239" s="115"/>
      <c r="AS239" s="115"/>
      <c r="AT239" s="115"/>
      <c r="AU239" s="115"/>
      <c r="AV239" s="115"/>
    </row>
    <row r="240" spans="1:48" ht="21" customHeight="1" thickBot="1" x14ac:dyDescent="0.45">
      <c r="A240" s="115"/>
      <c r="B240" s="1298"/>
      <c r="C240" s="1298"/>
      <c r="D240" s="115"/>
      <c r="E240" s="434"/>
      <c r="F240" s="434"/>
      <c r="G240" s="258"/>
      <c r="H240" s="258"/>
      <c r="I240" s="258"/>
      <c r="J240" s="258"/>
      <c r="K240" s="258"/>
      <c r="L240" s="258"/>
      <c r="M240" s="258"/>
      <c r="N240" s="258"/>
      <c r="O240" s="258"/>
      <c r="P240" s="258"/>
      <c r="Q240" s="258"/>
      <c r="R240" s="258"/>
      <c r="S240" s="258"/>
      <c r="T240" s="258"/>
      <c r="U240" s="258"/>
      <c r="V240" s="258"/>
      <c r="W240" s="258"/>
      <c r="X240" s="258"/>
      <c r="Y240" s="258"/>
      <c r="Z240" s="258"/>
      <c r="AA240" s="258"/>
      <c r="AB240" s="258"/>
      <c r="AC240" s="258"/>
      <c r="AD240" s="258"/>
      <c r="AE240" s="258"/>
      <c r="AF240" s="258"/>
      <c r="AG240" s="258"/>
      <c r="AH240" s="258"/>
      <c r="AI240" s="258"/>
      <c r="AJ240" s="258"/>
      <c r="AK240" s="258"/>
      <c r="AL240" s="258"/>
      <c r="AM240" s="258"/>
      <c r="AN240" s="258"/>
      <c r="AO240" s="115"/>
      <c r="AP240" s="115"/>
      <c r="AQ240" s="115"/>
      <c r="AR240" s="115"/>
      <c r="AS240" s="115"/>
      <c r="AT240" s="115"/>
      <c r="AU240" s="115"/>
      <c r="AV240" s="115"/>
    </row>
    <row r="241" spans="1:48" ht="21" customHeight="1" thickBot="1" x14ac:dyDescent="0.45">
      <c r="A241" s="115"/>
      <c r="B241" s="1298"/>
      <c r="C241" s="1298"/>
      <c r="D241" s="115"/>
      <c r="E241" s="434"/>
      <c r="F241" s="434"/>
      <c r="G241" s="258"/>
      <c r="H241" s="258"/>
      <c r="I241" s="258"/>
      <c r="J241" s="258"/>
      <c r="K241" s="258"/>
      <c r="L241" s="258"/>
      <c r="M241" s="258"/>
      <c r="N241" s="258"/>
      <c r="O241" s="258"/>
      <c r="P241" s="258"/>
      <c r="Q241" s="258"/>
      <c r="R241" s="258"/>
      <c r="S241" s="258"/>
      <c r="T241" s="258"/>
      <c r="U241" s="258"/>
      <c r="V241" s="258"/>
      <c r="W241" s="258"/>
      <c r="X241" s="258"/>
      <c r="Y241" s="258"/>
      <c r="Z241" s="258"/>
      <c r="AA241" s="258"/>
      <c r="AB241" s="258"/>
      <c r="AC241" s="258"/>
      <c r="AD241" s="258"/>
      <c r="AE241" s="258"/>
      <c r="AF241" s="258"/>
      <c r="AG241" s="258"/>
      <c r="AH241" s="258"/>
      <c r="AI241" s="258"/>
      <c r="AJ241" s="258"/>
      <c r="AK241" s="258"/>
      <c r="AL241" s="258"/>
      <c r="AM241" s="258"/>
      <c r="AN241" s="258"/>
      <c r="AO241" s="115"/>
      <c r="AP241" s="115"/>
      <c r="AQ241" s="115"/>
      <c r="AR241" s="115"/>
      <c r="AS241" s="115"/>
      <c r="AT241" s="115"/>
      <c r="AU241" s="115"/>
      <c r="AV241" s="115"/>
    </row>
    <row r="242" spans="1:48" ht="21" customHeight="1" thickBot="1" x14ac:dyDescent="0.45">
      <c r="A242" s="115"/>
      <c r="B242" s="1298"/>
      <c r="C242" s="1298"/>
      <c r="D242" s="115"/>
      <c r="E242" s="434"/>
      <c r="F242" s="434"/>
      <c r="G242" s="258"/>
      <c r="H242" s="258"/>
      <c r="I242" s="258"/>
      <c r="J242" s="258"/>
      <c r="K242" s="258"/>
      <c r="L242" s="258"/>
      <c r="M242" s="258"/>
      <c r="N242" s="258"/>
      <c r="O242" s="258"/>
      <c r="P242" s="258"/>
      <c r="Q242" s="258"/>
      <c r="R242" s="258"/>
      <c r="S242" s="258"/>
      <c r="T242" s="258"/>
      <c r="U242" s="258"/>
      <c r="V242" s="258"/>
      <c r="W242" s="258"/>
      <c r="X242" s="258"/>
      <c r="Y242" s="258"/>
      <c r="Z242" s="258"/>
      <c r="AA242" s="258"/>
      <c r="AB242" s="258"/>
      <c r="AC242" s="258"/>
      <c r="AD242" s="258"/>
      <c r="AE242" s="258"/>
      <c r="AF242" s="258"/>
      <c r="AG242" s="258"/>
      <c r="AH242" s="258"/>
      <c r="AI242" s="258"/>
      <c r="AJ242" s="258"/>
      <c r="AK242" s="258"/>
      <c r="AL242" s="258"/>
      <c r="AM242" s="258"/>
      <c r="AN242" s="258"/>
      <c r="AO242" s="115"/>
      <c r="AP242" s="115"/>
      <c r="AQ242" s="115"/>
      <c r="AR242" s="115"/>
      <c r="AS242" s="115"/>
      <c r="AT242" s="115"/>
      <c r="AU242" s="115"/>
      <c r="AV242" s="115"/>
    </row>
    <row r="243" spans="1:48" ht="21" customHeight="1" thickBot="1" x14ac:dyDescent="0.45">
      <c r="A243" s="115"/>
      <c r="B243" s="1298"/>
      <c r="C243" s="1298"/>
      <c r="D243" s="115"/>
      <c r="E243" s="434"/>
      <c r="F243" s="434"/>
      <c r="G243" s="258"/>
      <c r="H243" s="258"/>
      <c r="I243" s="258"/>
      <c r="J243" s="258"/>
      <c r="K243" s="258"/>
      <c r="L243" s="258"/>
      <c r="M243" s="258"/>
      <c r="N243" s="258"/>
      <c r="O243" s="258"/>
      <c r="P243" s="258"/>
      <c r="Q243" s="258"/>
      <c r="R243" s="258"/>
      <c r="S243" s="258"/>
      <c r="T243" s="258"/>
      <c r="U243" s="258"/>
      <c r="V243" s="258"/>
      <c r="W243" s="258"/>
      <c r="X243" s="258"/>
      <c r="Y243" s="258"/>
      <c r="Z243" s="258"/>
      <c r="AA243" s="258"/>
      <c r="AB243" s="258"/>
      <c r="AC243" s="258"/>
      <c r="AD243" s="258"/>
      <c r="AE243" s="258"/>
      <c r="AF243" s="258"/>
      <c r="AG243" s="258"/>
      <c r="AH243" s="258"/>
      <c r="AI243" s="258"/>
      <c r="AJ243" s="258"/>
      <c r="AK243" s="258"/>
      <c r="AL243" s="258"/>
      <c r="AM243" s="258"/>
      <c r="AN243" s="258"/>
      <c r="AO243" s="115"/>
      <c r="AP243" s="115"/>
      <c r="AQ243" s="115"/>
      <c r="AR243" s="115"/>
      <c r="AS243" s="115"/>
      <c r="AT243" s="115"/>
      <c r="AU243" s="115"/>
      <c r="AV243" s="115"/>
    </row>
    <row r="244" spans="1:48" ht="21" customHeight="1" thickBot="1" x14ac:dyDescent="0.45">
      <c r="A244" s="115"/>
      <c r="B244" s="1298"/>
      <c r="C244" s="1298"/>
      <c r="D244" s="115"/>
      <c r="E244" s="434"/>
      <c r="F244" s="434"/>
      <c r="G244" s="258"/>
      <c r="H244" s="258"/>
      <c r="I244" s="258"/>
      <c r="J244" s="258"/>
      <c r="K244" s="258"/>
      <c r="L244" s="258"/>
      <c r="M244" s="258"/>
      <c r="N244" s="258"/>
      <c r="O244" s="258"/>
      <c r="P244" s="258"/>
      <c r="Q244" s="258"/>
      <c r="R244" s="258"/>
      <c r="S244" s="258"/>
      <c r="T244" s="258"/>
      <c r="U244" s="258"/>
      <c r="V244" s="258"/>
      <c r="W244" s="258"/>
      <c r="X244" s="258"/>
      <c r="Y244" s="258"/>
      <c r="Z244" s="258"/>
      <c r="AA244" s="258"/>
      <c r="AB244" s="258"/>
      <c r="AC244" s="258"/>
      <c r="AD244" s="258"/>
      <c r="AE244" s="258"/>
      <c r="AF244" s="258"/>
      <c r="AG244" s="258"/>
      <c r="AH244" s="258"/>
      <c r="AI244" s="258"/>
      <c r="AJ244" s="258"/>
      <c r="AK244" s="258"/>
      <c r="AL244" s="258"/>
      <c r="AM244" s="258"/>
      <c r="AN244" s="258"/>
      <c r="AO244" s="115"/>
      <c r="AP244" s="115"/>
      <c r="AQ244" s="115"/>
      <c r="AR244" s="115"/>
      <c r="AS244" s="115"/>
      <c r="AT244" s="115"/>
      <c r="AU244" s="115"/>
      <c r="AV244" s="115"/>
    </row>
    <row r="245" spans="1:48" ht="21" customHeight="1" thickBot="1" x14ac:dyDescent="0.45">
      <c r="A245" s="115"/>
      <c r="B245" s="1298"/>
      <c r="C245" s="1298"/>
      <c r="D245" s="115"/>
      <c r="E245" s="434"/>
      <c r="F245" s="434"/>
      <c r="G245" s="258"/>
      <c r="H245" s="258"/>
      <c r="I245" s="258"/>
      <c r="J245" s="258"/>
      <c r="K245" s="258"/>
      <c r="L245" s="258"/>
      <c r="M245" s="258"/>
      <c r="N245" s="258"/>
      <c r="O245" s="258"/>
      <c r="P245" s="258"/>
      <c r="Q245" s="258"/>
      <c r="R245" s="258"/>
      <c r="S245" s="258"/>
      <c r="T245" s="258"/>
      <c r="U245" s="258"/>
      <c r="V245" s="258"/>
      <c r="W245" s="258"/>
      <c r="X245" s="258"/>
      <c r="Y245" s="258"/>
      <c r="Z245" s="258"/>
      <c r="AA245" s="258"/>
      <c r="AB245" s="258"/>
      <c r="AC245" s="258"/>
      <c r="AD245" s="258"/>
      <c r="AE245" s="258"/>
      <c r="AF245" s="258"/>
      <c r="AG245" s="258"/>
      <c r="AH245" s="258"/>
      <c r="AI245" s="258"/>
      <c r="AJ245" s="258"/>
      <c r="AK245" s="258"/>
      <c r="AL245" s="258"/>
      <c r="AM245" s="258"/>
      <c r="AN245" s="258"/>
      <c r="AO245" s="115"/>
      <c r="AP245" s="115"/>
      <c r="AQ245" s="115"/>
      <c r="AR245" s="115"/>
      <c r="AS245" s="115"/>
      <c r="AT245" s="115"/>
      <c r="AU245" s="115"/>
      <c r="AV245" s="115"/>
    </row>
    <row r="246" spans="1:48" ht="21" customHeight="1" thickBot="1" x14ac:dyDescent="0.45">
      <c r="A246" s="115"/>
      <c r="B246" s="1298"/>
      <c r="C246" s="1298"/>
      <c r="D246" s="115"/>
      <c r="E246" s="434"/>
      <c r="F246" s="434"/>
      <c r="G246" s="258"/>
      <c r="H246" s="258"/>
      <c r="I246" s="258"/>
      <c r="J246" s="258"/>
      <c r="K246" s="258"/>
      <c r="L246" s="258"/>
      <c r="M246" s="258"/>
      <c r="N246" s="258"/>
      <c r="O246" s="258"/>
      <c r="P246" s="258"/>
      <c r="Q246" s="258"/>
      <c r="R246" s="258"/>
      <c r="S246" s="258"/>
      <c r="T246" s="258"/>
      <c r="U246" s="258"/>
      <c r="V246" s="258"/>
      <c r="W246" s="258"/>
      <c r="X246" s="258"/>
      <c r="Y246" s="258"/>
      <c r="Z246" s="258"/>
      <c r="AA246" s="258"/>
      <c r="AB246" s="258"/>
      <c r="AC246" s="258"/>
      <c r="AD246" s="258"/>
      <c r="AE246" s="258"/>
      <c r="AF246" s="258"/>
      <c r="AG246" s="258"/>
      <c r="AH246" s="258"/>
      <c r="AI246" s="258"/>
      <c r="AJ246" s="258"/>
      <c r="AK246" s="258"/>
      <c r="AL246" s="258"/>
      <c r="AM246" s="258"/>
      <c r="AN246" s="258"/>
      <c r="AO246" s="115"/>
      <c r="AP246" s="115"/>
      <c r="AQ246" s="115"/>
      <c r="AR246" s="115"/>
      <c r="AS246" s="115"/>
      <c r="AT246" s="115"/>
      <c r="AU246" s="115"/>
      <c r="AV246" s="115"/>
    </row>
    <row r="247" spans="1:48" ht="21" customHeight="1" thickBot="1" x14ac:dyDescent="0.45">
      <c r="A247" s="115"/>
      <c r="B247" s="1298"/>
      <c r="C247" s="1298"/>
      <c r="D247" s="115"/>
      <c r="E247" s="434"/>
      <c r="F247" s="434"/>
      <c r="G247" s="258"/>
      <c r="H247" s="258"/>
      <c r="I247" s="258"/>
      <c r="J247" s="258"/>
      <c r="K247" s="258"/>
      <c r="L247" s="258"/>
      <c r="M247" s="258"/>
      <c r="N247" s="258"/>
      <c r="O247" s="258"/>
      <c r="P247" s="258"/>
      <c r="Q247" s="258"/>
      <c r="R247" s="258"/>
      <c r="S247" s="258"/>
      <c r="T247" s="258"/>
      <c r="U247" s="258"/>
      <c r="V247" s="258"/>
      <c r="W247" s="258"/>
      <c r="X247" s="258"/>
      <c r="Y247" s="258"/>
      <c r="Z247" s="258"/>
      <c r="AA247" s="258"/>
      <c r="AB247" s="258"/>
      <c r="AC247" s="258"/>
      <c r="AD247" s="258"/>
      <c r="AE247" s="258"/>
      <c r="AF247" s="258"/>
      <c r="AG247" s="258"/>
      <c r="AH247" s="258"/>
      <c r="AI247" s="258"/>
      <c r="AJ247" s="258"/>
      <c r="AK247" s="258"/>
      <c r="AL247" s="258"/>
      <c r="AM247" s="258"/>
      <c r="AN247" s="258"/>
      <c r="AO247" s="115"/>
      <c r="AP247" s="115"/>
      <c r="AQ247" s="115"/>
      <c r="AR247" s="115"/>
      <c r="AS247" s="115"/>
      <c r="AT247" s="115"/>
      <c r="AU247" s="115"/>
      <c r="AV247" s="115"/>
    </row>
    <row r="248" spans="1:48" ht="21" customHeight="1" thickBot="1" x14ac:dyDescent="0.45">
      <c r="A248" s="115"/>
      <c r="B248" s="1298"/>
      <c r="C248" s="1298"/>
      <c r="D248" s="115"/>
      <c r="E248" s="434"/>
      <c r="F248" s="434"/>
      <c r="G248" s="258"/>
      <c r="H248" s="258"/>
      <c r="I248" s="258"/>
      <c r="J248" s="258"/>
      <c r="K248" s="258"/>
      <c r="L248" s="258"/>
      <c r="M248" s="258"/>
      <c r="N248" s="258"/>
      <c r="O248" s="258"/>
      <c r="P248" s="258"/>
      <c r="Q248" s="258"/>
      <c r="R248" s="258"/>
      <c r="S248" s="258"/>
      <c r="T248" s="258"/>
      <c r="U248" s="258"/>
      <c r="V248" s="258"/>
      <c r="W248" s="258"/>
      <c r="X248" s="258"/>
      <c r="Y248" s="258"/>
      <c r="Z248" s="258"/>
      <c r="AA248" s="258"/>
      <c r="AB248" s="258"/>
      <c r="AC248" s="258"/>
      <c r="AD248" s="258"/>
      <c r="AE248" s="258"/>
      <c r="AF248" s="258"/>
      <c r="AG248" s="258"/>
      <c r="AH248" s="258"/>
      <c r="AI248" s="258"/>
      <c r="AJ248" s="258"/>
      <c r="AK248" s="258"/>
      <c r="AL248" s="258"/>
      <c r="AM248" s="258"/>
      <c r="AN248" s="258"/>
      <c r="AO248" s="115"/>
      <c r="AP248" s="115"/>
      <c r="AQ248" s="115"/>
      <c r="AR248" s="115"/>
      <c r="AS248" s="115"/>
      <c r="AT248" s="115"/>
      <c r="AU248" s="115"/>
      <c r="AV248" s="115"/>
    </row>
    <row r="249" spans="1:48" ht="21" customHeight="1" thickBot="1" x14ac:dyDescent="0.45">
      <c r="A249" s="115"/>
      <c r="B249" s="1298"/>
      <c r="C249" s="1298"/>
      <c r="D249" s="115"/>
      <c r="E249" s="434"/>
      <c r="F249" s="434"/>
      <c r="G249" s="258"/>
      <c r="H249" s="258"/>
      <c r="I249" s="258"/>
      <c r="J249" s="258"/>
      <c r="K249" s="258"/>
      <c r="L249" s="258"/>
      <c r="M249" s="258"/>
      <c r="N249" s="258"/>
      <c r="O249" s="258"/>
      <c r="P249" s="258"/>
      <c r="Q249" s="258"/>
      <c r="R249" s="258"/>
      <c r="S249" s="258"/>
      <c r="T249" s="258"/>
      <c r="U249" s="258"/>
      <c r="V249" s="258"/>
      <c r="W249" s="258"/>
      <c r="X249" s="258"/>
      <c r="Y249" s="258"/>
      <c r="Z249" s="258"/>
      <c r="AA249" s="258"/>
      <c r="AB249" s="258"/>
      <c r="AC249" s="258"/>
      <c r="AD249" s="258"/>
      <c r="AE249" s="258"/>
      <c r="AF249" s="258"/>
      <c r="AG249" s="258"/>
      <c r="AH249" s="258"/>
      <c r="AI249" s="258"/>
      <c r="AJ249" s="258"/>
      <c r="AK249" s="258"/>
      <c r="AL249" s="258"/>
      <c r="AM249" s="258"/>
      <c r="AN249" s="258"/>
      <c r="AO249" s="115"/>
      <c r="AP249" s="115"/>
      <c r="AQ249" s="115"/>
      <c r="AR249" s="115"/>
      <c r="AS249" s="115"/>
      <c r="AT249" s="115"/>
      <c r="AU249" s="115"/>
      <c r="AV249" s="115"/>
    </row>
    <row r="250" spans="1:48" ht="21" customHeight="1" thickBot="1" x14ac:dyDescent="0.45">
      <c r="A250" s="115"/>
      <c r="B250" s="1298"/>
      <c r="C250" s="1298"/>
      <c r="D250" s="115"/>
      <c r="E250" s="434"/>
      <c r="F250" s="434"/>
      <c r="G250" s="258"/>
      <c r="H250" s="258"/>
      <c r="I250" s="258"/>
      <c r="J250" s="258"/>
      <c r="K250" s="258"/>
      <c r="L250" s="258"/>
      <c r="M250" s="258"/>
      <c r="N250" s="258"/>
      <c r="O250" s="258"/>
      <c r="P250" s="258"/>
      <c r="Q250" s="258"/>
      <c r="R250" s="258"/>
      <c r="S250" s="258"/>
      <c r="T250" s="258"/>
      <c r="U250" s="258"/>
      <c r="V250" s="258"/>
      <c r="W250" s="258"/>
      <c r="X250" s="258"/>
      <c r="Y250" s="258"/>
      <c r="Z250" s="258"/>
      <c r="AA250" s="258"/>
      <c r="AB250" s="258"/>
      <c r="AC250" s="258"/>
      <c r="AD250" s="258"/>
      <c r="AE250" s="258"/>
      <c r="AF250" s="258"/>
      <c r="AG250" s="258"/>
      <c r="AH250" s="258"/>
      <c r="AI250" s="258"/>
      <c r="AJ250" s="258"/>
      <c r="AK250" s="258"/>
      <c r="AL250" s="258"/>
      <c r="AM250" s="258"/>
      <c r="AN250" s="258"/>
      <c r="AO250" s="115"/>
      <c r="AP250" s="115"/>
      <c r="AQ250" s="115"/>
      <c r="AR250" s="115"/>
      <c r="AS250" s="115"/>
      <c r="AT250" s="115"/>
      <c r="AU250" s="115"/>
      <c r="AV250" s="115"/>
    </row>
    <row r="251" spans="1:48" ht="21" customHeight="1" thickBot="1" x14ac:dyDescent="0.45">
      <c r="A251" s="115"/>
      <c r="B251" s="1298"/>
      <c r="C251" s="1298"/>
      <c r="D251" s="115"/>
      <c r="E251" s="434"/>
      <c r="F251" s="434"/>
      <c r="G251" s="258"/>
      <c r="H251" s="258"/>
      <c r="I251" s="258"/>
      <c r="J251" s="258"/>
      <c r="K251" s="258"/>
      <c r="L251" s="258"/>
      <c r="M251" s="258"/>
      <c r="N251" s="258"/>
      <c r="O251" s="258"/>
      <c r="P251" s="258"/>
      <c r="Q251" s="258"/>
      <c r="R251" s="258"/>
      <c r="S251" s="258"/>
      <c r="T251" s="258"/>
      <c r="U251" s="258"/>
      <c r="V251" s="258"/>
      <c r="W251" s="258"/>
      <c r="X251" s="258"/>
      <c r="Y251" s="258"/>
      <c r="Z251" s="258"/>
      <c r="AA251" s="258"/>
      <c r="AB251" s="258"/>
      <c r="AC251" s="258"/>
      <c r="AD251" s="258"/>
      <c r="AE251" s="258"/>
      <c r="AF251" s="258"/>
      <c r="AG251" s="258"/>
      <c r="AH251" s="258"/>
      <c r="AI251" s="258"/>
      <c r="AJ251" s="258"/>
      <c r="AK251" s="258"/>
      <c r="AL251" s="258"/>
      <c r="AM251" s="258"/>
      <c r="AN251" s="258"/>
      <c r="AO251" s="115"/>
      <c r="AP251" s="115"/>
      <c r="AQ251" s="115"/>
      <c r="AR251" s="115"/>
      <c r="AS251" s="115"/>
      <c r="AT251" s="115"/>
      <c r="AU251" s="115"/>
      <c r="AV251" s="115"/>
    </row>
    <row r="252" spans="1:48" ht="21" customHeight="1" thickBot="1" x14ac:dyDescent="0.45">
      <c r="A252" s="115"/>
      <c r="B252" s="1298"/>
      <c r="C252" s="1298"/>
      <c r="D252" s="115"/>
      <c r="E252" s="434"/>
      <c r="F252" s="434"/>
      <c r="G252" s="258"/>
      <c r="H252" s="258"/>
      <c r="I252" s="258"/>
      <c r="J252" s="258"/>
      <c r="K252" s="258"/>
      <c r="L252" s="258"/>
      <c r="M252" s="258"/>
      <c r="N252" s="258"/>
      <c r="O252" s="258"/>
      <c r="P252" s="258"/>
      <c r="Q252" s="258"/>
      <c r="R252" s="258"/>
      <c r="S252" s="258"/>
      <c r="T252" s="258"/>
      <c r="U252" s="258"/>
      <c r="V252" s="258"/>
      <c r="W252" s="258"/>
      <c r="X252" s="258"/>
      <c r="Y252" s="258"/>
      <c r="Z252" s="258"/>
      <c r="AA252" s="258"/>
      <c r="AB252" s="258"/>
      <c r="AC252" s="258"/>
      <c r="AD252" s="258"/>
      <c r="AE252" s="258"/>
      <c r="AF252" s="258"/>
      <c r="AG252" s="258"/>
      <c r="AH252" s="258"/>
      <c r="AI252" s="258"/>
      <c r="AJ252" s="258"/>
      <c r="AK252" s="258"/>
      <c r="AL252" s="258"/>
      <c r="AM252" s="258"/>
      <c r="AN252" s="258"/>
      <c r="AO252" s="115"/>
      <c r="AP252" s="115"/>
      <c r="AQ252" s="115"/>
      <c r="AR252" s="115"/>
      <c r="AS252" s="115"/>
      <c r="AT252" s="115"/>
      <c r="AU252" s="115"/>
      <c r="AV252" s="115"/>
    </row>
    <row r="253" spans="1:48" ht="21" customHeight="1" thickBot="1" x14ac:dyDescent="0.45">
      <c r="A253" s="115"/>
      <c r="B253" s="1298"/>
      <c r="C253" s="1298"/>
      <c r="D253" s="115"/>
      <c r="E253" s="434"/>
      <c r="F253" s="434"/>
      <c r="G253" s="258"/>
      <c r="H253" s="258"/>
      <c r="I253" s="258"/>
      <c r="J253" s="258"/>
      <c r="K253" s="258"/>
      <c r="L253" s="258"/>
      <c r="M253" s="258"/>
      <c r="N253" s="258"/>
      <c r="O253" s="258"/>
      <c r="P253" s="258"/>
      <c r="Q253" s="258"/>
      <c r="R253" s="258"/>
      <c r="S253" s="258"/>
      <c r="T253" s="258"/>
      <c r="U253" s="258"/>
      <c r="V253" s="258"/>
      <c r="W253" s="258"/>
      <c r="X253" s="258"/>
      <c r="Y253" s="258"/>
      <c r="Z253" s="258"/>
      <c r="AA253" s="258"/>
      <c r="AB253" s="258"/>
      <c r="AC253" s="258"/>
      <c r="AD253" s="258"/>
      <c r="AE253" s="258"/>
      <c r="AF253" s="258"/>
      <c r="AG253" s="258"/>
      <c r="AH253" s="258"/>
      <c r="AI253" s="258"/>
      <c r="AJ253" s="258"/>
      <c r="AK253" s="258"/>
      <c r="AL253" s="258"/>
      <c r="AM253" s="258"/>
      <c r="AN253" s="258"/>
      <c r="AO253" s="115"/>
      <c r="AP253" s="115"/>
      <c r="AQ253" s="115"/>
      <c r="AR253" s="115"/>
      <c r="AS253" s="115"/>
      <c r="AT253" s="115"/>
      <c r="AU253" s="115"/>
      <c r="AV253" s="115"/>
    </row>
    <row r="254" spans="1:48" ht="21" customHeight="1" thickBot="1" x14ac:dyDescent="0.45">
      <c r="A254" s="115"/>
      <c r="B254" s="1298"/>
      <c r="C254" s="1298"/>
      <c r="D254" s="115"/>
      <c r="E254" s="434"/>
      <c r="F254" s="434"/>
      <c r="G254" s="258"/>
      <c r="H254" s="258"/>
      <c r="I254" s="258"/>
      <c r="J254" s="258"/>
      <c r="K254" s="258"/>
      <c r="L254" s="258"/>
      <c r="M254" s="258"/>
      <c r="N254" s="258"/>
      <c r="O254" s="258"/>
      <c r="P254" s="258"/>
      <c r="Q254" s="258"/>
      <c r="R254" s="258"/>
      <c r="S254" s="258"/>
      <c r="T254" s="258"/>
      <c r="U254" s="258"/>
      <c r="V254" s="258"/>
      <c r="W254" s="258"/>
      <c r="X254" s="258"/>
      <c r="Y254" s="258"/>
      <c r="Z254" s="258"/>
      <c r="AA254" s="258"/>
      <c r="AB254" s="258"/>
      <c r="AC254" s="258"/>
      <c r="AD254" s="258"/>
      <c r="AE254" s="258"/>
      <c r="AF254" s="258"/>
      <c r="AG254" s="258"/>
      <c r="AH254" s="258"/>
      <c r="AI254" s="258"/>
      <c r="AJ254" s="258"/>
      <c r="AK254" s="258"/>
      <c r="AL254" s="258"/>
      <c r="AM254" s="258"/>
      <c r="AN254" s="258"/>
      <c r="AO254" s="115"/>
      <c r="AP254" s="115"/>
      <c r="AQ254" s="115"/>
      <c r="AR254" s="115"/>
      <c r="AS254" s="115"/>
      <c r="AT254" s="115"/>
      <c r="AU254" s="115"/>
      <c r="AV254" s="115"/>
    </row>
    <row r="255" spans="1:48" ht="21" customHeight="1" thickBot="1" x14ac:dyDescent="0.45">
      <c r="A255" s="115"/>
      <c r="B255" s="1298"/>
      <c r="C255" s="1298"/>
      <c r="D255" s="115"/>
      <c r="E255" s="434"/>
      <c r="F255" s="434"/>
      <c r="G255" s="258"/>
      <c r="H255" s="258"/>
      <c r="I255" s="258"/>
      <c r="J255" s="258"/>
      <c r="K255" s="258"/>
      <c r="L255" s="258"/>
      <c r="M255" s="258"/>
      <c r="N255" s="258"/>
      <c r="O255" s="258"/>
      <c r="P255" s="258"/>
      <c r="Q255" s="258"/>
      <c r="R255" s="258"/>
      <c r="S255" s="258"/>
      <c r="T255" s="258"/>
      <c r="U255" s="258"/>
      <c r="V255" s="258"/>
      <c r="W255" s="258"/>
      <c r="X255" s="258"/>
      <c r="Y255" s="258"/>
      <c r="Z255" s="258"/>
      <c r="AA255" s="258"/>
      <c r="AB255" s="258"/>
      <c r="AC255" s="258"/>
      <c r="AD255" s="258"/>
      <c r="AE255" s="258"/>
      <c r="AF255" s="258"/>
      <c r="AG255" s="258"/>
      <c r="AH255" s="258"/>
      <c r="AI255" s="258"/>
      <c r="AJ255" s="258"/>
      <c r="AK255" s="258"/>
      <c r="AL255" s="258"/>
      <c r="AM255" s="258"/>
      <c r="AN255" s="258"/>
      <c r="AO255" s="115"/>
      <c r="AP255" s="115"/>
      <c r="AQ255" s="115"/>
      <c r="AR255" s="115"/>
      <c r="AS255" s="115"/>
      <c r="AT255" s="115"/>
      <c r="AU255" s="115"/>
      <c r="AV255" s="115"/>
    </row>
    <row r="256" spans="1:48" ht="21" customHeight="1" thickBot="1" x14ac:dyDescent="0.45">
      <c r="A256" s="115"/>
      <c r="B256" s="1298"/>
      <c r="C256" s="1298"/>
      <c r="D256" s="115"/>
      <c r="E256" s="434"/>
      <c r="F256" s="434"/>
      <c r="G256" s="258"/>
      <c r="H256" s="258"/>
      <c r="I256" s="258"/>
      <c r="J256" s="258"/>
      <c r="K256" s="258"/>
      <c r="L256" s="258"/>
      <c r="M256" s="258"/>
      <c r="N256" s="258"/>
      <c r="O256" s="258"/>
      <c r="P256" s="258"/>
      <c r="Q256" s="258"/>
      <c r="R256" s="258"/>
      <c r="S256" s="258"/>
      <c r="T256" s="258"/>
      <c r="U256" s="258"/>
      <c r="V256" s="258"/>
      <c r="W256" s="258"/>
      <c r="X256" s="258"/>
      <c r="Y256" s="258"/>
      <c r="Z256" s="258"/>
      <c r="AA256" s="258"/>
      <c r="AB256" s="258"/>
      <c r="AC256" s="258"/>
      <c r="AD256" s="258"/>
      <c r="AE256" s="258"/>
      <c r="AF256" s="258"/>
      <c r="AG256" s="258"/>
      <c r="AH256" s="258"/>
      <c r="AI256" s="258"/>
      <c r="AJ256" s="258"/>
      <c r="AK256" s="258"/>
      <c r="AL256" s="258"/>
      <c r="AM256" s="258"/>
      <c r="AN256" s="258"/>
      <c r="AO256" s="115"/>
      <c r="AP256" s="115"/>
      <c r="AQ256" s="115"/>
      <c r="AR256" s="115"/>
      <c r="AS256" s="115"/>
      <c r="AT256" s="115"/>
      <c r="AU256" s="115"/>
      <c r="AV256" s="115"/>
    </row>
    <row r="257" spans="1:48" ht="21" customHeight="1" thickBot="1" x14ac:dyDescent="0.45">
      <c r="A257" s="115"/>
      <c r="B257" s="1298"/>
      <c r="C257" s="1298"/>
      <c r="D257" s="115"/>
      <c r="E257" s="434"/>
      <c r="F257" s="434"/>
      <c r="G257" s="258"/>
      <c r="H257" s="258"/>
      <c r="I257" s="258"/>
      <c r="J257" s="258"/>
      <c r="K257" s="258"/>
      <c r="L257" s="258"/>
      <c r="M257" s="258"/>
      <c r="N257" s="258"/>
      <c r="O257" s="258"/>
      <c r="P257" s="258"/>
      <c r="Q257" s="258"/>
      <c r="R257" s="258"/>
      <c r="S257" s="258"/>
      <c r="T257" s="258"/>
      <c r="U257" s="258"/>
      <c r="V257" s="258"/>
      <c r="W257" s="258"/>
      <c r="X257" s="258"/>
      <c r="Y257" s="258"/>
      <c r="Z257" s="258"/>
      <c r="AA257" s="258"/>
      <c r="AB257" s="258"/>
      <c r="AC257" s="258"/>
      <c r="AD257" s="258"/>
      <c r="AE257" s="258"/>
      <c r="AF257" s="258"/>
      <c r="AG257" s="258"/>
      <c r="AH257" s="258"/>
      <c r="AI257" s="258"/>
      <c r="AJ257" s="258"/>
      <c r="AK257" s="258"/>
      <c r="AL257" s="258"/>
      <c r="AM257" s="258"/>
      <c r="AN257" s="258"/>
      <c r="AO257" s="115"/>
      <c r="AP257" s="115"/>
      <c r="AQ257" s="115"/>
      <c r="AR257" s="115"/>
      <c r="AS257" s="115"/>
      <c r="AT257" s="115"/>
      <c r="AU257" s="115"/>
      <c r="AV257" s="115"/>
    </row>
    <row r="258" spans="1:48" ht="21" customHeight="1" thickBot="1" x14ac:dyDescent="0.45">
      <c r="A258" s="115"/>
      <c r="B258" s="1298"/>
      <c r="C258" s="1298"/>
      <c r="D258" s="115"/>
      <c r="E258" s="434"/>
      <c r="F258" s="434"/>
      <c r="G258" s="258"/>
      <c r="H258" s="258"/>
      <c r="I258" s="258"/>
      <c r="J258" s="258"/>
      <c r="K258" s="258"/>
      <c r="L258" s="258"/>
      <c r="M258" s="258"/>
      <c r="N258" s="258"/>
      <c r="O258" s="258"/>
      <c r="P258" s="258"/>
      <c r="Q258" s="258"/>
      <c r="R258" s="258"/>
      <c r="S258" s="258"/>
      <c r="T258" s="258"/>
      <c r="U258" s="258"/>
      <c r="V258" s="258"/>
      <c r="W258" s="258"/>
      <c r="X258" s="258"/>
      <c r="Y258" s="258"/>
      <c r="Z258" s="258"/>
      <c r="AA258" s="258"/>
      <c r="AB258" s="258"/>
      <c r="AC258" s="258"/>
      <c r="AD258" s="258"/>
      <c r="AE258" s="258"/>
      <c r="AF258" s="258"/>
      <c r="AG258" s="258"/>
      <c r="AH258" s="258"/>
      <c r="AI258" s="258"/>
      <c r="AJ258" s="258"/>
      <c r="AK258" s="258"/>
      <c r="AL258" s="258"/>
      <c r="AM258" s="258"/>
      <c r="AN258" s="258"/>
      <c r="AO258" s="115"/>
      <c r="AP258" s="115"/>
      <c r="AQ258" s="115"/>
      <c r="AR258" s="115"/>
      <c r="AS258" s="115"/>
      <c r="AT258" s="115"/>
      <c r="AU258" s="115"/>
      <c r="AV258" s="115"/>
    </row>
    <row r="259" spans="1:48" ht="21" customHeight="1" thickBot="1" x14ac:dyDescent="0.45">
      <c r="A259" s="115"/>
      <c r="B259" s="1298"/>
      <c r="C259" s="1298"/>
      <c r="D259" s="115"/>
      <c r="E259" s="434"/>
      <c r="F259" s="434"/>
      <c r="G259" s="258"/>
      <c r="H259" s="258"/>
      <c r="I259" s="258"/>
      <c r="J259" s="258"/>
      <c r="K259" s="258"/>
      <c r="L259" s="258"/>
      <c r="M259" s="258"/>
      <c r="N259" s="258"/>
      <c r="O259" s="258"/>
      <c r="P259" s="258"/>
      <c r="Q259" s="258"/>
      <c r="R259" s="258"/>
      <c r="S259" s="258"/>
      <c r="T259" s="258"/>
      <c r="U259" s="258"/>
      <c r="V259" s="258"/>
      <c r="W259" s="258"/>
      <c r="X259" s="258"/>
      <c r="Y259" s="258"/>
      <c r="Z259" s="258"/>
      <c r="AA259" s="258"/>
      <c r="AB259" s="258"/>
      <c r="AC259" s="258"/>
      <c r="AD259" s="258"/>
      <c r="AE259" s="258"/>
      <c r="AF259" s="258"/>
      <c r="AG259" s="258"/>
      <c r="AH259" s="258"/>
      <c r="AI259" s="258"/>
      <c r="AJ259" s="258"/>
      <c r="AK259" s="258"/>
      <c r="AL259" s="258"/>
      <c r="AM259" s="258"/>
      <c r="AN259" s="258"/>
      <c r="AO259" s="115"/>
      <c r="AP259" s="115"/>
      <c r="AQ259" s="115"/>
      <c r="AR259" s="115"/>
      <c r="AS259" s="115"/>
      <c r="AT259" s="115"/>
      <c r="AU259" s="115"/>
      <c r="AV259" s="115"/>
    </row>
    <row r="260" spans="1:48" ht="21" customHeight="1" thickBot="1" x14ac:dyDescent="0.45">
      <c r="A260" s="115"/>
      <c r="B260" s="1298"/>
      <c r="C260" s="1298"/>
      <c r="D260" s="115"/>
      <c r="E260" s="434"/>
      <c r="F260" s="434"/>
      <c r="G260" s="258"/>
      <c r="H260" s="258"/>
      <c r="I260" s="258"/>
      <c r="J260" s="258"/>
      <c r="K260" s="258"/>
      <c r="L260" s="258"/>
      <c r="M260" s="258"/>
      <c r="N260" s="258"/>
      <c r="O260" s="258"/>
      <c r="P260" s="258"/>
      <c r="Q260" s="258"/>
      <c r="R260" s="258"/>
      <c r="S260" s="258"/>
      <c r="T260" s="258"/>
      <c r="U260" s="258"/>
      <c r="V260" s="258"/>
      <c r="W260" s="258"/>
      <c r="X260" s="258"/>
      <c r="Y260" s="258"/>
      <c r="Z260" s="258"/>
      <c r="AA260" s="258"/>
      <c r="AB260" s="258"/>
      <c r="AC260" s="258"/>
      <c r="AD260" s="258"/>
      <c r="AE260" s="258"/>
      <c r="AF260" s="258"/>
      <c r="AG260" s="258"/>
      <c r="AH260" s="258"/>
      <c r="AI260" s="258"/>
      <c r="AJ260" s="258"/>
      <c r="AK260" s="258"/>
      <c r="AL260" s="258"/>
      <c r="AM260" s="258"/>
      <c r="AN260" s="258"/>
      <c r="AO260" s="115"/>
      <c r="AP260" s="115"/>
      <c r="AQ260" s="115"/>
      <c r="AR260" s="115"/>
      <c r="AS260" s="115"/>
      <c r="AT260" s="115"/>
      <c r="AU260" s="115"/>
      <c r="AV260" s="115"/>
    </row>
    <row r="261" spans="1:48" ht="21" customHeight="1" thickBot="1" x14ac:dyDescent="0.45">
      <c r="A261" s="115"/>
      <c r="B261" s="1298"/>
      <c r="C261" s="1298"/>
      <c r="D261" s="115"/>
      <c r="E261" s="434"/>
      <c r="F261" s="434"/>
      <c r="G261" s="258"/>
      <c r="H261" s="258"/>
      <c r="I261" s="258"/>
      <c r="J261" s="258"/>
      <c r="K261" s="258"/>
      <c r="L261" s="258"/>
      <c r="M261" s="258"/>
      <c r="N261" s="258"/>
      <c r="O261" s="258"/>
      <c r="P261" s="258"/>
      <c r="Q261" s="258"/>
      <c r="R261" s="258"/>
      <c r="S261" s="258"/>
      <c r="T261" s="258"/>
      <c r="U261" s="258"/>
      <c r="V261" s="258"/>
      <c r="W261" s="258"/>
      <c r="X261" s="258"/>
      <c r="Y261" s="258"/>
      <c r="Z261" s="258"/>
      <c r="AA261" s="258"/>
      <c r="AB261" s="258"/>
      <c r="AC261" s="258"/>
      <c r="AD261" s="258"/>
      <c r="AE261" s="258"/>
      <c r="AF261" s="258"/>
      <c r="AG261" s="258"/>
      <c r="AH261" s="258"/>
      <c r="AI261" s="258"/>
      <c r="AJ261" s="258"/>
      <c r="AK261" s="258"/>
      <c r="AL261" s="258"/>
      <c r="AM261" s="258"/>
      <c r="AN261" s="258"/>
      <c r="AO261" s="115"/>
      <c r="AP261" s="115"/>
      <c r="AQ261" s="115"/>
      <c r="AR261" s="115"/>
      <c r="AS261" s="115"/>
      <c r="AT261" s="115"/>
      <c r="AU261" s="115"/>
      <c r="AV261" s="115"/>
    </row>
    <row r="262" spans="1:48" ht="21" customHeight="1" thickBot="1" x14ac:dyDescent="0.45">
      <c r="A262" s="115"/>
      <c r="B262" s="1298"/>
      <c r="C262" s="1298"/>
      <c r="D262" s="115"/>
      <c r="E262" s="434"/>
      <c r="F262" s="434"/>
      <c r="G262" s="258"/>
      <c r="H262" s="258"/>
      <c r="I262" s="258"/>
      <c r="J262" s="258"/>
      <c r="K262" s="258"/>
      <c r="L262" s="258"/>
      <c r="M262" s="258"/>
      <c r="N262" s="258"/>
      <c r="O262" s="258"/>
      <c r="P262" s="258"/>
      <c r="Q262" s="258"/>
      <c r="R262" s="258"/>
      <c r="S262" s="258"/>
      <c r="T262" s="258"/>
      <c r="U262" s="258"/>
      <c r="V262" s="258"/>
      <c r="W262" s="258"/>
      <c r="X262" s="258"/>
      <c r="Y262" s="258"/>
      <c r="Z262" s="258"/>
      <c r="AA262" s="258"/>
      <c r="AB262" s="258"/>
      <c r="AC262" s="258"/>
      <c r="AD262" s="258"/>
      <c r="AE262" s="258"/>
      <c r="AF262" s="258"/>
      <c r="AG262" s="258"/>
      <c r="AH262" s="258"/>
      <c r="AI262" s="258"/>
      <c r="AJ262" s="258"/>
      <c r="AK262" s="258"/>
      <c r="AL262" s="258"/>
      <c r="AM262" s="258"/>
      <c r="AN262" s="258"/>
      <c r="AO262" s="115"/>
      <c r="AP262" s="115"/>
      <c r="AQ262" s="115"/>
      <c r="AR262" s="115"/>
      <c r="AS262" s="115"/>
      <c r="AT262" s="115"/>
      <c r="AU262" s="115"/>
      <c r="AV262" s="115"/>
    </row>
    <row r="263" spans="1:48" ht="21" customHeight="1" thickBot="1" x14ac:dyDescent="0.45">
      <c r="A263" s="115"/>
      <c r="B263" s="1298"/>
      <c r="C263" s="1298"/>
      <c r="D263" s="115"/>
      <c r="E263" s="434"/>
      <c r="F263" s="434"/>
      <c r="G263" s="258"/>
      <c r="H263" s="258"/>
      <c r="I263" s="258"/>
      <c r="J263" s="258"/>
      <c r="K263" s="258"/>
      <c r="L263" s="258"/>
      <c r="M263" s="258"/>
      <c r="N263" s="258"/>
      <c r="O263" s="258"/>
      <c r="P263" s="258"/>
      <c r="Q263" s="258"/>
      <c r="R263" s="258"/>
      <c r="S263" s="258"/>
      <c r="T263" s="258"/>
      <c r="U263" s="258"/>
      <c r="V263" s="258"/>
      <c r="W263" s="258"/>
      <c r="X263" s="258"/>
      <c r="Y263" s="258"/>
      <c r="Z263" s="258"/>
      <c r="AA263" s="258"/>
      <c r="AB263" s="258"/>
      <c r="AC263" s="258"/>
      <c r="AD263" s="258"/>
      <c r="AE263" s="258"/>
      <c r="AF263" s="258"/>
      <c r="AG263" s="258"/>
      <c r="AH263" s="258"/>
      <c r="AI263" s="258"/>
      <c r="AJ263" s="258"/>
      <c r="AK263" s="258"/>
      <c r="AL263" s="258"/>
      <c r="AM263" s="258"/>
      <c r="AN263" s="258"/>
      <c r="AO263" s="115"/>
      <c r="AP263" s="115"/>
      <c r="AQ263" s="115"/>
      <c r="AR263" s="115"/>
      <c r="AS263" s="115"/>
      <c r="AT263" s="115"/>
      <c r="AU263" s="115"/>
      <c r="AV263" s="115"/>
    </row>
    <row r="264" spans="1:48" ht="21" customHeight="1" thickBot="1" x14ac:dyDescent="0.45">
      <c r="A264" s="115"/>
      <c r="B264" s="1298"/>
      <c r="C264" s="1298"/>
      <c r="D264" s="115"/>
      <c r="E264" s="434"/>
      <c r="F264" s="434"/>
      <c r="G264" s="258"/>
      <c r="H264" s="258"/>
      <c r="I264" s="258"/>
      <c r="J264" s="258"/>
      <c r="K264" s="258"/>
      <c r="L264" s="258"/>
      <c r="M264" s="258"/>
      <c r="N264" s="258"/>
      <c r="O264" s="258"/>
      <c r="P264" s="258"/>
      <c r="Q264" s="258"/>
      <c r="R264" s="258"/>
      <c r="S264" s="258"/>
      <c r="T264" s="258"/>
      <c r="U264" s="258"/>
      <c r="V264" s="258"/>
      <c r="W264" s="258"/>
      <c r="X264" s="258"/>
      <c r="Y264" s="258"/>
      <c r="Z264" s="258"/>
      <c r="AA264" s="258"/>
      <c r="AB264" s="258"/>
      <c r="AC264" s="258"/>
      <c r="AD264" s="258"/>
      <c r="AE264" s="258"/>
      <c r="AF264" s="258"/>
      <c r="AG264" s="258"/>
      <c r="AH264" s="258"/>
      <c r="AI264" s="258"/>
      <c r="AJ264" s="258"/>
      <c r="AK264" s="258"/>
      <c r="AL264" s="258"/>
      <c r="AM264" s="258"/>
      <c r="AN264" s="258"/>
      <c r="AO264" s="115"/>
      <c r="AP264" s="115"/>
      <c r="AQ264" s="115"/>
      <c r="AR264" s="115"/>
      <c r="AS264" s="115"/>
      <c r="AT264" s="115"/>
      <c r="AU264" s="115"/>
      <c r="AV264" s="115"/>
    </row>
    <row r="265" spans="1:48" ht="21" customHeight="1" thickBot="1" x14ac:dyDescent="0.45">
      <c r="A265" s="115"/>
      <c r="B265" s="1298"/>
      <c r="C265" s="1298"/>
      <c r="D265" s="115"/>
      <c r="E265" s="434"/>
      <c r="F265" s="434"/>
      <c r="G265" s="258"/>
      <c r="H265" s="258"/>
      <c r="I265" s="258"/>
      <c r="J265" s="258"/>
      <c r="K265" s="258"/>
      <c r="L265" s="258"/>
      <c r="M265" s="258"/>
      <c r="N265" s="258"/>
      <c r="O265" s="258"/>
      <c r="P265" s="258"/>
      <c r="Q265" s="258"/>
      <c r="R265" s="258"/>
      <c r="S265" s="258"/>
      <c r="T265" s="258"/>
      <c r="U265" s="258"/>
      <c r="V265" s="258"/>
      <c r="W265" s="258"/>
      <c r="X265" s="258"/>
      <c r="Y265" s="258"/>
      <c r="Z265" s="258"/>
      <c r="AA265" s="258"/>
      <c r="AB265" s="258"/>
      <c r="AC265" s="258"/>
      <c r="AD265" s="258"/>
      <c r="AE265" s="258"/>
      <c r="AF265" s="258"/>
      <c r="AG265" s="258"/>
      <c r="AH265" s="258"/>
      <c r="AI265" s="258"/>
      <c r="AJ265" s="258"/>
      <c r="AK265" s="258"/>
      <c r="AL265" s="258"/>
      <c r="AM265" s="258"/>
      <c r="AN265" s="258"/>
      <c r="AO265" s="115"/>
      <c r="AP265" s="115"/>
      <c r="AQ265" s="115"/>
      <c r="AR265" s="115"/>
      <c r="AS265" s="115"/>
      <c r="AT265" s="115"/>
      <c r="AU265" s="115"/>
      <c r="AV265" s="115"/>
    </row>
    <row r="266" spans="1:48" ht="21" customHeight="1" thickBot="1" x14ac:dyDescent="0.45">
      <c r="A266" s="115"/>
      <c r="B266" s="1298"/>
      <c r="C266" s="1298"/>
      <c r="D266" s="115"/>
      <c r="E266" s="434"/>
      <c r="F266" s="434"/>
      <c r="G266" s="258"/>
      <c r="H266" s="258"/>
      <c r="I266" s="258"/>
      <c r="J266" s="258"/>
      <c r="K266" s="258"/>
      <c r="L266" s="258"/>
      <c r="M266" s="258"/>
      <c r="N266" s="258"/>
      <c r="O266" s="258"/>
      <c r="P266" s="258"/>
      <c r="Q266" s="258"/>
      <c r="R266" s="258"/>
      <c r="S266" s="258"/>
      <c r="T266" s="258"/>
      <c r="U266" s="258"/>
      <c r="V266" s="258"/>
      <c r="W266" s="258"/>
      <c r="X266" s="258"/>
      <c r="Y266" s="258"/>
      <c r="Z266" s="258"/>
      <c r="AA266" s="258"/>
      <c r="AB266" s="258"/>
      <c r="AC266" s="258"/>
      <c r="AD266" s="258"/>
      <c r="AE266" s="258"/>
      <c r="AF266" s="258"/>
      <c r="AG266" s="258"/>
      <c r="AH266" s="258"/>
      <c r="AI266" s="258"/>
      <c r="AJ266" s="258"/>
      <c r="AK266" s="258"/>
      <c r="AL266" s="258"/>
      <c r="AM266" s="258"/>
      <c r="AN266" s="258"/>
      <c r="AO266" s="115"/>
      <c r="AP266" s="115"/>
      <c r="AQ266" s="115"/>
      <c r="AR266" s="115"/>
      <c r="AS266" s="115"/>
      <c r="AT266" s="115"/>
      <c r="AU266" s="115"/>
      <c r="AV266" s="115"/>
    </row>
    <row r="267" spans="1:48" ht="21" customHeight="1" thickBot="1" x14ac:dyDescent="0.45">
      <c r="A267" s="115"/>
      <c r="B267" s="1298"/>
      <c r="C267" s="1298"/>
      <c r="D267" s="115"/>
      <c r="E267" s="434"/>
      <c r="F267" s="434"/>
      <c r="G267" s="258"/>
      <c r="H267" s="258"/>
      <c r="I267" s="258"/>
      <c r="J267" s="258"/>
      <c r="K267" s="258"/>
      <c r="L267" s="258"/>
      <c r="M267" s="258"/>
      <c r="N267" s="258"/>
      <c r="O267" s="258"/>
      <c r="P267" s="258"/>
      <c r="Q267" s="258"/>
      <c r="R267" s="258"/>
      <c r="S267" s="258"/>
      <c r="T267" s="258"/>
      <c r="U267" s="258"/>
      <c r="V267" s="258"/>
      <c r="W267" s="258"/>
      <c r="X267" s="258"/>
      <c r="Y267" s="258"/>
      <c r="Z267" s="258"/>
      <c r="AA267" s="258"/>
      <c r="AB267" s="258"/>
      <c r="AC267" s="258"/>
      <c r="AD267" s="258"/>
      <c r="AE267" s="258"/>
      <c r="AF267" s="258"/>
      <c r="AG267" s="258"/>
      <c r="AH267" s="258"/>
      <c r="AI267" s="258"/>
      <c r="AJ267" s="258"/>
      <c r="AK267" s="258"/>
      <c r="AL267" s="258"/>
      <c r="AM267" s="258"/>
      <c r="AN267" s="258"/>
      <c r="AO267" s="115"/>
      <c r="AP267" s="115"/>
      <c r="AQ267" s="115"/>
      <c r="AR267" s="115"/>
      <c r="AS267" s="115"/>
      <c r="AT267" s="115"/>
      <c r="AU267" s="115"/>
      <c r="AV267" s="115"/>
    </row>
    <row r="268" spans="1:48" ht="21" customHeight="1" thickBot="1" x14ac:dyDescent="0.45">
      <c r="A268" s="115"/>
      <c r="B268" s="1298"/>
      <c r="C268" s="1298"/>
      <c r="D268" s="115"/>
      <c r="E268" s="434"/>
      <c r="F268" s="434"/>
      <c r="G268" s="258"/>
      <c r="H268" s="258"/>
      <c r="I268" s="258"/>
      <c r="J268" s="258"/>
      <c r="K268" s="258"/>
      <c r="L268" s="258"/>
      <c r="M268" s="258"/>
      <c r="N268" s="258"/>
      <c r="O268" s="258"/>
      <c r="P268" s="258"/>
      <c r="Q268" s="258"/>
      <c r="R268" s="258"/>
      <c r="S268" s="258"/>
      <c r="T268" s="258"/>
      <c r="U268" s="258"/>
      <c r="V268" s="258"/>
      <c r="W268" s="258"/>
      <c r="X268" s="258"/>
      <c r="Y268" s="258"/>
      <c r="Z268" s="258"/>
      <c r="AA268" s="258"/>
      <c r="AB268" s="258"/>
      <c r="AC268" s="258"/>
      <c r="AD268" s="258"/>
      <c r="AE268" s="258"/>
      <c r="AF268" s="258"/>
      <c r="AG268" s="258"/>
      <c r="AH268" s="258"/>
      <c r="AI268" s="258"/>
      <c r="AJ268" s="258"/>
      <c r="AK268" s="258"/>
      <c r="AL268" s="258"/>
      <c r="AM268" s="258"/>
      <c r="AN268" s="258"/>
      <c r="AO268" s="115"/>
      <c r="AP268" s="115"/>
      <c r="AQ268" s="115"/>
      <c r="AR268" s="115"/>
      <c r="AS268" s="115"/>
      <c r="AT268" s="115"/>
      <c r="AU268" s="115"/>
      <c r="AV268" s="115"/>
    </row>
    <row r="269" spans="1:48" ht="21" customHeight="1" thickBot="1" x14ac:dyDescent="0.45">
      <c r="A269" s="115"/>
      <c r="B269" s="1298"/>
      <c r="C269" s="1298"/>
      <c r="D269" s="115"/>
      <c r="E269" s="434"/>
      <c r="F269" s="434"/>
      <c r="G269" s="258"/>
      <c r="H269" s="258"/>
      <c r="I269" s="258"/>
      <c r="J269" s="258"/>
      <c r="K269" s="258"/>
      <c r="L269" s="258"/>
      <c r="M269" s="258"/>
      <c r="N269" s="258"/>
      <c r="O269" s="258"/>
      <c r="P269" s="258"/>
      <c r="Q269" s="258"/>
      <c r="R269" s="258"/>
      <c r="S269" s="258"/>
      <c r="T269" s="258"/>
      <c r="U269" s="258"/>
      <c r="V269" s="258"/>
      <c r="W269" s="258"/>
      <c r="X269" s="258"/>
      <c r="Y269" s="258"/>
      <c r="Z269" s="258"/>
      <c r="AA269" s="258"/>
      <c r="AB269" s="258"/>
      <c r="AC269" s="258"/>
      <c r="AD269" s="258"/>
      <c r="AE269" s="258"/>
      <c r="AF269" s="258"/>
      <c r="AG269" s="258"/>
      <c r="AH269" s="258"/>
      <c r="AI269" s="258"/>
      <c r="AJ269" s="258"/>
      <c r="AK269" s="258"/>
      <c r="AL269" s="258"/>
      <c r="AM269" s="258"/>
      <c r="AN269" s="258"/>
      <c r="AO269" s="115"/>
      <c r="AP269" s="115"/>
      <c r="AQ269" s="115"/>
      <c r="AR269" s="115"/>
      <c r="AS269" s="115"/>
      <c r="AT269" s="115"/>
      <c r="AU269" s="115"/>
      <c r="AV269" s="115"/>
    </row>
    <row r="270" spans="1:48" ht="21" customHeight="1" thickBot="1" x14ac:dyDescent="0.45">
      <c r="A270" s="115"/>
      <c r="B270" s="1298"/>
      <c r="C270" s="1298"/>
      <c r="D270" s="115"/>
      <c r="E270" s="434"/>
      <c r="F270" s="434"/>
      <c r="G270" s="258"/>
      <c r="H270" s="258"/>
      <c r="I270" s="258"/>
      <c r="J270" s="258"/>
      <c r="K270" s="258"/>
      <c r="L270" s="258"/>
      <c r="M270" s="258"/>
      <c r="N270" s="258"/>
      <c r="O270" s="258"/>
      <c r="P270" s="258"/>
      <c r="Q270" s="258"/>
      <c r="R270" s="258"/>
      <c r="S270" s="258"/>
      <c r="T270" s="258"/>
      <c r="U270" s="258"/>
      <c r="V270" s="258"/>
      <c r="W270" s="258"/>
      <c r="X270" s="258"/>
      <c r="Y270" s="258"/>
      <c r="Z270" s="258"/>
      <c r="AA270" s="258"/>
      <c r="AB270" s="258"/>
      <c r="AC270" s="258"/>
      <c r="AD270" s="258"/>
      <c r="AE270" s="258"/>
      <c r="AF270" s="258"/>
      <c r="AG270" s="258"/>
      <c r="AH270" s="258"/>
      <c r="AI270" s="258"/>
      <c r="AJ270" s="258"/>
      <c r="AK270" s="258"/>
      <c r="AL270" s="258"/>
      <c r="AM270" s="258"/>
      <c r="AN270" s="258"/>
      <c r="AO270" s="115"/>
      <c r="AP270" s="115"/>
      <c r="AQ270" s="115"/>
      <c r="AR270" s="115"/>
      <c r="AS270" s="115"/>
      <c r="AT270" s="115"/>
      <c r="AU270" s="115"/>
      <c r="AV270" s="115"/>
    </row>
    <row r="271" spans="1:48" ht="21" customHeight="1" thickBot="1" x14ac:dyDescent="0.45">
      <c r="A271" s="115"/>
      <c r="B271" s="1298"/>
      <c r="C271" s="1298"/>
      <c r="D271" s="115"/>
      <c r="E271" s="434"/>
      <c r="F271" s="434"/>
      <c r="G271" s="258"/>
      <c r="H271" s="258"/>
      <c r="I271" s="258"/>
      <c r="J271" s="258"/>
      <c r="K271" s="258"/>
      <c r="L271" s="258"/>
      <c r="M271" s="258"/>
      <c r="N271" s="258"/>
      <c r="O271" s="258"/>
      <c r="P271" s="258"/>
      <c r="Q271" s="258"/>
      <c r="R271" s="258"/>
      <c r="S271" s="258"/>
      <c r="T271" s="258"/>
      <c r="U271" s="258"/>
      <c r="V271" s="258"/>
      <c r="W271" s="258"/>
      <c r="X271" s="258"/>
      <c r="Y271" s="258"/>
      <c r="Z271" s="258"/>
      <c r="AA271" s="258"/>
      <c r="AB271" s="258"/>
      <c r="AC271" s="258"/>
      <c r="AD271" s="258"/>
      <c r="AE271" s="258"/>
      <c r="AF271" s="258"/>
      <c r="AG271" s="258"/>
      <c r="AH271" s="258"/>
      <c r="AI271" s="258"/>
      <c r="AJ271" s="258"/>
      <c r="AK271" s="258"/>
      <c r="AL271" s="258"/>
      <c r="AM271" s="258"/>
      <c r="AN271" s="258"/>
      <c r="AO271" s="115"/>
      <c r="AP271" s="115"/>
      <c r="AQ271" s="115"/>
      <c r="AR271" s="115"/>
      <c r="AS271" s="115"/>
      <c r="AT271" s="115"/>
      <c r="AU271" s="115"/>
      <c r="AV271" s="115"/>
    </row>
    <row r="272" spans="1:48" ht="21" customHeight="1" thickBot="1" x14ac:dyDescent="0.45">
      <c r="A272" s="115"/>
      <c r="B272" s="1298"/>
      <c r="C272" s="1298"/>
      <c r="D272" s="115"/>
      <c r="E272" s="434"/>
      <c r="F272" s="434"/>
      <c r="G272" s="258"/>
      <c r="H272" s="258"/>
      <c r="I272" s="258"/>
      <c r="J272" s="258"/>
      <c r="K272" s="258"/>
      <c r="L272" s="258"/>
      <c r="M272" s="258"/>
      <c r="N272" s="258"/>
      <c r="O272" s="258"/>
      <c r="P272" s="258"/>
      <c r="Q272" s="258"/>
      <c r="R272" s="258"/>
      <c r="S272" s="258"/>
      <c r="T272" s="258"/>
      <c r="U272" s="258"/>
      <c r="V272" s="258"/>
      <c r="W272" s="258"/>
      <c r="X272" s="258"/>
      <c r="Y272" s="258"/>
      <c r="Z272" s="258"/>
      <c r="AA272" s="258"/>
      <c r="AB272" s="258"/>
      <c r="AC272" s="258"/>
      <c r="AD272" s="258"/>
      <c r="AE272" s="258"/>
      <c r="AF272" s="258"/>
      <c r="AG272" s="258"/>
      <c r="AH272" s="258"/>
      <c r="AI272" s="258"/>
      <c r="AJ272" s="261"/>
      <c r="AK272" s="261"/>
      <c r="AL272" s="261"/>
      <c r="AM272" s="548"/>
      <c r="AN272" s="548"/>
      <c r="AO272" s="176"/>
      <c r="AP272" s="121"/>
      <c r="AQ272" s="115"/>
      <c r="AR272" s="115"/>
      <c r="AS272" s="115"/>
      <c r="AT272" s="115"/>
      <c r="AU272" s="115"/>
      <c r="AV272" s="115"/>
    </row>
    <row r="273" spans="1:48" ht="21" customHeight="1" thickBot="1" x14ac:dyDescent="0.45">
      <c r="A273" s="115"/>
      <c r="B273" s="1298"/>
      <c r="C273" s="1298"/>
      <c r="D273" s="115"/>
      <c r="E273" s="434"/>
      <c r="F273" s="434"/>
      <c r="G273" s="258"/>
      <c r="H273" s="258"/>
      <c r="I273" s="258"/>
      <c r="J273" s="258"/>
      <c r="K273" s="258"/>
      <c r="L273" s="258"/>
      <c r="M273" s="258"/>
      <c r="N273" s="258"/>
      <c r="O273" s="258"/>
      <c r="P273" s="258"/>
      <c r="Q273" s="258"/>
      <c r="R273" s="258"/>
      <c r="S273" s="258"/>
      <c r="T273" s="258"/>
      <c r="U273" s="258"/>
      <c r="V273" s="258"/>
      <c r="W273" s="258"/>
      <c r="X273" s="258"/>
      <c r="Y273" s="258"/>
      <c r="Z273" s="258"/>
      <c r="AA273" s="258"/>
      <c r="AB273" s="258"/>
      <c r="AC273" s="258"/>
      <c r="AD273" s="258"/>
      <c r="AE273" s="258"/>
      <c r="AF273" s="258"/>
      <c r="AG273" s="258"/>
      <c r="AH273" s="258"/>
      <c r="AI273" s="258"/>
      <c r="AJ273" s="261"/>
      <c r="AK273" s="261"/>
      <c r="AL273" s="261"/>
      <c r="AM273" s="548"/>
      <c r="AN273" s="548"/>
      <c r="AO273" s="176"/>
      <c r="AP273" s="121"/>
      <c r="AQ273" s="115"/>
      <c r="AR273" s="115"/>
      <c r="AS273" s="115"/>
      <c r="AT273" s="115"/>
      <c r="AU273" s="115"/>
      <c r="AV273" s="115"/>
    </row>
    <row r="274" spans="1:48" ht="21" customHeight="1" thickBot="1" x14ac:dyDescent="0.45">
      <c r="A274" s="115"/>
      <c r="B274" s="1298"/>
      <c r="C274" s="1298"/>
      <c r="D274" s="115"/>
      <c r="E274" s="434"/>
      <c r="F274" s="434"/>
      <c r="G274" s="258"/>
      <c r="H274" s="258"/>
      <c r="I274" s="258"/>
      <c r="J274" s="258"/>
      <c r="K274" s="258"/>
      <c r="L274" s="258"/>
      <c r="M274" s="258"/>
      <c r="N274" s="258"/>
      <c r="O274" s="258"/>
      <c r="P274" s="258"/>
      <c r="Q274" s="258"/>
      <c r="R274" s="258"/>
      <c r="S274" s="258"/>
      <c r="T274" s="258"/>
      <c r="U274" s="258"/>
      <c r="V274" s="258"/>
      <c r="W274" s="258"/>
      <c r="X274" s="258"/>
      <c r="Y274" s="258"/>
      <c r="Z274" s="258"/>
      <c r="AA274" s="258"/>
      <c r="AB274" s="258"/>
      <c r="AC274" s="258"/>
      <c r="AD274" s="258"/>
      <c r="AE274" s="258"/>
      <c r="AF274" s="258"/>
      <c r="AG274" s="258"/>
      <c r="AH274" s="258"/>
      <c r="AI274" s="258"/>
      <c r="AJ274" s="261"/>
      <c r="AK274" s="261"/>
      <c r="AL274" s="261"/>
      <c r="AM274" s="548"/>
      <c r="AN274" s="548"/>
      <c r="AO274" s="176"/>
      <c r="AP274" s="121"/>
      <c r="AQ274" s="115"/>
      <c r="AR274" s="115"/>
      <c r="AS274" s="115"/>
      <c r="AT274" s="115"/>
      <c r="AU274" s="115"/>
      <c r="AV274" s="115"/>
    </row>
    <row r="275" spans="1:48" ht="21" customHeight="1" thickBot="1" x14ac:dyDescent="0.45">
      <c r="A275" s="115"/>
      <c r="B275" s="1298"/>
      <c r="C275" s="1298"/>
      <c r="D275" s="115"/>
      <c r="E275" s="434"/>
      <c r="F275" s="434"/>
      <c r="G275" s="258"/>
      <c r="H275" s="258"/>
      <c r="I275" s="258"/>
      <c r="J275" s="258"/>
      <c r="K275" s="258"/>
      <c r="L275" s="258"/>
      <c r="M275" s="258"/>
      <c r="N275" s="258"/>
      <c r="O275" s="258"/>
      <c r="P275" s="258"/>
      <c r="Q275" s="258"/>
      <c r="R275" s="258"/>
      <c r="S275" s="258"/>
      <c r="T275" s="258"/>
      <c r="U275" s="258"/>
      <c r="V275" s="258"/>
      <c r="W275" s="258"/>
      <c r="X275" s="258"/>
      <c r="Y275" s="258"/>
      <c r="Z275" s="258"/>
      <c r="AA275" s="258"/>
      <c r="AB275" s="258"/>
      <c r="AC275" s="258"/>
      <c r="AD275" s="258"/>
      <c r="AE275" s="258"/>
      <c r="AF275" s="258"/>
      <c r="AG275" s="258"/>
      <c r="AH275" s="258"/>
      <c r="AI275" s="258"/>
      <c r="AJ275" s="261"/>
      <c r="AK275" s="261"/>
      <c r="AL275" s="261"/>
      <c r="AM275" s="548"/>
      <c r="AN275" s="548"/>
      <c r="AO275" s="176"/>
      <c r="AP275" s="121"/>
      <c r="AQ275" s="115"/>
      <c r="AR275" s="115"/>
      <c r="AS275" s="115"/>
      <c r="AT275" s="115"/>
      <c r="AU275" s="115"/>
      <c r="AV275" s="115"/>
    </row>
    <row r="276" spans="1:48" ht="21" customHeight="1" thickBot="1" x14ac:dyDescent="0.45">
      <c r="A276" s="115"/>
      <c r="B276" s="1298"/>
      <c r="C276" s="1298"/>
      <c r="D276" s="115"/>
      <c r="E276" s="434"/>
      <c r="F276" s="434"/>
      <c r="G276" s="258"/>
      <c r="H276" s="258"/>
      <c r="I276" s="258"/>
      <c r="J276" s="258"/>
      <c r="K276" s="258"/>
      <c r="L276" s="258"/>
      <c r="M276" s="258"/>
      <c r="N276" s="258"/>
      <c r="O276" s="258"/>
      <c r="P276" s="258"/>
      <c r="Q276" s="258"/>
      <c r="R276" s="258"/>
      <c r="S276" s="258"/>
      <c r="T276" s="258"/>
      <c r="U276" s="258"/>
      <c r="V276" s="258"/>
      <c r="W276" s="258"/>
      <c r="X276" s="258"/>
      <c r="Y276" s="258"/>
      <c r="Z276" s="258"/>
      <c r="AA276" s="258"/>
      <c r="AB276" s="258"/>
      <c r="AC276" s="258"/>
      <c r="AD276" s="258"/>
      <c r="AE276" s="258"/>
      <c r="AF276" s="258"/>
      <c r="AG276" s="258"/>
      <c r="AH276" s="258"/>
      <c r="AI276" s="258"/>
      <c r="AJ276" s="261"/>
      <c r="AK276" s="261"/>
      <c r="AL276" s="261"/>
      <c r="AM276" s="548"/>
      <c r="AN276" s="548"/>
      <c r="AO276" s="176"/>
      <c r="AP276" s="121"/>
      <c r="AQ276" s="115"/>
      <c r="AR276" s="115"/>
      <c r="AS276" s="115"/>
      <c r="AT276" s="115"/>
      <c r="AU276" s="115"/>
      <c r="AV276" s="115"/>
    </row>
    <row r="277" spans="1:48" ht="21" customHeight="1" thickBot="1" x14ac:dyDescent="0.45">
      <c r="A277" s="115"/>
      <c r="B277" s="1298"/>
      <c r="C277" s="1298"/>
      <c r="D277" s="115"/>
      <c r="E277" s="434"/>
      <c r="F277" s="434"/>
      <c r="G277" s="258"/>
      <c r="H277" s="258"/>
      <c r="I277" s="258"/>
      <c r="J277" s="258"/>
      <c r="K277" s="258"/>
      <c r="L277" s="258"/>
      <c r="M277" s="258"/>
      <c r="N277" s="258"/>
      <c r="O277" s="258"/>
      <c r="P277" s="258"/>
      <c r="Q277" s="258"/>
      <c r="R277" s="258"/>
      <c r="S277" s="258"/>
      <c r="T277" s="258"/>
      <c r="U277" s="258"/>
      <c r="V277" s="258"/>
      <c r="W277" s="258"/>
      <c r="X277" s="258"/>
      <c r="Y277" s="258"/>
      <c r="Z277" s="258"/>
      <c r="AA277" s="258"/>
      <c r="AB277" s="258"/>
      <c r="AC277" s="258"/>
      <c r="AD277" s="258"/>
      <c r="AE277" s="258"/>
      <c r="AF277" s="258"/>
      <c r="AG277" s="258"/>
      <c r="AH277" s="258"/>
      <c r="AI277" s="258"/>
      <c r="AJ277" s="261"/>
      <c r="AK277" s="261"/>
      <c r="AL277" s="261"/>
      <c r="AM277" s="548"/>
      <c r="AN277" s="548"/>
      <c r="AO277" s="176"/>
      <c r="AP277" s="121"/>
      <c r="AQ277" s="115"/>
      <c r="AR277" s="115"/>
      <c r="AS277" s="115"/>
      <c r="AT277" s="115"/>
      <c r="AU277" s="115"/>
      <c r="AV277" s="115"/>
    </row>
    <row r="278" spans="1:48" ht="21" customHeight="1" thickBot="1" x14ac:dyDescent="0.45">
      <c r="A278" s="115"/>
      <c r="B278" s="1298"/>
      <c r="C278" s="1298"/>
      <c r="D278" s="115"/>
      <c r="E278" s="434"/>
      <c r="F278" s="434"/>
      <c r="G278" s="258"/>
      <c r="H278" s="258"/>
      <c r="I278" s="258"/>
      <c r="J278" s="258"/>
      <c r="K278" s="258"/>
      <c r="L278" s="258"/>
      <c r="M278" s="258"/>
      <c r="N278" s="258"/>
      <c r="O278" s="258"/>
      <c r="P278" s="258"/>
      <c r="Q278" s="258"/>
      <c r="R278" s="258"/>
      <c r="S278" s="258"/>
      <c r="T278" s="258"/>
      <c r="U278" s="258"/>
      <c r="V278" s="258"/>
      <c r="W278" s="258"/>
      <c r="X278" s="258"/>
      <c r="Y278" s="258"/>
      <c r="Z278" s="258"/>
      <c r="AA278" s="258"/>
      <c r="AB278" s="258"/>
      <c r="AC278" s="258"/>
      <c r="AD278" s="258"/>
      <c r="AE278" s="258"/>
      <c r="AF278" s="258"/>
      <c r="AG278" s="258"/>
      <c r="AH278" s="258"/>
      <c r="AI278" s="258"/>
      <c r="AJ278" s="261"/>
      <c r="AK278" s="261"/>
      <c r="AL278" s="261"/>
      <c r="AM278" s="548"/>
      <c r="AN278" s="548"/>
      <c r="AO278" s="176"/>
      <c r="AP278" s="121"/>
      <c r="AQ278" s="115"/>
      <c r="AR278" s="115"/>
      <c r="AS278" s="115"/>
      <c r="AT278" s="115"/>
      <c r="AU278" s="115"/>
      <c r="AV278" s="115"/>
    </row>
    <row r="279" spans="1:48" ht="21" customHeight="1" thickBot="1" x14ac:dyDescent="0.45">
      <c r="A279" s="115"/>
      <c r="B279" s="1298"/>
      <c r="C279" s="1298"/>
      <c r="D279" s="115"/>
      <c r="E279" s="434"/>
      <c r="F279" s="434"/>
      <c r="G279" s="258"/>
      <c r="H279" s="258"/>
      <c r="I279" s="258"/>
      <c r="J279" s="258"/>
      <c r="K279" s="258"/>
      <c r="L279" s="258"/>
      <c r="M279" s="258"/>
      <c r="N279" s="258"/>
      <c r="O279" s="258"/>
      <c r="P279" s="258"/>
      <c r="Q279" s="258"/>
      <c r="R279" s="258"/>
      <c r="S279" s="258"/>
      <c r="T279" s="258"/>
      <c r="U279" s="258"/>
      <c r="V279" s="258"/>
      <c r="W279" s="258"/>
      <c r="X279" s="258"/>
      <c r="Y279" s="258"/>
      <c r="Z279" s="258"/>
      <c r="AA279" s="258"/>
      <c r="AB279" s="258"/>
      <c r="AC279" s="258"/>
      <c r="AD279" s="258"/>
      <c r="AE279" s="258"/>
      <c r="AF279" s="258"/>
      <c r="AG279" s="258"/>
      <c r="AH279" s="258"/>
      <c r="AI279" s="258"/>
      <c r="AJ279" s="261"/>
      <c r="AK279" s="261"/>
      <c r="AL279" s="261"/>
      <c r="AM279" s="548"/>
      <c r="AN279" s="548"/>
      <c r="AO279" s="176"/>
      <c r="AP279" s="121"/>
      <c r="AQ279" s="115"/>
      <c r="AR279" s="115"/>
      <c r="AS279" s="115"/>
      <c r="AT279" s="115"/>
      <c r="AU279" s="115"/>
      <c r="AV279" s="115"/>
    </row>
    <row r="280" spans="1:48" ht="21" customHeight="1" thickBot="1" x14ac:dyDescent="0.45">
      <c r="A280" s="115"/>
      <c r="B280" s="1298"/>
      <c r="C280" s="1298"/>
      <c r="D280" s="115"/>
      <c r="E280" s="434"/>
      <c r="F280" s="434"/>
      <c r="G280" s="258"/>
      <c r="H280" s="258"/>
      <c r="I280" s="258"/>
      <c r="J280" s="258"/>
      <c r="K280" s="258"/>
      <c r="L280" s="258"/>
      <c r="M280" s="258"/>
      <c r="N280" s="258"/>
      <c r="O280" s="258"/>
      <c r="P280" s="258"/>
      <c r="Q280" s="258"/>
      <c r="R280" s="258"/>
      <c r="S280" s="258"/>
      <c r="T280" s="258"/>
      <c r="U280" s="258"/>
      <c r="V280" s="258"/>
      <c r="W280" s="258"/>
      <c r="X280" s="258"/>
      <c r="Y280" s="258"/>
      <c r="Z280" s="258"/>
      <c r="AA280" s="258"/>
      <c r="AB280" s="258"/>
      <c r="AC280" s="258"/>
      <c r="AD280" s="258"/>
      <c r="AE280" s="258"/>
      <c r="AF280" s="258"/>
      <c r="AG280" s="258"/>
      <c r="AH280" s="258"/>
      <c r="AI280" s="258"/>
      <c r="AJ280" s="261"/>
      <c r="AK280" s="261"/>
      <c r="AL280" s="261"/>
      <c r="AM280" s="548"/>
      <c r="AN280" s="548"/>
      <c r="AO280" s="176"/>
      <c r="AP280" s="121"/>
      <c r="AQ280" s="115"/>
      <c r="AR280" s="115"/>
      <c r="AS280" s="115"/>
      <c r="AT280" s="115"/>
      <c r="AU280" s="115"/>
      <c r="AV280" s="115"/>
    </row>
    <row r="281" spans="1:48" ht="21" customHeight="1" thickBot="1" x14ac:dyDescent="0.45">
      <c r="A281" s="115"/>
      <c r="B281" s="1298"/>
      <c r="C281" s="1298"/>
      <c r="D281" s="115"/>
      <c r="E281" s="434"/>
      <c r="F281" s="434"/>
      <c r="G281" s="258"/>
      <c r="H281" s="258"/>
      <c r="I281" s="258"/>
      <c r="J281" s="258"/>
      <c r="K281" s="258"/>
      <c r="L281" s="258"/>
      <c r="M281" s="258"/>
      <c r="N281" s="258"/>
      <c r="O281" s="258"/>
      <c r="P281" s="258"/>
      <c r="Q281" s="258"/>
      <c r="R281" s="258"/>
      <c r="S281" s="258"/>
      <c r="T281" s="258"/>
      <c r="U281" s="258"/>
      <c r="V281" s="258"/>
      <c r="W281" s="258"/>
      <c r="X281" s="258"/>
      <c r="Y281" s="258"/>
      <c r="Z281" s="258"/>
      <c r="AA281" s="258"/>
      <c r="AB281" s="258"/>
      <c r="AC281" s="258"/>
      <c r="AD281" s="258"/>
      <c r="AE281" s="258"/>
      <c r="AF281" s="258"/>
      <c r="AG281" s="258"/>
      <c r="AH281" s="258"/>
      <c r="AI281" s="258"/>
      <c r="AJ281" s="261"/>
      <c r="AK281" s="261"/>
      <c r="AL281" s="261"/>
      <c r="AM281" s="548"/>
      <c r="AN281" s="548"/>
      <c r="AO281" s="176"/>
      <c r="AP281" s="121"/>
      <c r="AQ281" s="115"/>
      <c r="AR281" s="115"/>
      <c r="AS281" s="115"/>
      <c r="AT281" s="115"/>
      <c r="AU281" s="115"/>
      <c r="AV281" s="115"/>
    </row>
    <row r="282" spans="1:48" ht="21" customHeight="1" thickBot="1" x14ac:dyDescent="0.45">
      <c r="A282" s="115"/>
      <c r="B282" s="1298"/>
      <c r="C282" s="1298"/>
      <c r="D282" s="115"/>
      <c r="E282" s="434"/>
      <c r="F282" s="434"/>
      <c r="G282" s="258"/>
      <c r="H282" s="258"/>
      <c r="I282" s="258"/>
      <c r="J282" s="258"/>
      <c r="K282" s="258"/>
      <c r="L282" s="258"/>
      <c r="M282" s="258"/>
      <c r="N282" s="258"/>
      <c r="O282" s="258"/>
      <c r="P282" s="258"/>
      <c r="Q282" s="258"/>
      <c r="R282" s="258"/>
      <c r="S282" s="258"/>
      <c r="T282" s="258"/>
      <c r="U282" s="258"/>
      <c r="V282" s="258"/>
      <c r="W282" s="258"/>
      <c r="X282" s="258"/>
      <c r="Y282" s="258"/>
      <c r="Z282" s="258"/>
      <c r="AA282" s="258"/>
      <c r="AB282" s="258"/>
      <c r="AC282" s="258"/>
      <c r="AD282" s="258"/>
      <c r="AE282" s="258"/>
      <c r="AF282" s="258"/>
      <c r="AG282" s="258"/>
      <c r="AH282" s="258"/>
      <c r="AI282" s="258"/>
      <c r="AJ282" s="261"/>
      <c r="AK282" s="261"/>
      <c r="AL282" s="261"/>
      <c r="AM282" s="548"/>
      <c r="AN282" s="548"/>
      <c r="AO282" s="176"/>
      <c r="AP282" s="121"/>
      <c r="AQ282" s="115"/>
      <c r="AR282" s="115"/>
      <c r="AS282" s="115"/>
      <c r="AT282" s="115"/>
      <c r="AU282" s="115"/>
      <c r="AV282" s="115"/>
    </row>
    <row r="283" spans="1:48" ht="21" customHeight="1" thickBot="1" x14ac:dyDescent="0.45">
      <c r="A283" s="115"/>
      <c r="B283" s="1298"/>
      <c r="C283" s="1298"/>
      <c r="D283" s="115"/>
      <c r="E283" s="434"/>
      <c r="F283" s="434"/>
      <c r="G283" s="258"/>
      <c r="H283" s="258"/>
      <c r="I283" s="258"/>
      <c r="J283" s="258"/>
      <c r="K283" s="258"/>
      <c r="L283" s="258"/>
      <c r="M283" s="258"/>
      <c r="N283" s="258"/>
      <c r="O283" s="258"/>
      <c r="P283" s="258"/>
      <c r="Q283" s="258"/>
      <c r="R283" s="258"/>
      <c r="S283" s="258"/>
      <c r="T283" s="258"/>
      <c r="U283" s="258"/>
      <c r="V283" s="258"/>
      <c r="W283" s="258"/>
      <c r="X283" s="258"/>
      <c r="Y283" s="258"/>
      <c r="Z283" s="258"/>
      <c r="AA283" s="258"/>
      <c r="AB283" s="258"/>
      <c r="AC283" s="258"/>
      <c r="AD283" s="258"/>
      <c r="AE283" s="258"/>
      <c r="AF283" s="258"/>
      <c r="AG283" s="258"/>
      <c r="AH283" s="258"/>
      <c r="AI283" s="258"/>
      <c r="AJ283" s="261"/>
      <c r="AK283" s="261"/>
      <c r="AL283" s="261"/>
      <c r="AM283" s="548"/>
      <c r="AN283" s="548"/>
      <c r="AO283" s="176"/>
      <c r="AP283" s="121"/>
      <c r="AQ283" s="115"/>
      <c r="AR283" s="115"/>
      <c r="AS283" s="115"/>
      <c r="AT283" s="115"/>
      <c r="AU283" s="115"/>
      <c r="AV283" s="115"/>
    </row>
    <row r="284" spans="1:48" ht="21" customHeight="1" thickBot="1" x14ac:dyDescent="0.45">
      <c r="A284" s="115"/>
      <c r="B284" s="1298"/>
      <c r="C284" s="1298"/>
      <c r="D284" s="115"/>
      <c r="E284" s="434"/>
      <c r="F284" s="434"/>
      <c r="G284" s="258"/>
      <c r="H284" s="258"/>
      <c r="I284" s="258"/>
      <c r="J284" s="258"/>
      <c r="K284" s="258"/>
      <c r="L284" s="258"/>
      <c r="M284" s="258"/>
      <c r="N284" s="258"/>
      <c r="O284" s="258"/>
      <c r="P284" s="258"/>
      <c r="Q284" s="258"/>
      <c r="R284" s="258"/>
      <c r="S284" s="258"/>
      <c r="T284" s="258"/>
      <c r="U284" s="258"/>
      <c r="V284" s="258"/>
      <c r="W284" s="258"/>
      <c r="X284" s="258"/>
      <c r="Y284" s="258"/>
      <c r="Z284" s="258"/>
      <c r="AA284" s="258"/>
      <c r="AB284" s="258"/>
      <c r="AC284" s="258"/>
      <c r="AD284" s="258"/>
      <c r="AE284" s="258"/>
      <c r="AF284" s="258"/>
      <c r="AG284" s="258"/>
      <c r="AH284" s="258"/>
      <c r="AI284" s="258"/>
      <c r="AJ284" s="261"/>
      <c r="AK284" s="261"/>
      <c r="AL284" s="261"/>
      <c r="AM284" s="548"/>
      <c r="AN284" s="548"/>
      <c r="AO284" s="176"/>
      <c r="AP284" s="121"/>
      <c r="AQ284" s="115"/>
      <c r="AR284" s="115"/>
      <c r="AS284" s="115"/>
      <c r="AT284" s="115"/>
      <c r="AU284" s="115"/>
      <c r="AV284" s="115"/>
    </row>
    <row r="285" spans="1:48" ht="21" customHeight="1" thickBot="1" x14ac:dyDescent="0.45">
      <c r="A285" s="115"/>
      <c r="B285" s="1298"/>
      <c r="C285" s="1298"/>
      <c r="D285" s="115"/>
      <c r="E285" s="434"/>
      <c r="F285" s="434"/>
      <c r="G285" s="258"/>
      <c r="H285" s="258"/>
      <c r="I285" s="258"/>
      <c r="J285" s="258"/>
      <c r="K285" s="258"/>
      <c r="L285" s="258"/>
      <c r="M285" s="258"/>
      <c r="N285" s="258"/>
      <c r="O285" s="258"/>
      <c r="P285" s="258"/>
      <c r="Q285" s="258"/>
      <c r="R285" s="258"/>
      <c r="S285" s="258"/>
      <c r="T285" s="258"/>
      <c r="U285" s="258"/>
      <c r="V285" s="258"/>
      <c r="W285" s="258"/>
      <c r="X285" s="258"/>
      <c r="Y285" s="258"/>
      <c r="Z285" s="258"/>
      <c r="AA285" s="258"/>
      <c r="AB285" s="258"/>
      <c r="AC285" s="258"/>
      <c r="AD285" s="258"/>
      <c r="AE285" s="258"/>
      <c r="AF285" s="258"/>
      <c r="AG285" s="258"/>
      <c r="AH285" s="258"/>
      <c r="AI285" s="258"/>
      <c r="AJ285" s="261"/>
      <c r="AK285" s="261"/>
      <c r="AL285" s="261"/>
      <c r="AM285" s="548"/>
      <c r="AN285" s="548"/>
      <c r="AO285" s="176"/>
      <c r="AP285" s="121"/>
      <c r="AQ285" s="115"/>
      <c r="AR285" s="115"/>
      <c r="AS285" s="115"/>
      <c r="AT285" s="115"/>
      <c r="AU285" s="115"/>
      <c r="AV285" s="115"/>
    </row>
    <row r="286" spans="1:48" ht="21" customHeight="1" thickBot="1" x14ac:dyDescent="0.45">
      <c r="A286" s="115"/>
      <c r="B286" s="1298"/>
      <c r="C286" s="1298"/>
      <c r="D286" s="115"/>
      <c r="E286" s="434"/>
      <c r="F286" s="434"/>
      <c r="G286" s="258"/>
      <c r="H286" s="258"/>
      <c r="I286" s="258"/>
      <c r="J286" s="258"/>
      <c r="K286" s="258"/>
      <c r="L286" s="258"/>
      <c r="M286" s="258"/>
      <c r="N286" s="258"/>
      <c r="O286" s="258"/>
      <c r="P286" s="258"/>
      <c r="Q286" s="258"/>
      <c r="R286" s="258"/>
      <c r="S286" s="258"/>
      <c r="T286" s="258"/>
      <c r="U286" s="258"/>
      <c r="V286" s="258"/>
      <c r="W286" s="258"/>
      <c r="X286" s="258"/>
      <c r="Y286" s="258"/>
      <c r="Z286" s="258"/>
      <c r="AA286" s="258"/>
      <c r="AB286" s="258"/>
      <c r="AC286" s="258"/>
      <c r="AD286" s="258"/>
      <c r="AE286" s="258"/>
      <c r="AF286" s="258"/>
      <c r="AG286" s="258"/>
      <c r="AH286" s="258"/>
      <c r="AI286" s="258"/>
      <c r="AJ286" s="261"/>
      <c r="AK286" s="261"/>
      <c r="AL286" s="261"/>
      <c r="AM286" s="548"/>
      <c r="AN286" s="548"/>
      <c r="AO286" s="176"/>
      <c r="AP286" s="121"/>
      <c r="AQ286" s="115"/>
      <c r="AR286" s="115"/>
      <c r="AS286" s="115"/>
      <c r="AT286" s="115"/>
      <c r="AU286" s="115"/>
      <c r="AV286" s="115"/>
    </row>
    <row r="287" spans="1:48" ht="21" customHeight="1" thickBot="1" x14ac:dyDescent="0.45">
      <c r="A287" s="115"/>
      <c r="B287" s="1298"/>
      <c r="C287" s="1298"/>
      <c r="D287" s="115"/>
      <c r="E287" s="434"/>
      <c r="F287" s="434"/>
      <c r="G287" s="258"/>
      <c r="H287" s="258"/>
      <c r="I287" s="258"/>
      <c r="J287" s="258"/>
      <c r="K287" s="258"/>
      <c r="L287" s="258"/>
      <c r="M287" s="258"/>
      <c r="N287" s="258"/>
      <c r="O287" s="258"/>
      <c r="P287" s="258"/>
      <c r="Q287" s="258"/>
      <c r="R287" s="258"/>
      <c r="S287" s="258"/>
      <c r="T287" s="258"/>
      <c r="U287" s="258"/>
      <c r="V287" s="258"/>
      <c r="W287" s="258"/>
      <c r="X287" s="258"/>
      <c r="Y287" s="258"/>
      <c r="Z287" s="258"/>
      <c r="AA287" s="258"/>
      <c r="AB287" s="258"/>
      <c r="AC287" s="258"/>
      <c r="AD287" s="258"/>
      <c r="AE287" s="258"/>
      <c r="AF287" s="258"/>
      <c r="AG287" s="258"/>
      <c r="AH287" s="258"/>
      <c r="AI287" s="258"/>
      <c r="AJ287" s="261"/>
      <c r="AK287" s="261"/>
      <c r="AL287" s="261"/>
      <c r="AM287" s="548"/>
      <c r="AN287" s="548"/>
      <c r="AO287" s="176"/>
      <c r="AP287" s="121"/>
      <c r="AQ287" s="115"/>
      <c r="AR287" s="115"/>
      <c r="AS287" s="115"/>
      <c r="AT287" s="115"/>
      <c r="AU287" s="115"/>
      <c r="AV287" s="115"/>
    </row>
    <row r="288" spans="1:48" ht="21" customHeight="1" thickBot="1" x14ac:dyDescent="0.45">
      <c r="A288" s="115"/>
      <c r="B288" s="1298"/>
      <c r="C288" s="1298"/>
      <c r="D288" s="115"/>
      <c r="E288" s="434"/>
      <c r="F288" s="434"/>
      <c r="G288" s="258"/>
      <c r="H288" s="258"/>
      <c r="I288" s="258"/>
      <c r="J288" s="258"/>
      <c r="K288" s="258"/>
      <c r="L288" s="258"/>
      <c r="M288" s="258"/>
      <c r="N288" s="258"/>
      <c r="O288" s="258"/>
      <c r="P288" s="258"/>
      <c r="Q288" s="258"/>
      <c r="R288" s="258"/>
      <c r="S288" s="258"/>
      <c r="T288" s="258"/>
      <c r="U288" s="258"/>
      <c r="V288" s="258"/>
      <c r="W288" s="258"/>
      <c r="X288" s="258"/>
      <c r="Y288" s="258"/>
      <c r="Z288" s="258"/>
      <c r="AA288" s="258"/>
      <c r="AB288" s="258"/>
      <c r="AC288" s="258"/>
      <c r="AD288" s="258"/>
      <c r="AE288" s="258"/>
      <c r="AF288" s="258"/>
      <c r="AG288" s="258"/>
      <c r="AH288" s="258"/>
      <c r="AI288" s="258"/>
      <c r="AJ288" s="261"/>
      <c r="AK288" s="261"/>
      <c r="AL288" s="261"/>
      <c r="AM288" s="548"/>
      <c r="AN288" s="548"/>
      <c r="AO288" s="176"/>
      <c r="AP288" s="121"/>
      <c r="AQ288" s="115"/>
      <c r="AR288" s="115"/>
      <c r="AS288" s="115"/>
      <c r="AT288" s="115"/>
      <c r="AU288" s="115"/>
      <c r="AV288" s="115"/>
    </row>
    <row r="289" spans="1:48" ht="21" customHeight="1" thickBot="1" x14ac:dyDescent="0.45">
      <c r="A289" s="115"/>
      <c r="B289" s="1298"/>
      <c r="C289" s="1298"/>
      <c r="D289" s="115"/>
      <c r="E289" s="434"/>
      <c r="F289" s="434"/>
      <c r="G289" s="258"/>
      <c r="H289" s="258"/>
      <c r="I289" s="258"/>
      <c r="J289" s="258"/>
      <c r="K289" s="258"/>
      <c r="L289" s="258"/>
      <c r="M289" s="258"/>
      <c r="N289" s="258"/>
      <c r="O289" s="258"/>
      <c r="P289" s="258"/>
      <c r="Q289" s="258"/>
      <c r="R289" s="258"/>
      <c r="S289" s="258"/>
      <c r="T289" s="258"/>
      <c r="U289" s="258"/>
      <c r="V289" s="258"/>
      <c r="W289" s="258"/>
      <c r="X289" s="258"/>
      <c r="Y289" s="258"/>
      <c r="Z289" s="258"/>
      <c r="AA289" s="258"/>
      <c r="AB289" s="258"/>
      <c r="AC289" s="258"/>
      <c r="AD289" s="258"/>
      <c r="AE289" s="258"/>
      <c r="AF289" s="258"/>
      <c r="AG289" s="258"/>
      <c r="AH289" s="258"/>
      <c r="AI289" s="258"/>
      <c r="AJ289" s="261"/>
      <c r="AK289" s="261"/>
      <c r="AL289" s="261"/>
      <c r="AM289" s="548"/>
      <c r="AN289" s="548"/>
      <c r="AO289" s="176"/>
      <c r="AP289" s="121"/>
      <c r="AQ289" s="115"/>
      <c r="AR289" s="115"/>
      <c r="AS289" s="115"/>
      <c r="AT289" s="115"/>
      <c r="AU289" s="115"/>
      <c r="AV289" s="115"/>
    </row>
    <row r="290" spans="1:48" ht="21" customHeight="1" thickBot="1" x14ac:dyDescent="0.45">
      <c r="A290" s="115"/>
      <c r="B290" s="1298"/>
      <c r="C290" s="1298"/>
      <c r="D290" s="115"/>
      <c r="E290" s="434"/>
      <c r="F290" s="434"/>
      <c r="G290" s="258"/>
      <c r="H290" s="258"/>
      <c r="I290" s="258"/>
      <c r="J290" s="258"/>
      <c r="K290" s="258"/>
      <c r="L290" s="258"/>
      <c r="M290" s="258"/>
      <c r="N290" s="258"/>
      <c r="O290" s="258"/>
      <c r="P290" s="258"/>
      <c r="Q290" s="258"/>
      <c r="R290" s="258"/>
      <c r="S290" s="258"/>
      <c r="T290" s="258"/>
      <c r="U290" s="258"/>
      <c r="V290" s="258"/>
      <c r="W290" s="258"/>
      <c r="X290" s="258"/>
      <c r="Y290" s="258"/>
      <c r="Z290" s="258"/>
      <c r="AA290" s="258"/>
      <c r="AB290" s="258"/>
      <c r="AC290" s="258"/>
      <c r="AD290" s="258"/>
      <c r="AE290" s="258"/>
      <c r="AF290" s="258"/>
      <c r="AG290" s="258"/>
      <c r="AH290" s="258"/>
      <c r="AI290" s="258"/>
      <c r="AJ290" s="261"/>
      <c r="AK290" s="261"/>
      <c r="AL290" s="261"/>
      <c r="AM290" s="548"/>
      <c r="AN290" s="548"/>
      <c r="AO290" s="176"/>
      <c r="AP290" s="121"/>
      <c r="AQ290" s="115"/>
      <c r="AR290" s="115"/>
      <c r="AS290" s="115"/>
      <c r="AT290" s="115"/>
      <c r="AU290" s="115"/>
      <c r="AV290" s="115"/>
    </row>
    <row r="291" spans="1:48" ht="21" customHeight="1" thickBot="1" x14ac:dyDescent="0.45">
      <c r="A291" s="115"/>
      <c r="B291" s="1298"/>
      <c r="C291" s="1298"/>
      <c r="D291" s="115"/>
      <c r="E291" s="434"/>
      <c r="F291" s="434"/>
      <c r="G291" s="258"/>
      <c r="H291" s="258"/>
      <c r="I291" s="258"/>
      <c r="J291" s="258"/>
      <c r="K291" s="258"/>
      <c r="L291" s="258"/>
      <c r="M291" s="258"/>
      <c r="N291" s="258"/>
      <c r="O291" s="258"/>
      <c r="P291" s="258"/>
      <c r="Q291" s="258"/>
      <c r="R291" s="258"/>
      <c r="S291" s="258"/>
      <c r="T291" s="258"/>
      <c r="U291" s="258"/>
      <c r="V291" s="258"/>
      <c r="W291" s="258"/>
      <c r="X291" s="258"/>
      <c r="Y291" s="258"/>
      <c r="Z291" s="258"/>
      <c r="AA291" s="258"/>
      <c r="AB291" s="258"/>
      <c r="AC291" s="258"/>
      <c r="AD291" s="258"/>
      <c r="AE291" s="258"/>
      <c r="AF291" s="258"/>
      <c r="AG291" s="258"/>
      <c r="AH291" s="258"/>
      <c r="AI291" s="258"/>
      <c r="AJ291" s="261"/>
      <c r="AK291" s="261"/>
      <c r="AL291" s="261"/>
      <c r="AM291" s="548"/>
      <c r="AN291" s="548"/>
      <c r="AO291" s="176"/>
      <c r="AP291" s="121"/>
      <c r="AQ291" s="115"/>
      <c r="AR291" s="115"/>
      <c r="AS291" s="115"/>
      <c r="AT291" s="115"/>
      <c r="AU291" s="115"/>
      <c r="AV291" s="115"/>
    </row>
    <row r="292" spans="1:48" ht="21" customHeight="1" thickBot="1" x14ac:dyDescent="0.45">
      <c r="A292" s="115"/>
      <c r="B292" s="1298"/>
      <c r="C292" s="1298"/>
      <c r="D292" s="115"/>
      <c r="E292" s="434"/>
      <c r="F292" s="434"/>
      <c r="G292" s="258"/>
      <c r="H292" s="258"/>
      <c r="I292" s="258"/>
      <c r="J292" s="258"/>
      <c r="K292" s="258"/>
      <c r="L292" s="258"/>
      <c r="M292" s="258"/>
      <c r="N292" s="258"/>
      <c r="O292" s="258"/>
      <c r="P292" s="258"/>
      <c r="Q292" s="258"/>
      <c r="R292" s="258"/>
      <c r="S292" s="258"/>
      <c r="T292" s="258"/>
      <c r="U292" s="258"/>
      <c r="V292" s="258"/>
      <c r="W292" s="258"/>
      <c r="X292" s="258"/>
      <c r="Y292" s="258"/>
      <c r="Z292" s="258"/>
      <c r="AA292" s="258"/>
      <c r="AB292" s="258"/>
      <c r="AC292" s="258"/>
      <c r="AD292" s="258"/>
      <c r="AE292" s="258"/>
      <c r="AF292" s="258"/>
      <c r="AG292" s="258"/>
      <c r="AH292" s="258"/>
      <c r="AI292" s="258"/>
      <c r="AJ292" s="261"/>
      <c r="AK292" s="261"/>
      <c r="AL292" s="261"/>
      <c r="AM292" s="548"/>
      <c r="AN292" s="548"/>
      <c r="AO292" s="176"/>
      <c r="AP292" s="121"/>
      <c r="AQ292" s="115"/>
      <c r="AR292" s="115"/>
      <c r="AS292" s="115"/>
      <c r="AT292" s="115"/>
      <c r="AU292" s="115"/>
      <c r="AV292" s="115"/>
    </row>
    <row r="293" spans="1:48" ht="21" customHeight="1" thickBot="1" x14ac:dyDescent="0.45">
      <c r="A293" s="115"/>
      <c r="B293" s="1298"/>
      <c r="C293" s="1298"/>
      <c r="D293" s="115"/>
      <c r="E293" s="434"/>
      <c r="F293" s="434"/>
      <c r="G293" s="258"/>
      <c r="H293" s="258"/>
      <c r="I293" s="258"/>
      <c r="J293" s="258"/>
      <c r="K293" s="258"/>
      <c r="L293" s="258"/>
      <c r="M293" s="258"/>
      <c r="N293" s="258"/>
      <c r="O293" s="258"/>
      <c r="P293" s="258"/>
      <c r="Q293" s="258"/>
      <c r="R293" s="258"/>
      <c r="S293" s="258"/>
      <c r="T293" s="258"/>
      <c r="U293" s="258"/>
      <c r="V293" s="258"/>
      <c r="W293" s="258"/>
      <c r="X293" s="258"/>
      <c r="Y293" s="258"/>
      <c r="Z293" s="258"/>
      <c r="AA293" s="258"/>
      <c r="AB293" s="258"/>
      <c r="AC293" s="258"/>
      <c r="AD293" s="258"/>
      <c r="AE293" s="258"/>
      <c r="AF293" s="258"/>
      <c r="AG293" s="258"/>
      <c r="AH293" s="258"/>
      <c r="AI293" s="258"/>
      <c r="AJ293" s="261"/>
      <c r="AK293" s="261"/>
      <c r="AL293" s="261"/>
      <c r="AM293" s="548"/>
      <c r="AN293" s="548"/>
      <c r="AO293" s="176"/>
      <c r="AP293" s="121"/>
      <c r="AQ293" s="115"/>
      <c r="AR293" s="115"/>
      <c r="AS293" s="115"/>
      <c r="AT293" s="115"/>
      <c r="AU293" s="115"/>
      <c r="AV293" s="115"/>
    </row>
    <row r="294" spans="1:48" ht="21" customHeight="1" thickBot="1" x14ac:dyDescent="0.45">
      <c r="A294" s="115"/>
      <c r="B294" s="1298"/>
      <c r="C294" s="1298"/>
      <c r="D294" s="115"/>
      <c r="E294" s="434"/>
      <c r="F294" s="434"/>
      <c r="G294" s="258"/>
      <c r="H294" s="258"/>
      <c r="I294" s="258"/>
      <c r="J294" s="258"/>
      <c r="K294" s="258"/>
      <c r="L294" s="258"/>
      <c r="M294" s="258"/>
      <c r="N294" s="258"/>
      <c r="O294" s="258"/>
      <c r="P294" s="258"/>
      <c r="Q294" s="258"/>
      <c r="R294" s="258"/>
      <c r="S294" s="258"/>
      <c r="T294" s="258"/>
      <c r="U294" s="258"/>
      <c r="V294" s="258"/>
      <c r="W294" s="258"/>
      <c r="X294" s="258"/>
      <c r="Y294" s="258"/>
      <c r="Z294" s="258"/>
      <c r="AA294" s="258"/>
      <c r="AB294" s="258"/>
      <c r="AC294" s="258"/>
      <c r="AD294" s="258"/>
      <c r="AE294" s="258"/>
      <c r="AF294" s="258"/>
      <c r="AG294" s="258"/>
      <c r="AH294" s="258"/>
      <c r="AI294" s="258"/>
      <c r="AJ294" s="261"/>
      <c r="AK294" s="261"/>
      <c r="AL294" s="261"/>
      <c r="AM294" s="548"/>
      <c r="AN294" s="548"/>
      <c r="AO294" s="176"/>
      <c r="AP294" s="121"/>
      <c r="AQ294" s="115"/>
      <c r="AR294" s="115"/>
      <c r="AS294" s="115"/>
      <c r="AT294" s="115"/>
      <c r="AU294" s="115"/>
      <c r="AV294" s="115"/>
    </row>
    <row r="295" spans="1:48" ht="21" customHeight="1" thickBot="1" x14ac:dyDescent="0.45">
      <c r="A295" s="115"/>
      <c r="B295" s="1298"/>
      <c r="C295" s="1298"/>
      <c r="D295" s="115"/>
      <c r="E295" s="434"/>
      <c r="F295" s="434"/>
      <c r="G295" s="258"/>
      <c r="H295" s="258"/>
      <c r="I295" s="258"/>
      <c r="J295" s="258"/>
      <c r="K295" s="258"/>
      <c r="L295" s="258"/>
      <c r="M295" s="258"/>
      <c r="N295" s="258"/>
      <c r="O295" s="258"/>
      <c r="P295" s="258"/>
      <c r="Q295" s="258"/>
      <c r="R295" s="258"/>
      <c r="S295" s="258"/>
      <c r="T295" s="258"/>
      <c r="U295" s="258"/>
      <c r="V295" s="258"/>
      <c r="W295" s="258"/>
      <c r="X295" s="258"/>
      <c r="Y295" s="258"/>
      <c r="Z295" s="258"/>
      <c r="AA295" s="258"/>
      <c r="AB295" s="258"/>
      <c r="AC295" s="258"/>
      <c r="AD295" s="258"/>
      <c r="AE295" s="258"/>
      <c r="AF295" s="258"/>
      <c r="AG295" s="258"/>
      <c r="AH295" s="258"/>
      <c r="AI295" s="258"/>
      <c r="AJ295" s="261"/>
      <c r="AK295" s="261"/>
      <c r="AL295" s="261"/>
      <c r="AM295" s="548"/>
      <c r="AN295" s="548"/>
      <c r="AO295" s="176"/>
      <c r="AP295" s="121"/>
      <c r="AQ295" s="115"/>
      <c r="AR295" s="115"/>
      <c r="AS295" s="115"/>
      <c r="AT295" s="115"/>
      <c r="AU295" s="115"/>
      <c r="AV295" s="115"/>
    </row>
    <row r="296" spans="1:48" ht="21" customHeight="1" thickBot="1" x14ac:dyDescent="0.45">
      <c r="A296" s="115"/>
      <c r="B296" s="1298"/>
      <c r="C296" s="1298"/>
      <c r="D296" s="115"/>
      <c r="E296" s="434"/>
      <c r="F296" s="434"/>
      <c r="G296" s="258"/>
      <c r="H296" s="258"/>
      <c r="I296" s="258"/>
      <c r="J296" s="258"/>
      <c r="K296" s="258"/>
      <c r="L296" s="258"/>
      <c r="M296" s="258"/>
      <c r="N296" s="258"/>
      <c r="O296" s="258"/>
      <c r="P296" s="258"/>
      <c r="Q296" s="258"/>
      <c r="R296" s="258"/>
      <c r="S296" s="258"/>
      <c r="T296" s="258"/>
      <c r="U296" s="258"/>
      <c r="V296" s="258"/>
      <c r="W296" s="258"/>
      <c r="X296" s="258"/>
      <c r="Y296" s="258"/>
      <c r="Z296" s="258"/>
      <c r="AA296" s="258"/>
      <c r="AB296" s="258"/>
      <c r="AC296" s="258"/>
      <c r="AD296" s="258"/>
      <c r="AE296" s="258"/>
      <c r="AF296" s="258"/>
      <c r="AG296" s="258"/>
      <c r="AH296" s="258"/>
      <c r="AI296" s="258"/>
      <c r="AJ296" s="261"/>
      <c r="AK296" s="261"/>
      <c r="AL296" s="261"/>
      <c r="AM296" s="548"/>
      <c r="AN296" s="548"/>
      <c r="AO296" s="176"/>
      <c r="AP296" s="121"/>
      <c r="AQ296" s="115"/>
      <c r="AR296" s="115"/>
      <c r="AS296" s="115"/>
      <c r="AT296" s="115"/>
      <c r="AU296" s="115"/>
      <c r="AV296" s="115"/>
    </row>
    <row r="297" spans="1:48" ht="21" customHeight="1" thickBot="1" x14ac:dyDescent="0.45">
      <c r="A297" s="115"/>
      <c r="B297" s="1298"/>
      <c r="C297" s="1298"/>
      <c r="D297" s="115"/>
      <c r="E297" s="434"/>
      <c r="F297" s="434"/>
      <c r="G297" s="258"/>
      <c r="H297" s="258"/>
      <c r="I297" s="258"/>
      <c r="J297" s="258"/>
      <c r="K297" s="258"/>
      <c r="L297" s="258"/>
      <c r="M297" s="258"/>
      <c r="N297" s="258"/>
      <c r="O297" s="258"/>
      <c r="P297" s="258"/>
      <c r="Q297" s="258"/>
      <c r="R297" s="258"/>
      <c r="S297" s="258"/>
      <c r="T297" s="258"/>
      <c r="U297" s="258"/>
      <c r="V297" s="258"/>
      <c r="W297" s="258"/>
      <c r="X297" s="258"/>
      <c r="Y297" s="258"/>
      <c r="Z297" s="258"/>
      <c r="AA297" s="258"/>
      <c r="AB297" s="258"/>
      <c r="AC297" s="258"/>
      <c r="AD297" s="258"/>
      <c r="AE297" s="258"/>
      <c r="AF297" s="258"/>
      <c r="AG297" s="258"/>
      <c r="AH297" s="258"/>
      <c r="AI297" s="258"/>
      <c r="AJ297" s="261"/>
      <c r="AK297" s="261"/>
      <c r="AL297" s="261"/>
      <c r="AM297" s="548"/>
      <c r="AN297" s="548"/>
      <c r="AO297" s="176"/>
      <c r="AP297" s="121"/>
      <c r="AQ297" s="115"/>
      <c r="AR297" s="115"/>
      <c r="AS297" s="115"/>
      <c r="AT297" s="115"/>
      <c r="AU297" s="115"/>
      <c r="AV297" s="115"/>
    </row>
    <row r="298" spans="1:48" ht="21" customHeight="1" thickBot="1" x14ac:dyDescent="0.45">
      <c r="A298" s="115"/>
      <c r="B298" s="1298"/>
      <c r="C298" s="1298"/>
      <c r="D298" s="115"/>
      <c r="E298" s="434"/>
      <c r="F298" s="434"/>
      <c r="G298" s="258"/>
      <c r="H298" s="258"/>
      <c r="I298" s="258"/>
      <c r="J298" s="258"/>
      <c r="K298" s="258"/>
      <c r="L298" s="258"/>
      <c r="M298" s="258"/>
      <c r="N298" s="258"/>
      <c r="O298" s="258"/>
      <c r="P298" s="258"/>
      <c r="Q298" s="258"/>
      <c r="R298" s="258"/>
      <c r="S298" s="258"/>
      <c r="T298" s="258"/>
      <c r="U298" s="258"/>
      <c r="V298" s="258"/>
      <c r="W298" s="258"/>
      <c r="X298" s="258"/>
      <c r="Y298" s="258"/>
      <c r="Z298" s="258"/>
      <c r="AA298" s="258"/>
      <c r="AB298" s="258"/>
      <c r="AC298" s="258"/>
      <c r="AD298" s="258"/>
      <c r="AE298" s="258"/>
      <c r="AF298" s="258"/>
      <c r="AG298" s="258"/>
      <c r="AH298" s="258"/>
      <c r="AI298" s="258"/>
      <c r="AJ298" s="261"/>
      <c r="AK298" s="261"/>
      <c r="AL298" s="261"/>
      <c r="AM298" s="548"/>
      <c r="AN298" s="548"/>
      <c r="AO298" s="176"/>
      <c r="AP298" s="121"/>
      <c r="AQ298" s="115"/>
      <c r="AR298" s="115"/>
      <c r="AS298" s="115"/>
      <c r="AT298" s="115"/>
      <c r="AU298" s="115"/>
      <c r="AV298" s="115"/>
    </row>
    <row r="299" spans="1:48" ht="21" customHeight="1" thickBot="1" x14ac:dyDescent="0.45">
      <c r="A299" s="115"/>
      <c r="B299" s="1298"/>
      <c r="C299" s="1298"/>
      <c r="D299" s="115"/>
      <c r="E299" s="434"/>
      <c r="F299" s="434"/>
      <c r="G299" s="258"/>
      <c r="H299" s="258"/>
      <c r="I299" s="258"/>
      <c r="J299" s="258"/>
      <c r="K299" s="258"/>
      <c r="L299" s="258"/>
      <c r="M299" s="258"/>
      <c r="N299" s="258"/>
      <c r="O299" s="258"/>
      <c r="P299" s="258"/>
      <c r="Q299" s="258"/>
      <c r="R299" s="258"/>
      <c r="S299" s="258"/>
      <c r="T299" s="258"/>
      <c r="U299" s="258"/>
      <c r="V299" s="258"/>
      <c r="W299" s="258"/>
      <c r="X299" s="258"/>
      <c r="Y299" s="258"/>
      <c r="Z299" s="258"/>
      <c r="AA299" s="258"/>
      <c r="AB299" s="258"/>
      <c r="AC299" s="258"/>
      <c r="AD299" s="258"/>
      <c r="AE299" s="258"/>
      <c r="AF299" s="258"/>
      <c r="AG299" s="258"/>
      <c r="AH299" s="258"/>
      <c r="AI299" s="258"/>
      <c r="AJ299" s="261"/>
      <c r="AK299" s="261"/>
      <c r="AL299" s="261"/>
      <c r="AM299" s="548"/>
      <c r="AN299" s="548"/>
      <c r="AO299" s="176"/>
      <c r="AP299" s="121"/>
      <c r="AQ299" s="115"/>
      <c r="AR299" s="115"/>
      <c r="AS299" s="115"/>
      <c r="AT299" s="115"/>
      <c r="AU299" s="115"/>
      <c r="AV299" s="115"/>
    </row>
    <row r="300" spans="1:48" ht="21" customHeight="1" thickBot="1" x14ac:dyDescent="0.45">
      <c r="A300" s="115"/>
      <c r="B300" s="1298"/>
      <c r="C300" s="1298"/>
      <c r="D300" s="115"/>
      <c r="E300" s="434"/>
      <c r="F300" s="434"/>
      <c r="G300" s="258"/>
      <c r="H300" s="258"/>
      <c r="I300" s="258"/>
      <c r="J300" s="258"/>
      <c r="K300" s="258"/>
      <c r="L300" s="258"/>
      <c r="M300" s="258"/>
      <c r="N300" s="258"/>
      <c r="O300" s="258"/>
      <c r="P300" s="258"/>
      <c r="Q300" s="258"/>
      <c r="R300" s="258"/>
      <c r="S300" s="258"/>
      <c r="T300" s="258"/>
      <c r="U300" s="258"/>
      <c r="V300" s="258"/>
      <c r="W300" s="258"/>
      <c r="X300" s="258"/>
      <c r="Y300" s="258"/>
      <c r="Z300" s="258"/>
      <c r="AA300" s="258"/>
      <c r="AB300" s="258"/>
      <c r="AC300" s="258"/>
      <c r="AD300" s="258"/>
      <c r="AE300" s="258"/>
      <c r="AF300" s="258"/>
      <c r="AG300" s="258"/>
      <c r="AH300" s="258"/>
      <c r="AI300" s="258"/>
      <c r="AJ300" s="261"/>
      <c r="AK300" s="261"/>
      <c r="AL300" s="261"/>
      <c r="AM300" s="548"/>
      <c r="AN300" s="548"/>
      <c r="AO300" s="176"/>
      <c r="AP300" s="121"/>
      <c r="AQ300" s="115"/>
      <c r="AR300" s="115"/>
      <c r="AS300" s="115"/>
      <c r="AT300" s="115"/>
      <c r="AU300" s="115"/>
      <c r="AV300" s="115"/>
    </row>
    <row r="301" spans="1:48" ht="21" customHeight="1" thickBot="1" x14ac:dyDescent="0.45">
      <c r="A301" s="115"/>
      <c r="B301" s="1298"/>
      <c r="C301" s="1298"/>
      <c r="D301" s="115"/>
      <c r="E301" s="434"/>
      <c r="F301" s="434"/>
      <c r="G301" s="258"/>
      <c r="H301" s="258"/>
      <c r="I301" s="258"/>
      <c r="J301" s="258"/>
      <c r="K301" s="258"/>
      <c r="L301" s="258"/>
      <c r="M301" s="258"/>
      <c r="N301" s="258"/>
      <c r="O301" s="258"/>
      <c r="P301" s="258"/>
      <c r="Q301" s="258"/>
      <c r="R301" s="258"/>
      <c r="S301" s="258"/>
      <c r="T301" s="258"/>
      <c r="U301" s="258"/>
      <c r="V301" s="258"/>
      <c r="W301" s="258"/>
      <c r="X301" s="258"/>
      <c r="Y301" s="258"/>
      <c r="Z301" s="258"/>
      <c r="AA301" s="258"/>
      <c r="AB301" s="258"/>
      <c r="AC301" s="258"/>
      <c r="AD301" s="258"/>
      <c r="AE301" s="258"/>
      <c r="AF301" s="258"/>
      <c r="AG301" s="258"/>
      <c r="AH301" s="258"/>
      <c r="AI301" s="258"/>
      <c r="AJ301" s="261"/>
      <c r="AK301" s="261"/>
      <c r="AL301" s="261"/>
      <c r="AM301" s="548"/>
      <c r="AN301" s="548"/>
      <c r="AO301" s="176"/>
      <c r="AP301" s="121"/>
      <c r="AQ301" s="115"/>
      <c r="AR301" s="115"/>
      <c r="AS301" s="115"/>
      <c r="AT301" s="115"/>
      <c r="AU301" s="115"/>
      <c r="AV301" s="115"/>
    </row>
    <row r="302" spans="1:48" ht="21" customHeight="1" thickBot="1" x14ac:dyDescent="0.45">
      <c r="A302" s="115"/>
      <c r="B302" s="1298"/>
      <c r="C302" s="1298"/>
      <c r="D302" s="115"/>
      <c r="E302" s="434"/>
      <c r="F302" s="434"/>
      <c r="G302" s="258"/>
      <c r="H302" s="258"/>
      <c r="I302" s="258"/>
      <c r="J302" s="258"/>
      <c r="K302" s="258"/>
      <c r="L302" s="258"/>
      <c r="M302" s="258"/>
      <c r="N302" s="258"/>
      <c r="O302" s="258"/>
      <c r="P302" s="258"/>
      <c r="Q302" s="258"/>
      <c r="R302" s="258"/>
      <c r="S302" s="258"/>
      <c r="T302" s="258"/>
      <c r="U302" s="258"/>
      <c r="V302" s="258"/>
      <c r="W302" s="258"/>
      <c r="X302" s="258"/>
      <c r="Y302" s="258"/>
      <c r="Z302" s="258"/>
      <c r="AA302" s="258"/>
      <c r="AB302" s="258"/>
      <c r="AC302" s="258"/>
      <c r="AD302" s="258"/>
      <c r="AE302" s="258"/>
      <c r="AF302" s="258"/>
      <c r="AG302" s="258"/>
      <c r="AH302" s="258"/>
      <c r="AI302" s="258"/>
      <c r="AJ302" s="261"/>
      <c r="AK302" s="261"/>
      <c r="AL302" s="261"/>
      <c r="AM302" s="548"/>
      <c r="AN302" s="548"/>
      <c r="AO302" s="176"/>
      <c r="AP302" s="121"/>
      <c r="AQ302" s="115"/>
      <c r="AR302" s="115"/>
      <c r="AS302" s="115"/>
      <c r="AT302" s="115"/>
      <c r="AU302" s="115"/>
      <c r="AV302" s="115"/>
    </row>
    <row r="303" spans="1:48" ht="21" customHeight="1" thickBot="1" x14ac:dyDescent="0.45">
      <c r="A303" s="115"/>
      <c r="B303" s="1298"/>
      <c r="C303" s="1298"/>
      <c r="D303" s="115"/>
      <c r="E303" s="434"/>
      <c r="F303" s="434"/>
      <c r="G303" s="258"/>
      <c r="H303" s="258"/>
      <c r="I303" s="258"/>
      <c r="J303" s="258"/>
      <c r="K303" s="258"/>
      <c r="L303" s="258"/>
      <c r="M303" s="258"/>
      <c r="N303" s="258"/>
      <c r="O303" s="258"/>
      <c r="P303" s="258"/>
      <c r="Q303" s="258"/>
      <c r="R303" s="258"/>
      <c r="S303" s="258"/>
      <c r="T303" s="258"/>
      <c r="U303" s="258"/>
      <c r="V303" s="258"/>
      <c r="W303" s="258"/>
      <c r="X303" s="258"/>
      <c r="Y303" s="258"/>
      <c r="Z303" s="258"/>
      <c r="AA303" s="258"/>
      <c r="AB303" s="258"/>
      <c r="AC303" s="258"/>
      <c r="AD303" s="258"/>
      <c r="AE303" s="258"/>
      <c r="AF303" s="258"/>
      <c r="AG303" s="258"/>
      <c r="AH303" s="258"/>
      <c r="AI303" s="258"/>
      <c r="AJ303" s="261"/>
      <c r="AK303" s="261"/>
      <c r="AL303" s="261"/>
      <c r="AM303" s="548"/>
      <c r="AN303" s="548"/>
      <c r="AO303" s="176"/>
      <c r="AP303" s="121"/>
      <c r="AQ303" s="115"/>
      <c r="AR303" s="115"/>
      <c r="AS303" s="115"/>
      <c r="AT303" s="115"/>
      <c r="AU303" s="115"/>
      <c r="AV303" s="115"/>
    </row>
    <row r="304" spans="1:48" ht="21" customHeight="1" thickBot="1" x14ac:dyDescent="0.45">
      <c r="A304" s="115"/>
      <c r="B304" s="1298"/>
      <c r="C304" s="1298"/>
      <c r="D304" s="115"/>
      <c r="E304" s="434"/>
      <c r="F304" s="434"/>
      <c r="G304" s="258"/>
      <c r="H304" s="258"/>
      <c r="I304" s="258"/>
      <c r="J304" s="258"/>
      <c r="K304" s="258"/>
      <c r="L304" s="258"/>
      <c r="M304" s="258"/>
      <c r="N304" s="258"/>
      <c r="O304" s="258"/>
      <c r="P304" s="258"/>
      <c r="Q304" s="258"/>
      <c r="R304" s="258"/>
      <c r="S304" s="258"/>
      <c r="T304" s="258"/>
      <c r="U304" s="258"/>
      <c r="V304" s="258"/>
      <c r="W304" s="258"/>
      <c r="X304" s="258"/>
      <c r="Y304" s="258"/>
      <c r="Z304" s="258"/>
      <c r="AA304" s="258"/>
      <c r="AB304" s="258"/>
      <c r="AC304" s="258"/>
      <c r="AD304" s="258"/>
      <c r="AE304" s="258"/>
      <c r="AF304" s="258"/>
      <c r="AG304" s="258"/>
      <c r="AH304" s="258"/>
      <c r="AI304" s="258"/>
      <c r="AJ304" s="261"/>
      <c r="AK304" s="261"/>
      <c r="AL304" s="261"/>
      <c r="AM304" s="548"/>
      <c r="AN304" s="548"/>
      <c r="AO304" s="176"/>
      <c r="AP304" s="121"/>
      <c r="AQ304" s="115"/>
      <c r="AR304" s="115"/>
      <c r="AS304" s="115"/>
      <c r="AT304" s="115"/>
      <c r="AU304" s="115"/>
      <c r="AV304" s="115"/>
    </row>
    <row r="305" spans="1:48" ht="21" customHeight="1" thickBot="1" x14ac:dyDescent="0.45">
      <c r="A305" s="115"/>
      <c r="B305" s="1298"/>
      <c r="C305" s="1298"/>
      <c r="D305" s="115"/>
      <c r="E305" s="434"/>
      <c r="F305" s="434"/>
      <c r="G305" s="258"/>
      <c r="H305" s="258"/>
      <c r="I305" s="258"/>
      <c r="J305" s="258"/>
      <c r="K305" s="258"/>
      <c r="L305" s="258"/>
      <c r="M305" s="258"/>
      <c r="N305" s="258"/>
      <c r="O305" s="258"/>
      <c r="P305" s="258"/>
      <c r="Q305" s="258"/>
      <c r="R305" s="258"/>
      <c r="S305" s="258"/>
      <c r="T305" s="258"/>
      <c r="U305" s="258"/>
      <c r="V305" s="258"/>
      <c r="W305" s="258"/>
      <c r="X305" s="258"/>
      <c r="Y305" s="258"/>
      <c r="Z305" s="258"/>
      <c r="AA305" s="258"/>
      <c r="AB305" s="258"/>
      <c r="AC305" s="258"/>
      <c r="AD305" s="258"/>
      <c r="AE305" s="258"/>
      <c r="AF305" s="258"/>
      <c r="AG305" s="258"/>
      <c r="AH305" s="258"/>
      <c r="AI305" s="258"/>
      <c r="AJ305" s="261"/>
      <c r="AK305" s="261"/>
      <c r="AL305" s="261"/>
      <c r="AM305" s="548"/>
      <c r="AN305" s="548"/>
      <c r="AO305" s="176"/>
      <c r="AP305" s="121"/>
      <c r="AQ305" s="115"/>
      <c r="AR305" s="115"/>
      <c r="AS305" s="115"/>
      <c r="AT305" s="115"/>
      <c r="AU305" s="115"/>
      <c r="AV305" s="115"/>
    </row>
    <row r="306" spans="1:48" ht="21" customHeight="1" thickBot="1" x14ac:dyDescent="0.45">
      <c r="A306" s="115"/>
      <c r="B306" s="1298"/>
      <c r="C306" s="1298"/>
      <c r="D306" s="115"/>
      <c r="E306" s="434"/>
      <c r="F306" s="434"/>
      <c r="G306" s="258"/>
      <c r="H306" s="258"/>
      <c r="I306" s="258"/>
      <c r="J306" s="258"/>
      <c r="K306" s="258"/>
      <c r="L306" s="258"/>
      <c r="M306" s="258"/>
      <c r="N306" s="258"/>
      <c r="O306" s="258"/>
      <c r="P306" s="258"/>
      <c r="Q306" s="258"/>
      <c r="R306" s="258"/>
      <c r="S306" s="258"/>
      <c r="T306" s="258"/>
      <c r="U306" s="258"/>
      <c r="V306" s="258"/>
      <c r="W306" s="258"/>
      <c r="X306" s="258"/>
      <c r="Y306" s="258"/>
      <c r="Z306" s="258"/>
      <c r="AA306" s="258"/>
      <c r="AB306" s="258"/>
      <c r="AC306" s="258"/>
      <c r="AD306" s="258"/>
      <c r="AE306" s="258"/>
      <c r="AF306" s="258"/>
      <c r="AG306" s="258"/>
      <c r="AH306" s="258"/>
      <c r="AI306" s="258"/>
      <c r="AJ306" s="261"/>
      <c r="AK306" s="261"/>
      <c r="AL306" s="261"/>
      <c r="AM306" s="548"/>
      <c r="AN306" s="548"/>
      <c r="AO306" s="176"/>
      <c r="AP306" s="121"/>
      <c r="AQ306" s="115"/>
      <c r="AR306" s="115"/>
      <c r="AS306" s="115"/>
      <c r="AT306" s="115"/>
      <c r="AU306" s="115"/>
      <c r="AV306" s="115"/>
    </row>
    <row r="307" spans="1:48" ht="21" customHeight="1" thickBot="1" x14ac:dyDescent="0.45">
      <c r="A307" s="115"/>
      <c r="B307" s="1298"/>
      <c r="C307" s="1298"/>
      <c r="D307" s="115"/>
      <c r="E307" s="434"/>
      <c r="F307" s="434"/>
      <c r="G307" s="258"/>
      <c r="H307" s="258"/>
      <c r="I307" s="258"/>
      <c r="J307" s="258"/>
      <c r="K307" s="258"/>
      <c r="L307" s="258"/>
      <c r="M307" s="258"/>
      <c r="N307" s="258"/>
      <c r="O307" s="258"/>
      <c r="P307" s="258"/>
      <c r="Q307" s="258"/>
      <c r="R307" s="258"/>
      <c r="S307" s="258"/>
      <c r="T307" s="258"/>
      <c r="U307" s="258"/>
      <c r="V307" s="258"/>
      <c r="W307" s="258"/>
      <c r="X307" s="258"/>
      <c r="Y307" s="258"/>
      <c r="Z307" s="258"/>
      <c r="AA307" s="258"/>
      <c r="AB307" s="258"/>
      <c r="AC307" s="258"/>
      <c r="AD307" s="258"/>
      <c r="AE307" s="258"/>
      <c r="AF307" s="258"/>
      <c r="AG307" s="258"/>
      <c r="AH307" s="258"/>
      <c r="AI307" s="258"/>
      <c r="AJ307" s="261"/>
      <c r="AK307" s="261"/>
      <c r="AL307" s="261"/>
      <c r="AM307" s="548"/>
      <c r="AN307" s="548"/>
      <c r="AO307" s="176"/>
      <c r="AP307" s="121"/>
      <c r="AQ307" s="115"/>
      <c r="AR307" s="115"/>
      <c r="AS307" s="115"/>
      <c r="AT307" s="115"/>
      <c r="AU307" s="115"/>
      <c r="AV307" s="115"/>
    </row>
    <row r="308" spans="1:48" ht="21" customHeight="1" thickBot="1" x14ac:dyDescent="0.45">
      <c r="A308" s="115"/>
      <c r="B308" s="1298"/>
      <c r="C308" s="1298"/>
      <c r="D308" s="115"/>
      <c r="E308" s="434"/>
      <c r="F308" s="434"/>
      <c r="G308" s="258"/>
      <c r="H308" s="258"/>
      <c r="I308" s="258"/>
      <c r="J308" s="258"/>
      <c r="K308" s="258"/>
      <c r="L308" s="258"/>
      <c r="M308" s="258"/>
      <c r="N308" s="258"/>
      <c r="O308" s="258"/>
      <c r="P308" s="258"/>
      <c r="Q308" s="258"/>
      <c r="R308" s="258"/>
      <c r="S308" s="258"/>
      <c r="T308" s="258"/>
      <c r="U308" s="258"/>
      <c r="V308" s="258"/>
      <c r="W308" s="258"/>
      <c r="X308" s="258"/>
      <c r="Y308" s="258"/>
      <c r="Z308" s="258"/>
      <c r="AA308" s="258"/>
      <c r="AB308" s="258"/>
      <c r="AC308" s="258"/>
      <c r="AD308" s="258"/>
      <c r="AE308" s="258"/>
      <c r="AF308" s="258"/>
      <c r="AG308" s="258"/>
      <c r="AH308" s="258"/>
      <c r="AI308" s="258"/>
      <c r="AJ308" s="261"/>
      <c r="AK308" s="261"/>
      <c r="AL308" s="261"/>
      <c r="AM308" s="548"/>
      <c r="AN308" s="548"/>
      <c r="AO308" s="176"/>
      <c r="AP308" s="121"/>
      <c r="AQ308" s="115"/>
      <c r="AR308" s="115"/>
      <c r="AS308" s="115"/>
      <c r="AT308" s="115"/>
      <c r="AU308" s="115"/>
      <c r="AV308" s="115"/>
    </row>
    <row r="309" spans="1:48" ht="21" customHeight="1" thickBot="1" x14ac:dyDescent="0.45">
      <c r="A309" s="115"/>
      <c r="B309" s="1298"/>
      <c r="C309" s="1298"/>
      <c r="D309" s="115"/>
      <c r="E309" s="434"/>
      <c r="F309" s="434"/>
      <c r="G309" s="258"/>
      <c r="H309" s="258"/>
      <c r="I309" s="258"/>
      <c r="J309" s="258"/>
      <c r="K309" s="258"/>
      <c r="L309" s="258"/>
      <c r="M309" s="258"/>
      <c r="N309" s="258"/>
      <c r="O309" s="258"/>
      <c r="P309" s="258"/>
      <c r="Q309" s="258"/>
      <c r="R309" s="258"/>
      <c r="S309" s="258"/>
      <c r="T309" s="258"/>
      <c r="U309" s="258"/>
      <c r="V309" s="258"/>
      <c r="W309" s="258"/>
      <c r="X309" s="258"/>
      <c r="Y309" s="258"/>
      <c r="Z309" s="258"/>
      <c r="AA309" s="258"/>
      <c r="AB309" s="258"/>
      <c r="AC309" s="258"/>
      <c r="AD309" s="258"/>
      <c r="AE309" s="258"/>
      <c r="AF309" s="258"/>
      <c r="AG309" s="258"/>
      <c r="AH309" s="258"/>
      <c r="AI309" s="258"/>
      <c r="AJ309" s="261"/>
      <c r="AK309" s="261"/>
      <c r="AL309" s="261"/>
      <c r="AM309" s="548"/>
      <c r="AN309" s="548"/>
      <c r="AO309" s="176"/>
      <c r="AP309" s="121"/>
      <c r="AQ309" s="115"/>
      <c r="AR309" s="115"/>
      <c r="AS309" s="115"/>
      <c r="AT309" s="115"/>
      <c r="AU309" s="115"/>
      <c r="AV309" s="115"/>
    </row>
    <row r="310" spans="1:48" ht="21" customHeight="1" thickBot="1" x14ac:dyDescent="0.45">
      <c r="A310" s="115"/>
      <c r="B310" s="1298"/>
      <c r="C310" s="1298"/>
      <c r="D310" s="115"/>
      <c r="E310" s="434"/>
      <c r="F310" s="434"/>
      <c r="G310" s="258"/>
      <c r="H310" s="258"/>
      <c r="I310" s="258"/>
      <c r="J310" s="258"/>
      <c r="K310" s="258"/>
      <c r="L310" s="258"/>
      <c r="M310" s="258"/>
      <c r="N310" s="258"/>
      <c r="O310" s="258"/>
      <c r="P310" s="258"/>
      <c r="Q310" s="258"/>
      <c r="R310" s="258"/>
      <c r="S310" s="258"/>
      <c r="T310" s="258"/>
      <c r="U310" s="258"/>
      <c r="V310" s="258"/>
      <c r="W310" s="258"/>
      <c r="X310" s="258"/>
      <c r="Y310" s="258"/>
      <c r="Z310" s="258"/>
      <c r="AA310" s="258"/>
      <c r="AB310" s="258"/>
      <c r="AC310" s="258"/>
      <c r="AD310" s="258"/>
      <c r="AE310" s="258"/>
      <c r="AF310" s="258"/>
      <c r="AG310" s="258"/>
      <c r="AH310" s="258"/>
      <c r="AI310" s="258"/>
      <c r="AJ310" s="261"/>
      <c r="AK310" s="261"/>
      <c r="AL310" s="261"/>
      <c r="AM310" s="548"/>
      <c r="AN310" s="548"/>
      <c r="AO310" s="176"/>
      <c r="AP310" s="121"/>
      <c r="AQ310" s="115"/>
      <c r="AR310" s="115"/>
      <c r="AS310" s="115"/>
      <c r="AT310" s="115"/>
      <c r="AU310" s="115"/>
      <c r="AV310" s="115"/>
    </row>
    <row r="311" spans="1:48" ht="21" customHeight="1" thickBot="1" x14ac:dyDescent="0.45">
      <c r="A311" s="115"/>
      <c r="B311" s="1298"/>
      <c r="C311" s="1298"/>
      <c r="D311" s="115"/>
      <c r="E311" s="434"/>
      <c r="F311" s="434"/>
      <c r="G311" s="258"/>
      <c r="H311" s="258"/>
      <c r="I311" s="258"/>
      <c r="J311" s="258"/>
      <c r="K311" s="258"/>
      <c r="L311" s="258"/>
      <c r="M311" s="258"/>
      <c r="N311" s="258"/>
      <c r="O311" s="258"/>
      <c r="P311" s="258"/>
      <c r="Q311" s="258"/>
      <c r="R311" s="258"/>
      <c r="S311" s="258"/>
      <c r="T311" s="258"/>
      <c r="U311" s="258"/>
      <c r="V311" s="258"/>
      <c r="W311" s="258"/>
      <c r="X311" s="258"/>
      <c r="Y311" s="258"/>
      <c r="Z311" s="258"/>
      <c r="AA311" s="258"/>
      <c r="AB311" s="258"/>
      <c r="AC311" s="258"/>
      <c r="AD311" s="258"/>
      <c r="AE311" s="258"/>
      <c r="AF311" s="258"/>
      <c r="AG311" s="258"/>
      <c r="AH311" s="258"/>
      <c r="AI311" s="258"/>
      <c r="AJ311" s="261"/>
      <c r="AK311" s="261"/>
      <c r="AL311" s="261"/>
      <c r="AM311" s="548"/>
      <c r="AN311" s="548"/>
      <c r="AO311" s="176"/>
      <c r="AP311" s="121"/>
      <c r="AQ311" s="115"/>
      <c r="AR311" s="115"/>
      <c r="AS311" s="115"/>
      <c r="AT311" s="115"/>
      <c r="AU311" s="115"/>
      <c r="AV311" s="115"/>
    </row>
    <row r="312" spans="1:48" ht="21" customHeight="1" thickBot="1" x14ac:dyDescent="0.45">
      <c r="A312" s="115"/>
      <c r="B312" s="1298"/>
      <c r="C312" s="1298"/>
      <c r="D312" s="115"/>
      <c r="E312" s="434"/>
      <c r="F312" s="434"/>
      <c r="G312" s="258"/>
      <c r="H312" s="258"/>
      <c r="I312" s="258"/>
      <c r="J312" s="258"/>
      <c r="K312" s="258"/>
      <c r="L312" s="258"/>
      <c r="M312" s="258"/>
      <c r="N312" s="258"/>
      <c r="O312" s="258"/>
      <c r="P312" s="258"/>
      <c r="Q312" s="258"/>
      <c r="R312" s="258"/>
      <c r="S312" s="258"/>
      <c r="T312" s="258"/>
      <c r="U312" s="258"/>
      <c r="V312" s="258"/>
      <c r="W312" s="258"/>
      <c r="X312" s="258"/>
      <c r="Y312" s="258"/>
      <c r="Z312" s="258"/>
      <c r="AA312" s="258"/>
      <c r="AB312" s="258"/>
      <c r="AC312" s="258"/>
      <c r="AD312" s="258"/>
      <c r="AE312" s="258"/>
      <c r="AF312" s="258"/>
      <c r="AG312" s="258"/>
      <c r="AH312" s="258"/>
      <c r="AI312" s="258"/>
      <c r="AJ312" s="261"/>
      <c r="AK312" s="261"/>
      <c r="AL312" s="261"/>
      <c r="AM312" s="548"/>
      <c r="AN312" s="548"/>
      <c r="AO312" s="176"/>
      <c r="AP312" s="121"/>
      <c r="AQ312" s="115"/>
      <c r="AR312" s="115"/>
      <c r="AS312" s="115"/>
      <c r="AT312" s="115"/>
      <c r="AU312" s="115"/>
      <c r="AV312" s="115"/>
    </row>
    <row r="313" spans="1:48" ht="21" customHeight="1" thickBot="1" x14ac:dyDescent="0.45">
      <c r="A313" s="115"/>
      <c r="B313" s="1298"/>
      <c r="C313" s="1298"/>
      <c r="D313" s="115"/>
      <c r="E313" s="434"/>
      <c r="F313" s="434"/>
      <c r="G313" s="258"/>
      <c r="H313" s="258"/>
      <c r="I313" s="258"/>
      <c r="J313" s="258"/>
      <c r="K313" s="258"/>
      <c r="L313" s="258"/>
      <c r="M313" s="258"/>
      <c r="N313" s="258"/>
      <c r="O313" s="258"/>
      <c r="P313" s="258"/>
      <c r="Q313" s="258"/>
      <c r="R313" s="258"/>
      <c r="S313" s="258"/>
      <c r="T313" s="258"/>
      <c r="U313" s="258"/>
      <c r="V313" s="258"/>
      <c r="W313" s="258"/>
      <c r="X313" s="258"/>
      <c r="Y313" s="258"/>
      <c r="Z313" s="258"/>
      <c r="AA313" s="258"/>
      <c r="AB313" s="258"/>
      <c r="AC313" s="258"/>
      <c r="AD313" s="258"/>
      <c r="AE313" s="258"/>
      <c r="AF313" s="258"/>
      <c r="AG313" s="258"/>
      <c r="AH313" s="258"/>
      <c r="AI313" s="258"/>
      <c r="AJ313" s="261"/>
      <c r="AK313" s="261"/>
      <c r="AL313" s="261"/>
      <c r="AM313" s="548"/>
      <c r="AN313" s="548"/>
      <c r="AO313" s="176"/>
      <c r="AP313" s="121"/>
      <c r="AQ313" s="115"/>
      <c r="AR313" s="115"/>
      <c r="AS313" s="115"/>
      <c r="AT313" s="115"/>
      <c r="AU313" s="115"/>
      <c r="AV313" s="115"/>
    </row>
    <row r="314" spans="1:48" ht="21" customHeight="1" thickBot="1" x14ac:dyDescent="0.45">
      <c r="A314" s="115"/>
      <c r="B314" s="1298"/>
      <c r="C314" s="1298"/>
      <c r="D314" s="115"/>
      <c r="E314" s="434"/>
      <c r="F314" s="434"/>
      <c r="G314" s="258"/>
      <c r="H314" s="258"/>
      <c r="I314" s="258"/>
      <c r="J314" s="258"/>
      <c r="K314" s="258"/>
      <c r="L314" s="258"/>
      <c r="M314" s="258"/>
      <c r="N314" s="258"/>
      <c r="O314" s="258"/>
      <c r="P314" s="258"/>
      <c r="Q314" s="258"/>
      <c r="R314" s="258"/>
      <c r="S314" s="258"/>
      <c r="T314" s="258"/>
      <c r="U314" s="258"/>
      <c r="V314" s="258"/>
      <c r="W314" s="258"/>
      <c r="X314" s="258"/>
      <c r="Y314" s="258"/>
      <c r="Z314" s="258"/>
      <c r="AA314" s="258"/>
      <c r="AB314" s="258"/>
      <c r="AC314" s="258"/>
      <c r="AD314" s="258"/>
      <c r="AE314" s="258"/>
      <c r="AF314" s="258"/>
      <c r="AG314" s="258"/>
      <c r="AH314" s="258"/>
      <c r="AI314" s="258"/>
      <c r="AJ314" s="261"/>
      <c r="AK314" s="261"/>
      <c r="AL314" s="261"/>
      <c r="AM314" s="548"/>
      <c r="AN314" s="548"/>
      <c r="AO314" s="176"/>
      <c r="AP314" s="121"/>
      <c r="AQ314" s="115"/>
      <c r="AR314" s="115"/>
      <c r="AS314" s="115"/>
      <c r="AT314" s="115"/>
      <c r="AU314" s="115"/>
      <c r="AV314" s="115"/>
    </row>
    <row r="315" spans="1:48" ht="21" customHeight="1" thickBot="1" x14ac:dyDescent="0.45">
      <c r="A315" s="115"/>
      <c r="B315" s="1298"/>
      <c r="C315" s="1298"/>
      <c r="D315" s="115"/>
      <c r="E315" s="434"/>
      <c r="F315" s="434"/>
      <c r="G315" s="258"/>
      <c r="H315" s="258"/>
      <c r="I315" s="258"/>
      <c r="J315" s="258"/>
      <c r="K315" s="258"/>
      <c r="L315" s="258"/>
      <c r="M315" s="258"/>
      <c r="N315" s="258"/>
      <c r="O315" s="258"/>
      <c r="P315" s="258"/>
      <c r="Q315" s="258"/>
      <c r="R315" s="258"/>
      <c r="S315" s="258"/>
      <c r="T315" s="258"/>
      <c r="U315" s="258"/>
      <c r="V315" s="258"/>
      <c r="W315" s="258"/>
      <c r="X315" s="258"/>
      <c r="Y315" s="258"/>
      <c r="Z315" s="258"/>
      <c r="AA315" s="258"/>
      <c r="AB315" s="258"/>
      <c r="AC315" s="258"/>
      <c r="AD315" s="258"/>
      <c r="AE315" s="258"/>
      <c r="AF315" s="258"/>
      <c r="AG315" s="258"/>
      <c r="AH315" s="258"/>
      <c r="AI315" s="258"/>
      <c r="AJ315" s="261"/>
      <c r="AK315" s="261"/>
      <c r="AL315" s="261"/>
      <c r="AM315" s="548"/>
      <c r="AN315" s="548"/>
      <c r="AO315" s="176"/>
      <c r="AP315" s="121"/>
      <c r="AQ315" s="115"/>
      <c r="AR315" s="115"/>
      <c r="AS315" s="115"/>
      <c r="AT315" s="115"/>
      <c r="AU315" s="115"/>
      <c r="AV315" s="115"/>
    </row>
    <row r="316" spans="1:48" ht="21" customHeight="1" thickBot="1" x14ac:dyDescent="0.45">
      <c r="A316" s="115"/>
      <c r="B316" s="1298"/>
      <c r="C316" s="1298"/>
      <c r="D316" s="115"/>
      <c r="E316" s="434"/>
      <c r="F316" s="434"/>
      <c r="G316" s="258"/>
      <c r="H316" s="258"/>
      <c r="I316" s="258"/>
      <c r="J316" s="258"/>
      <c r="K316" s="258"/>
      <c r="L316" s="258"/>
      <c r="M316" s="258"/>
      <c r="N316" s="258"/>
      <c r="O316" s="258"/>
      <c r="P316" s="258"/>
      <c r="Q316" s="258"/>
      <c r="R316" s="258"/>
      <c r="S316" s="258"/>
      <c r="T316" s="258"/>
      <c r="U316" s="258"/>
      <c r="V316" s="258"/>
      <c r="W316" s="258"/>
      <c r="X316" s="258"/>
      <c r="Y316" s="258"/>
      <c r="Z316" s="258"/>
      <c r="AA316" s="258"/>
      <c r="AB316" s="258"/>
      <c r="AC316" s="258"/>
      <c r="AD316" s="258"/>
      <c r="AE316" s="258"/>
      <c r="AF316" s="258"/>
      <c r="AG316" s="258"/>
      <c r="AH316" s="258"/>
      <c r="AI316" s="258"/>
      <c r="AJ316" s="261"/>
      <c r="AK316" s="261"/>
      <c r="AL316" s="261"/>
      <c r="AM316" s="548"/>
      <c r="AN316" s="548"/>
      <c r="AO316" s="176"/>
      <c r="AP316" s="121"/>
      <c r="AQ316" s="115"/>
      <c r="AR316" s="115"/>
      <c r="AS316" s="115"/>
      <c r="AT316" s="115"/>
      <c r="AU316" s="115"/>
      <c r="AV316" s="115"/>
    </row>
    <row r="317" spans="1:48" ht="21" customHeight="1" thickBot="1" x14ac:dyDescent="0.45">
      <c r="A317" s="115"/>
      <c r="B317" s="1298"/>
      <c r="C317" s="1298"/>
      <c r="D317" s="115"/>
      <c r="E317" s="434"/>
      <c r="F317" s="434"/>
      <c r="G317" s="258"/>
      <c r="H317" s="258"/>
      <c r="I317" s="258"/>
      <c r="J317" s="258"/>
      <c r="K317" s="258"/>
      <c r="L317" s="258"/>
      <c r="M317" s="258"/>
      <c r="N317" s="258"/>
      <c r="O317" s="258"/>
      <c r="P317" s="258"/>
      <c r="Q317" s="258"/>
      <c r="R317" s="258"/>
      <c r="S317" s="258"/>
      <c r="T317" s="258"/>
      <c r="U317" s="258"/>
      <c r="V317" s="258"/>
      <c r="W317" s="258"/>
      <c r="X317" s="258"/>
      <c r="Y317" s="258"/>
      <c r="Z317" s="258"/>
      <c r="AA317" s="258"/>
      <c r="AB317" s="258"/>
      <c r="AC317" s="258"/>
      <c r="AD317" s="258"/>
      <c r="AE317" s="258"/>
      <c r="AF317" s="258"/>
      <c r="AG317" s="258"/>
      <c r="AH317" s="258"/>
      <c r="AI317" s="258"/>
      <c r="AJ317" s="261"/>
      <c r="AK317" s="261"/>
      <c r="AL317" s="261"/>
      <c r="AM317" s="548"/>
      <c r="AN317" s="548"/>
      <c r="AO317" s="176"/>
      <c r="AP317" s="121"/>
      <c r="AQ317" s="115"/>
      <c r="AR317" s="115"/>
      <c r="AS317" s="115"/>
      <c r="AT317" s="115"/>
      <c r="AU317" s="115"/>
      <c r="AV317" s="115"/>
    </row>
    <row r="318" spans="1:48" ht="21" customHeight="1" thickBot="1" x14ac:dyDescent="0.45">
      <c r="A318" s="115"/>
      <c r="B318" s="1298"/>
      <c r="C318" s="1298"/>
      <c r="D318" s="115"/>
      <c r="E318" s="434"/>
      <c r="F318" s="434"/>
      <c r="G318" s="258"/>
      <c r="H318" s="258"/>
      <c r="I318" s="258"/>
      <c r="J318" s="258"/>
      <c r="K318" s="258"/>
      <c r="L318" s="258"/>
      <c r="M318" s="258"/>
      <c r="N318" s="258"/>
      <c r="O318" s="258"/>
      <c r="P318" s="258"/>
      <c r="Q318" s="258"/>
      <c r="R318" s="258"/>
      <c r="S318" s="258"/>
      <c r="T318" s="258"/>
      <c r="U318" s="258"/>
      <c r="V318" s="258"/>
      <c r="W318" s="258"/>
      <c r="X318" s="258"/>
      <c r="Y318" s="258"/>
      <c r="Z318" s="258"/>
      <c r="AA318" s="258"/>
      <c r="AB318" s="258"/>
      <c r="AC318" s="258"/>
      <c r="AD318" s="258"/>
      <c r="AE318" s="258"/>
      <c r="AF318" s="258"/>
      <c r="AG318" s="258"/>
      <c r="AH318" s="258"/>
      <c r="AI318" s="258"/>
      <c r="AJ318" s="261"/>
      <c r="AK318" s="261"/>
      <c r="AL318" s="261"/>
      <c r="AM318" s="548"/>
      <c r="AN318" s="548"/>
      <c r="AO318" s="176"/>
      <c r="AP318" s="121"/>
      <c r="AQ318" s="115"/>
      <c r="AR318" s="115"/>
      <c r="AS318" s="115"/>
      <c r="AT318" s="115"/>
      <c r="AU318" s="115"/>
      <c r="AV318" s="115"/>
    </row>
    <row r="319" spans="1:48" ht="21" customHeight="1" thickBot="1" x14ac:dyDescent="0.45">
      <c r="A319" s="115"/>
      <c r="B319" s="1298"/>
      <c r="C319" s="1298"/>
      <c r="D319" s="115"/>
      <c r="E319" s="434"/>
      <c r="F319" s="434"/>
      <c r="G319" s="258"/>
      <c r="H319" s="258"/>
      <c r="I319" s="258"/>
      <c r="J319" s="258"/>
      <c r="K319" s="258"/>
      <c r="L319" s="258"/>
      <c r="M319" s="258"/>
      <c r="N319" s="258"/>
      <c r="O319" s="258"/>
      <c r="P319" s="258"/>
      <c r="Q319" s="258"/>
      <c r="R319" s="258"/>
      <c r="S319" s="258"/>
      <c r="T319" s="258"/>
      <c r="U319" s="258"/>
      <c r="V319" s="258"/>
      <c r="W319" s="258"/>
      <c r="X319" s="258"/>
      <c r="Y319" s="258"/>
      <c r="Z319" s="258"/>
      <c r="AA319" s="258"/>
      <c r="AB319" s="258"/>
      <c r="AC319" s="258"/>
      <c r="AD319" s="258"/>
      <c r="AE319" s="258"/>
      <c r="AF319" s="258"/>
      <c r="AG319" s="258"/>
      <c r="AH319" s="258"/>
      <c r="AI319" s="258"/>
      <c r="AJ319" s="261"/>
      <c r="AK319" s="261"/>
      <c r="AL319" s="261"/>
      <c r="AM319" s="548"/>
      <c r="AN319" s="548"/>
      <c r="AO319" s="176"/>
      <c r="AP319" s="121"/>
      <c r="AQ319" s="115"/>
      <c r="AR319" s="115"/>
      <c r="AS319" s="115"/>
      <c r="AT319" s="115"/>
      <c r="AU319" s="115"/>
      <c r="AV319" s="115"/>
    </row>
    <row r="320" spans="1:48" ht="21" customHeight="1" thickBot="1" x14ac:dyDescent="0.45">
      <c r="A320" s="115"/>
      <c r="B320" s="1298"/>
      <c r="C320" s="1298"/>
      <c r="D320" s="115"/>
      <c r="E320" s="434"/>
      <c r="F320" s="434"/>
      <c r="G320" s="258"/>
      <c r="H320" s="258"/>
      <c r="I320" s="258"/>
      <c r="J320" s="258"/>
      <c r="K320" s="258"/>
      <c r="L320" s="258"/>
      <c r="M320" s="258"/>
      <c r="N320" s="258"/>
      <c r="O320" s="258"/>
      <c r="P320" s="258"/>
      <c r="Q320" s="258"/>
      <c r="R320" s="258"/>
      <c r="S320" s="258"/>
      <c r="T320" s="258"/>
      <c r="U320" s="258"/>
      <c r="V320" s="258"/>
      <c r="W320" s="258"/>
      <c r="X320" s="258"/>
      <c r="Y320" s="258"/>
      <c r="Z320" s="258"/>
      <c r="AA320" s="258"/>
      <c r="AB320" s="258"/>
      <c r="AC320" s="258"/>
      <c r="AD320" s="258"/>
      <c r="AE320" s="258"/>
      <c r="AF320" s="258"/>
      <c r="AG320" s="258"/>
      <c r="AH320" s="258"/>
      <c r="AI320" s="258"/>
      <c r="AJ320" s="261"/>
      <c r="AK320" s="261"/>
      <c r="AL320" s="261"/>
      <c r="AM320" s="548"/>
      <c r="AN320" s="548"/>
      <c r="AO320" s="176"/>
      <c r="AP320" s="121"/>
      <c r="AQ320" s="115"/>
      <c r="AR320" s="115"/>
      <c r="AS320" s="115"/>
      <c r="AT320" s="115"/>
      <c r="AU320" s="115"/>
      <c r="AV320" s="115"/>
    </row>
    <row r="321" spans="1:48" ht="21" customHeight="1" thickBot="1" x14ac:dyDescent="0.45">
      <c r="A321" s="115"/>
      <c r="B321" s="1298"/>
      <c r="C321" s="1298"/>
      <c r="D321" s="115"/>
      <c r="E321" s="434"/>
      <c r="F321" s="434"/>
      <c r="G321" s="258"/>
      <c r="H321" s="258"/>
      <c r="I321" s="258"/>
      <c r="J321" s="258"/>
      <c r="K321" s="258"/>
      <c r="L321" s="258"/>
      <c r="M321" s="258"/>
      <c r="N321" s="258"/>
      <c r="O321" s="258"/>
      <c r="P321" s="258"/>
      <c r="Q321" s="258"/>
      <c r="R321" s="258"/>
      <c r="S321" s="258"/>
      <c r="T321" s="258"/>
      <c r="U321" s="258"/>
      <c r="V321" s="258"/>
      <c r="W321" s="258"/>
      <c r="X321" s="258"/>
      <c r="Y321" s="258"/>
      <c r="Z321" s="258"/>
      <c r="AA321" s="258"/>
      <c r="AB321" s="258"/>
      <c r="AC321" s="258"/>
      <c r="AD321" s="258"/>
      <c r="AE321" s="258"/>
      <c r="AF321" s="258"/>
      <c r="AG321" s="258"/>
      <c r="AH321" s="258"/>
      <c r="AI321" s="258"/>
      <c r="AJ321" s="261"/>
      <c r="AK321" s="261"/>
      <c r="AL321" s="261"/>
      <c r="AM321" s="548"/>
      <c r="AN321" s="548"/>
      <c r="AO321" s="176"/>
      <c r="AP321" s="121"/>
      <c r="AQ321" s="115"/>
      <c r="AR321" s="115"/>
      <c r="AS321" s="115"/>
      <c r="AT321" s="115"/>
      <c r="AU321" s="115"/>
      <c r="AV321" s="115"/>
    </row>
    <row r="322" spans="1:48" ht="21" customHeight="1" thickBot="1" x14ac:dyDescent="0.45">
      <c r="A322" s="115"/>
      <c r="B322" s="1298"/>
      <c r="C322" s="1298"/>
      <c r="D322" s="115"/>
      <c r="E322" s="434"/>
      <c r="F322" s="434"/>
      <c r="G322" s="258"/>
      <c r="H322" s="258"/>
      <c r="I322" s="258"/>
      <c r="J322" s="258"/>
      <c r="K322" s="258"/>
      <c r="L322" s="258"/>
      <c r="M322" s="258"/>
      <c r="N322" s="258"/>
      <c r="O322" s="258"/>
      <c r="P322" s="258"/>
      <c r="Q322" s="258"/>
      <c r="R322" s="258"/>
      <c r="S322" s="258"/>
      <c r="T322" s="258"/>
      <c r="U322" s="258"/>
      <c r="V322" s="258"/>
      <c r="W322" s="258"/>
      <c r="X322" s="258"/>
      <c r="Y322" s="258"/>
      <c r="Z322" s="258"/>
      <c r="AA322" s="258"/>
      <c r="AB322" s="258"/>
      <c r="AC322" s="258"/>
      <c r="AD322" s="258"/>
      <c r="AE322" s="258"/>
      <c r="AF322" s="258"/>
      <c r="AG322" s="258"/>
      <c r="AH322" s="258"/>
      <c r="AI322" s="258"/>
      <c r="AJ322" s="261"/>
      <c r="AK322" s="261"/>
      <c r="AL322" s="261"/>
      <c r="AM322" s="548"/>
      <c r="AN322" s="548"/>
      <c r="AO322" s="176"/>
      <c r="AP322" s="121"/>
      <c r="AQ322" s="115"/>
      <c r="AR322" s="115"/>
      <c r="AS322" s="115"/>
      <c r="AT322" s="115"/>
      <c r="AU322" s="115"/>
      <c r="AV322" s="115"/>
    </row>
    <row r="323" spans="1:48" ht="21" customHeight="1" thickBot="1" x14ac:dyDescent="0.45">
      <c r="A323" s="115"/>
      <c r="B323" s="1298"/>
      <c r="C323" s="1298"/>
      <c r="D323" s="115"/>
      <c r="E323" s="434"/>
      <c r="F323" s="434"/>
      <c r="G323" s="258"/>
      <c r="H323" s="258"/>
      <c r="I323" s="258"/>
      <c r="J323" s="258"/>
      <c r="K323" s="258"/>
      <c r="L323" s="258"/>
      <c r="M323" s="258"/>
      <c r="N323" s="258"/>
      <c r="O323" s="258"/>
      <c r="P323" s="258"/>
      <c r="Q323" s="258"/>
      <c r="R323" s="258"/>
      <c r="S323" s="258"/>
      <c r="T323" s="258"/>
      <c r="U323" s="258"/>
      <c r="V323" s="258"/>
      <c r="W323" s="258"/>
      <c r="X323" s="258"/>
      <c r="Y323" s="258"/>
      <c r="Z323" s="258"/>
      <c r="AA323" s="258"/>
      <c r="AB323" s="258"/>
      <c r="AC323" s="258"/>
      <c r="AD323" s="258"/>
      <c r="AE323" s="258"/>
      <c r="AF323" s="258"/>
      <c r="AG323" s="258"/>
      <c r="AH323" s="258"/>
      <c r="AI323" s="258"/>
      <c r="AJ323" s="261"/>
      <c r="AK323" s="261"/>
      <c r="AL323" s="261"/>
      <c r="AM323" s="548"/>
      <c r="AN323" s="548"/>
      <c r="AO323" s="176"/>
      <c r="AP323" s="121"/>
      <c r="AQ323" s="115"/>
      <c r="AR323" s="115"/>
      <c r="AS323" s="115"/>
      <c r="AT323" s="115"/>
      <c r="AU323" s="115"/>
      <c r="AV323" s="115"/>
    </row>
    <row r="324" spans="1:48" ht="21" customHeight="1" thickBot="1" x14ac:dyDescent="0.45">
      <c r="A324" s="115"/>
      <c r="B324" s="1298"/>
      <c r="C324" s="1298"/>
      <c r="D324" s="115"/>
      <c r="E324" s="434"/>
      <c r="F324" s="434"/>
      <c r="G324" s="258"/>
      <c r="H324" s="258"/>
      <c r="I324" s="258"/>
      <c r="J324" s="258"/>
      <c r="K324" s="258"/>
      <c r="L324" s="258"/>
      <c r="M324" s="258"/>
      <c r="N324" s="258"/>
      <c r="O324" s="258"/>
      <c r="P324" s="258"/>
      <c r="Q324" s="258"/>
      <c r="R324" s="258"/>
      <c r="S324" s="258"/>
      <c r="T324" s="258"/>
      <c r="U324" s="258"/>
      <c r="V324" s="258"/>
      <c r="W324" s="258"/>
      <c r="X324" s="258"/>
      <c r="Y324" s="258"/>
      <c r="Z324" s="258"/>
      <c r="AA324" s="258"/>
      <c r="AB324" s="258"/>
      <c r="AC324" s="258"/>
      <c r="AD324" s="258"/>
      <c r="AE324" s="258"/>
      <c r="AF324" s="258"/>
      <c r="AG324" s="258"/>
      <c r="AH324" s="258"/>
      <c r="AI324" s="258"/>
      <c r="AJ324" s="261"/>
      <c r="AK324" s="261"/>
      <c r="AL324" s="261"/>
      <c r="AM324" s="548"/>
      <c r="AN324" s="548"/>
      <c r="AO324" s="176"/>
      <c r="AP324" s="121"/>
      <c r="AQ324" s="115"/>
      <c r="AR324" s="115"/>
      <c r="AS324" s="115"/>
      <c r="AT324" s="115"/>
      <c r="AU324" s="115"/>
      <c r="AV324" s="115"/>
    </row>
    <row r="325" spans="1:48" ht="21" customHeight="1" thickBot="1" x14ac:dyDescent="0.45">
      <c r="A325" s="115"/>
      <c r="B325" s="1298"/>
      <c r="C325" s="1298"/>
      <c r="D325" s="115"/>
      <c r="E325" s="434"/>
      <c r="F325" s="434"/>
      <c r="G325" s="258"/>
      <c r="H325" s="258"/>
      <c r="I325" s="258"/>
      <c r="J325" s="258"/>
      <c r="K325" s="258"/>
      <c r="L325" s="258"/>
      <c r="M325" s="258"/>
      <c r="N325" s="258"/>
      <c r="O325" s="258"/>
      <c r="P325" s="258"/>
      <c r="Q325" s="258"/>
      <c r="R325" s="258"/>
      <c r="S325" s="258"/>
      <c r="T325" s="258"/>
      <c r="U325" s="258"/>
      <c r="V325" s="258"/>
      <c r="W325" s="258"/>
      <c r="X325" s="258"/>
      <c r="Y325" s="258"/>
      <c r="Z325" s="258"/>
      <c r="AA325" s="258"/>
      <c r="AB325" s="258"/>
      <c r="AC325" s="258"/>
      <c r="AD325" s="258"/>
      <c r="AE325" s="258"/>
      <c r="AF325" s="258"/>
      <c r="AG325" s="258"/>
      <c r="AH325" s="258"/>
      <c r="AI325" s="258"/>
      <c r="AJ325" s="261"/>
      <c r="AK325" s="261"/>
      <c r="AL325" s="261"/>
      <c r="AM325" s="548"/>
      <c r="AN325" s="548"/>
      <c r="AO325" s="176"/>
      <c r="AP325" s="121"/>
      <c r="AQ325" s="115"/>
      <c r="AR325" s="115"/>
      <c r="AS325" s="115"/>
      <c r="AT325" s="115"/>
      <c r="AU325" s="115"/>
      <c r="AV325" s="115"/>
    </row>
    <row r="326" spans="1:48" ht="21" customHeight="1" thickBot="1" x14ac:dyDescent="0.45">
      <c r="A326" s="115"/>
      <c r="B326" s="1298"/>
      <c r="C326" s="1298"/>
      <c r="D326" s="115"/>
      <c r="E326" s="434"/>
      <c r="F326" s="434"/>
      <c r="G326" s="258"/>
      <c r="H326" s="258"/>
      <c r="I326" s="258"/>
      <c r="J326" s="258"/>
      <c r="K326" s="258"/>
      <c r="L326" s="258"/>
      <c r="M326" s="258"/>
      <c r="N326" s="258"/>
      <c r="O326" s="258"/>
      <c r="P326" s="258"/>
      <c r="Q326" s="258"/>
      <c r="R326" s="258"/>
      <c r="S326" s="258"/>
      <c r="T326" s="258"/>
      <c r="U326" s="258"/>
      <c r="V326" s="258"/>
      <c r="W326" s="258"/>
      <c r="X326" s="258"/>
      <c r="Y326" s="258"/>
      <c r="Z326" s="258"/>
      <c r="AA326" s="258"/>
      <c r="AB326" s="258"/>
      <c r="AC326" s="258"/>
      <c r="AD326" s="258"/>
      <c r="AE326" s="258"/>
      <c r="AF326" s="258"/>
      <c r="AG326" s="258"/>
      <c r="AH326" s="258"/>
      <c r="AI326" s="258"/>
      <c r="AJ326" s="261"/>
      <c r="AK326" s="261"/>
      <c r="AL326" s="261"/>
      <c r="AM326" s="548"/>
      <c r="AN326" s="548"/>
      <c r="AO326" s="176"/>
      <c r="AP326" s="121"/>
      <c r="AQ326" s="115"/>
      <c r="AR326" s="115"/>
      <c r="AS326" s="115"/>
      <c r="AT326" s="115"/>
      <c r="AU326" s="115"/>
      <c r="AV326" s="115"/>
    </row>
    <row r="327" spans="1:48" ht="21" customHeight="1" thickBot="1" x14ac:dyDescent="0.45">
      <c r="A327" s="115"/>
      <c r="B327" s="1298"/>
      <c r="C327" s="1298"/>
      <c r="D327" s="115"/>
      <c r="E327" s="434"/>
      <c r="F327" s="434"/>
      <c r="G327" s="258"/>
      <c r="H327" s="258"/>
      <c r="I327" s="258"/>
      <c r="J327" s="258"/>
      <c r="K327" s="258"/>
      <c r="L327" s="258"/>
      <c r="M327" s="258"/>
      <c r="N327" s="258"/>
      <c r="O327" s="258"/>
      <c r="P327" s="258"/>
      <c r="Q327" s="258"/>
      <c r="R327" s="258"/>
      <c r="S327" s="258"/>
      <c r="T327" s="258"/>
      <c r="U327" s="258"/>
      <c r="V327" s="258"/>
      <c r="W327" s="258"/>
      <c r="X327" s="258"/>
      <c r="Y327" s="258"/>
      <c r="Z327" s="258"/>
      <c r="AA327" s="258"/>
      <c r="AB327" s="258"/>
      <c r="AC327" s="258"/>
      <c r="AD327" s="258"/>
      <c r="AE327" s="258"/>
      <c r="AF327" s="258"/>
      <c r="AG327" s="258"/>
      <c r="AH327" s="258"/>
      <c r="AI327" s="258"/>
      <c r="AJ327" s="261"/>
      <c r="AK327" s="261"/>
      <c r="AL327" s="261"/>
      <c r="AM327" s="548"/>
      <c r="AN327" s="548"/>
      <c r="AO327" s="176"/>
      <c r="AP327" s="121"/>
      <c r="AQ327" s="115"/>
      <c r="AR327" s="115"/>
      <c r="AS327" s="115"/>
      <c r="AT327" s="115"/>
      <c r="AU327" s="115"/>
      <c r="AV327" s="115"/>
    </row>
    <row r="328" spans="1:48" ht="21" customHeight="1" thickBot="1" x14ac:dyDescent="0.45">
      <c r="A328" s="115"/>
      <c r="B328" s="1298"/>
      <c r="C328" s="1298"/>
      <c r="D328" s="115"/>
      <c r="E328" s="434"/>
      <c r="F328" s="434"/>
      <c r="G328" s="258"/>
      <c r="H328" s="258"/>
      <c r="I328" s="258"/>
      <c r="J328" s="258"/>
      <c r="K328" s="258"/>
      <c r="L328" s="258"/>
      <c r="M328" s="258"/>
      <c r="N328" s="258"/>
      <c r="O328" s="258"/>
      <c r="P328" s="258"/>
      <c r="Q328" s="258"/>
      <c r="R328" s="258"/>
      <c r="S328" s="258"/>
      <c r="T328" s="258"/>
      <c r="U328" s="258"/>
      <c r="V328" s="258"/>
      <c r="W328" s="258"/>
      <c r="X328" s="258"/>
      <c r="Y328" s="258"/>
      <c r="Z328" s="258"/>
      <c r="AA328" s="258"/>
      <c r="AB328" s="258"/>
      <c r="AC328" s="258"/>
      <c r="AD328" s="258"/>
      <c r="AE328" s="258"/>
      <c r="AF328" s="258"/>
      <c r="AG328" s="258"/>
      <c r="AH328" s="258"/>
      <c r="AI328" s="258"/>
      <c r="AJ328" s="261"/>
      <c r="AK328" s="261"/>
      <c r="AL328" s="261"/>
      <c r="AM328" s="548"/>
      <c r="AN328" s="548"/>
      <c r="AO328" s="176"/>
      <c r="AP328" s="121"/>
      <c r="AQ328" s="115"/>
      <c r="AR328" s="115"/>
      <c r="AS328" s="115"/>
      <c r="AT328" s="115"/>
      <c r="AU328" s="115"/>
      <c r="AV328" s="115"/>
    </row>
    <row r="329" spans="1:48" ht="21" customHeight="1" thickBot="1" x14ac:dyDescent="0.45">
      <c r="A329" s="115"/>
      <c r="B329" s="1298"/>
      <c r="C329" s="1298"/>
      <c r="D329" s="115"/>
      <c r="E329" s="434"/>
      <c r="F329" s="434"/>
      <c r="G329" s="258"/>
      <c r="H329" s="258"/>
      <c r="I329" s="258"/>
      <c r="J329" s="258"/>
      <c r="K329" s="258"/>
      <c r="L329" s="258"/>
      <c r="M329" s="258"/>
      <c r="N329" s="258"/>
      <c r="O329" s="258"/>
      <c r="P329" s="258"/>
      <c r="Q329" s="258"/>
      <c r="R329" s="258"/>
      <c r="S329" s="258"/>
      <c r="T329" s="258"/>
      <c r="U329" s="258"/>
      <c r="V329" s="258"/>
      <c r="W329" s="258"/>
      <c r="X329" s="258"/>
      <c r="Y329" s="258"/>
      <c r="Z329" s="258"/>
      <c r="AA329" s="258"/>
      <c r="AB329" s="258"/>
      <c r="AC329" s="258"/>
      <c r="AD329" s="258"/>
      <c r="AE329" s="258"/>
      <c r="AF329" s="258"/>
      <c r="AG329" s="258"/>
      <c r="AH329" s="258"/>
      <c r="AI329" s="258"/>
      <c r="AJ329" s="261"/>
      <c r="AK329" s="261"/>
      <c r="AL329" s="261"/>
      <c r="AM329" s="548"/>
      <c r="AN329" s="548"/>
      <c r="AO329" s="176"/>
      <c r="AP329" s="121"/>
      <c r="AQ329" s="115"/>
      <c r="AR329" s="115"/>
      <c r="AS329" s="115"/>
      <c r="AT329" s="115"/>
      <c r="AU329" s="115"/>
      <c r="AV329" s="115"/>
    </row>
    <row r="330" spans="1:48" ht="21" customHeight="1" thickBot="1" x14ac:dyDescent="0.45">
      <c r="A330" s="115"/>
      <c r="B330" s="1298"/>
      <c r="C330" s="1298"/>
      <c r="D330" s="115"/>
      <c r="E330" s="434"/>
      <c r="F330" s="434"/>
      <c r="G330" s="258"/>
      <c r="H330" s="258"/>
      <c r="I330" s="258"/>
      <c r="J330" s="258"/>
      <c r="K330" s="258"/>
      <c r="L330" s="258"/>
      <c r="M330" s="258"/>
      <c r="N330" s="258"/>
      <c r="O330" s="258"/>
      <c r="P330" s="258"/>
      <c r="Q330" s="258"/>
      <c r="R330" s="258"/>
      <c r="S330" s="258"/>
      <c r="T330" s="258"/>
      <c r="U330" s="258"/>
      <c r="V330" s="258"/>
      <c r="W330" s="258"/>
      <c r="X330" s="258"/>
      <c r="Y330" s="258"/>
      <c r="Z330" s="258"/>
      <c r="AA330" s="258"/>
      <c r="AB330" s="258"/>
      <c r="AC330" s="258"/>
      <c r="AD330" s="258"/>
      <c r="AE330" s="258"/>
      <c r="AF330" s="258"/>
      <c r="AG330" s="258"/>
      <c r="AH330" s="258"/>
      <c r="AI330" s="258"/>
      <c r="AJ330" s="261"/>
      <c r="AK330" s="261"/>
      <c r="AL330" s="261"/>
      <c r="AM330" s="548"/>
      <c r="AN330" s="548"/>
      <c r="AO330" s="176"/>
      <c r="AP330" s="121"/>
      <c r="AQ330" s="115"/>
      <c r="AR330" s="115"/>
      <c r="AS330" s="115"/>
      <c r="AT330" s="115"/>
      <c r="AU330" s="115"/>
      <c r="AV330" s="115"/>
    </row>
    <row r="331" spans="1:48" ht="21" customHeight="1" thickBot="1" x14ac:dyDescent="0.45">
      <c r="A331" s="115"/>
      <c r="B331" s="1298"/>
      <c r="C331" s="1298"/>
      <c r="D331" s="115"/>
      <c r="E331" s="434"/>
      <c r="F331" s="434"/>
      <c r="G331" s="258"/>
      <c r="H331" s="258"/>
      <c r="I331" s="258"/>
      <c r="J331" s="258"/>
      <c r="K331" s="258"/>
      <c r="L331" s="258"/>
      <c r="M331" s="258"/>
      <c r="N331" s="258"/>
      <c r="O331" s="258"/>
      <c r="P331" s="258"/>
      <c r="Q331" s="258"/>
      <c r="R331" s="258"/>
      <c r="S331" s="258"/>
      <c r="T331" s="258"/>
      <c r="U331" s="258"/>
      <c r="V331" s="258"/>
      <c r="W331" s="258"/>
      <c r="X331" s="258"/>
      <c r="Y331" s="258"/>
      <c r="Z331" s="258"/>
      <c r="AA331" s="258"/>
      <c r="AB331" s="258"/>
      <c r="AC331" s="258"/>
      <c r="AD331" s="258"/>
      <c r="AE331" s="258"/>
      <c r="AF331" s="258"/>
      <c r="AG331" s="258"/>
      <c r="AH331" s="258"/>
      <c r="AI331" s="258"/>
      <c r="AJ331" s="261"/>
      <c r="AK331" s="261"/>
      <c r="AL331" s="261"/>
      <c r="AM331" s="548"/>
      <c r="AN331" s="548"/>
      <c r="AO331" s="176"/>
      <c r="AP331" s="121"/>
      <c r="AQ331" s="115"/>
      <c r="AR331" s="115"/>
      <c r="AS331" s="115"/>
      <c r="AT331" s="115"/>
      <c r="AU331" s="115"/>
      <c r="AV331" s="115"/>
    </row>
    <row r="332" spans="1:48" ht="21" customHeight="1" thickBot="1" x14ac:dyDescent="0.45">
      <c r="A332" s="115"/>
      <c r="B332" s="1298"/>
      <c r="C332" s="1298"/>
      <c r="D332" s="115"/>
      <c r="E332" s="434"/>
      <c r="F332" s="434"/>
      <c r="G332" s="258"/>
      <c r="H332" s="258"/>
      <c r="I332" s="258"/>
      <c r="J332" s="258"/>
      <c r="K332" s="258"/>
      <c r="L332" s="258"/>
      <c r="M332" s="258"/>
      <c r="N332" s="258"/>
      <c r="O332" s="258"/>
      <c r="P332" s="258"/>
      <c r="Q332" s="258"/>
      <c r="R332" s="258"/>
      <c r="S332" s="258"/>
      <c r="T332" s="258"/>
      <c r="U332" s="258"/>
      <c r="V332" s="258"/>
      <c r="W332" s="258"/>
      <c r="X332" s="258"/>
      <c r="Y332" s="258"/>
      <c r="Z332" s="258"/>
      <c r="AA332" s="258"/>
      <c r="AB332" s="258"/>
      <c r="AC332" s="258"/>
      <c r="AD332" s="258"/>
      <c r="AE332" s="258"/>
      <c r="AF332" s="258"/>
      <c r="AG332" s="258"/>
      <c r="AH332" s="258"/>
      <c r="AI332" s="258"/>
      <c r="AJ332" s="261"/>
      <c r="AK332" s="261"/>
      <c r="AL332" s="261"/>
      <c r="AM332" s="548"/>
      <c r="AN332" s="548"/>
      <c r="AO332" s="176"/>
      <c r="AP332" s="121"/>
      <c r="AQ332" s="115"/>
      <c r="AR332" s="115"/>
      <c r="AS332" s="115"/>
      <c r="AT332" s="115"/>
      <c r="AU332" s="115"/>
      <c r="AV332" s="115"/>
    </row>
    <row r="333" spans="1:48" ht="21" customHeight="1" thickBot="1" x14ac:dyDescent="0.45">
      <c r="A333" s="115"/>
      <c r="B333" s="1298"/>
      <c r="C333" s="1298"/>
      <c r="D333" s="115"/>
      <c r="E333" s="434"/>
      <c r="F333" s="434"/>
      <c r="G333" s="258"/>
      <c r="H333" s="258"/>
      <c r="I333" s="258"/>
      <c r="J333" s="258"/>
      <c r="K333" s="258"/>
      <c r="L333" s="258"/>
      <c r="M333" s="258"/>
      <c r="N333" s="258"/>
      <c r="O333" s="258"/>
      <c r="P333" s="258"/>
      <c r="Q333" s="258"/>
      <c r="R333" s="258"/>
      <c r="S333" s="258"/>
      <c r="T333" s="258"/>
      <c r="U333" s="258"/>
      <c r="V333" s="258"/>
      <c r="W333" s="258"/>
      <c r="X333" s="258"/>
      <c r="Y333" s="258"/>
      <c r="Z333" s="258"/>
      <c r="AA333" s="258"/>
      <c r="AB333" s="258"/>
      <c r="AC333" s="258"/>
      <c r="AD333" s="258"/>
      <c r="AE333" s="258"/>
      <c r="AF333" s="258"/>
      <c r="AG333" s="258"/>
      <c r="AH333" s="258"/>
      <c r="AI333" s="258"/>
      <c r="AJ333" s="261"/>
      <c r="AK333" s="261"/>
      <c r="AL333" s="261"/>
      <c r="AM333" s="548"/>
      <c r="AN333" s="548"/>
      <c r="AO333" s="176"/>
      <c r="AP333" s="121"/>
      <c r="AQ333" s="115"/>
      <c r="AR333" s="115"/>
      <c r="AS333" s="115"/>
      <c r="AT333" s="115"/>
      <c r="AU333" s="115"/>
      <c r="AV333" s="115"/>
    </row>
    <row r="334" spans="1:48" ht="21" customHeight="1" thickBot="1" x14ac:dyDescent="0.45">
      <c r="A334" s="115"/>
      <c r="B334" s="1298"/>
      <c r="C334" s="1298"/>
      <c r="D334" s="115"/>
      <c r="E334" s="434"/>
      <c r="F334" s="434"/>
      <c r="G334" s="258"/>
      <c r="H334" s="258"/>
      <c r="I334" s="258"/>
      <c r="J334" s="258"/>
      <c r="K334" s="258"/>
      <c r="L334" s="258"/>
      <c r="M334" s="258"/>
      <c r="N334" s="258"/>
      <c r="O334" s="258"/>
      <c r="P334" s="258"/>
      <c r="Q334" s="258"/>
      <c r="R334" s="258"/>
      <c r="S334" s="258"/>
      <c r="T334" s="258"/>
      <c r="U334" s="258"/>
      <c r="V334" s="258"/>
      <c r="W334" s="258"/>
      <c r="X334" s="258"/>
      <c r="Y334" s="258"/>
      <c r="Z334" s="258"/>
      <c r="AA334" s="258"/>
      <c r="AB334" s="258"/>
      <c r="AC334" s="258"/>
      <c r="AD334" s="258"/>
      <c r="AE334" s="258"/>
      <c r="AF334" s="258"/>
      <c r="AG334" s="258"/>
      <c r="AH334" s="258"/>
      <c r="AI334" s="258"/>
      <c r="AJ334" s="261"/>
      <c r="AK334" s="261"/>
      <c r="AL334" s="261"/>
      <c r="AM334" s="548"/>
      <c r="AN334" s="548"/>
      <c r="AO334" s="176"/>
      <c r="AP334" s="121"/>
      <c r="AQ334" s="115"/>
      <c r="AR334" s="115"/>
      <c r="AS334" s="115"/>
      <c r="AT334" s="115"/>
      <c r="AU334" s="115"/>
      <c r="AV334" s="115"/>
    </row>
    <row r="335" spans="1:48" ht="21" customHeight="1" thickBot="1" x14ac:dyDescent="0.45">
      <c r="A335" s="115"/>
      <c r="B335" s="1298"/>
      <c r="C335" s="1298"/>
      <c r="D335" s="115"/>
      <c r="E335" s="434"/>
      <c r="F335" s="434"/>
      <c r="G335" s="258"/>
      <c r="H335" s="258"/>
      <c r="I335" s="258"/>
      <c r="J335" s="258"/>
      <c r="K335" s="258"/>
      <c r="L335" s="258"/>
      <c r="M335" s="258"/>
      <c r="N335" s="258"/>
      <c r="O335" s="258"/>
      <c r="P335" s="258"/>
      <c r="Q335" s="258"/>
      <c r="R335" s="258"/>
      <c r="S335" s="258"/>
      <c r="T335" s="258"/>
      <c r="U335" s="258"/>
      <c r="V335" s="258"/>
      <c r="W335" s="258"/>
      <c r="X335" s="258"/>
      <c r="Y335" s="258"/>
      <c r="Z335" s="258"/>
      <c r="AA335" s="258"/>
      <c r="AB335" s="258"/>
      <c r="AC335" s="258"/>
      <c r="AD335" s="258"/>
      <c r="AE335" s="258"/>
      <c r="AF335" s="258"/>
      <c r="AG335" s="258"/>
      <c r="AH335" s="258"/>
      <c r="AI335" s="258"/>
      <c r="AJ335" s="261"/>
      <c r="AK335" s="261"/>
      <c r="AL335" s="261"/>
      <c r="AM335" s="548"/>
      <c r="AN335" s="548"/>
      <c r="AO335" s="176"/>
      <c r="AP335" s="121"/>
      <c r="AQ335" s="115"/>
      <c r="AR335" s="115"/>
      <c r="AS335" s="115"/>
      <c r="AT335" s="115"/>
      <c r="AU335" s="115"/>
      <c r="AV335" s="115"/>
    </row>
    <row r="336" spans="1:48" ht="21" customHeight="1" thickBot="1" x14ac:dyDescent="0.45">
      <c r="A336" s="115"/>
      <c r="B336" s="1298"/>
      <c r="C336" s="1298"/>
      <c r="D336" s="115"/>
      <c r="E336" s="434"/>
      <c r="F336" s="434"/>
      <c r="G336" s="258"/>
      <c r="H336" s="258"/>
      <c r="I336" s="258"/>
      <c r="J336" s="258"/>
      <c r="K336" s="258"/>
      <c r="L336" s="258"/>
      <c r="M336" s="258"/>
      <c r="N336" s="258"/>
      <c r="O336" s="258"/>
      <c r="P336" s="258"/>
      <c r="Q336" s="258"/>
      <c r="R336" s="258"/>
      <c r="S336" s="258"/>
      <c r="T336" s="258"/>
      <c r="U336" s="258"/>
      <c r="V336" s="258"/>
      <c r="W336" s="258"/>
      <c r="X336" s="258"/>
      <c r="Y336" s="258"/>
      <c r="Z336" s="258"/>
      <c r="AA336" s="258"/>
      <c r="AB336" s="258"/>
      <c r="AC336" s="258"/>
      <c r="AD336" s="258"/>
      <c r="AE336" s="258"/>
      <c r="AF336" s="258"/>
      <c r="AG336" s="258"/>
      <c r="AH336" s="258"/>
      <c r="AI336" s="258"/>
      <c r="AJ336" s="261"/>
      <c r="AK336" s="261"/>
      <c r="AL336" s="261"/>
      <c r="AM336" s="548"/>
      <c r="AN336" s="548"/>
      <c r="AO336" s="176"/>
      <c r="AP336" s="121"/>
      <c r="AQ336" s="115"/>
      <c r="AR336" s="115"/>
      <c r="AS336" s="115"/>
      <c r="AT336" s="115"/>
      <c r="AU336" s="115"/>
      <c r="AV336" s="115"/>
    </row>
    <row r="337" spans="1:48" ht="21" customHeight="1" thickBot="1" x14ac:dyDescent="0.45">
      <c r="A337" s="115"/>
      <c r="B337" s="1298"/>
      <c r="C337" s="1298"/>
      <c r="D337" s="115"/>
      <c r="E337" s="434"/>
      <c r="F337" s="434"/>
      <c r="G337" s="258"/>
      <c r="H337" s="258"/>
      <c r="I337" s="258"/>
      <c r="J337" s="258"/>
      <c r="K337" s="258"/>
      <c r="L337" s="258"/>
      <c r="M337" s="258"/>
      <c r="N337" s="258"/>
      <c r="O337" s="258"/>
      <c r="P337" s="258"/>
      <c r="Q337" s="258"/>
      <c r="R337" s="258"/>
      <c r="S337" s="258"/>
      <c r="T337" s="258"/>
      <c r="U337" s="258"/>
      <c r="V337" s="258"/>
      <c r="W337" s="258"/>
      <c r="X337" s="258"/>
      <c r="Y337" s="258"/>
      <c r="Z337" s="258"/>
      <c r="AA337" s="258"/>
      <c r="AB337" s="258"/>
      <c r="AC337" s="258"/>
      <c r="AD337" s="258"/>
      <c r="AE337" s="258"/>
      <c r="AF337" s="258"/>
      <c r="AG337" s="258"/>
      <c r="AH337" s="258"/>
      <c r="AI337" s="258"/>
      <c r="AJ337" s="261"/>
      <c r="AK337" s="261"/>
      <c r="AL337" s="261"/>
      <c r="AM337" s="548"/>
      <c r="AN337" s="548"/>
      <c r="AO337" s="176"/>
      <c r="AP337" s="121"/>
      <c r="AQ337" s="115"/>
      <c r="AR337" s="115"/>
      <c r="AS337" s="115"/>
      <c r="AT337" s="115"/>
      <c r="AU337" s="115"/>
      <c r="AV337" s="115"/>
    </row>
    <row r="338" spans="1:48" ht="21" customHeight="1" thickBot="1" x14ac:dyDescent="0.45">
      <c r="A338" s="115"/>
      <c r="B338" s="1298"/>
      <c r="C338" s="1298"/>
      <c r="D338" s="115"/>
      <c r="E338" s="434"/>
      <c r="F338" s="434"/>
      <c r="G338" s="258"/>
      <c r="H338" s="258"/>
      <c r="I338" s="258"/>
      <c r="J338" s="258"/>
      <c r="K338" s="258"/>
      <c r="L338" s="258"/>
      <c r="M338" s="258"/>
      <c r="N338" s="258"/>
      <c r="O338" s="258"/>
      <c r="P338" s="258"/>
      <c r="Q338" s="258"/>
      <c r="R338" s="258"/>
      <c r="S338" s="258"/>
      <c r="T338" s="258"/>
      <c r="U338" s="258"/>
      <c r="V338" s="258"/>
      <c r="W338" s="258"/>
      <c r="X338" s="258"/>
      <c r="Y338" s="258"/>
      <c r="Z338" s="258"/>
      <c r="AA338" s="258"/>
      <c r="AB338" s="258"/>
      <c r="AC338" s="258"/>
      <c r="AD338" s="258"/>
      <c r="AE338" s="258"/>
      <c r="AF338" s="258"/>
      <c r="AG338" s="258"/>
      <c r="AH338" s="258"/>
      <c r="AI338" s="258"/>
      <c r="AJ338" s="261"/>
      <c r="AK338" s="261"/>
      <c r="AL338" s="261"/>
      <c r="AM338" s="548"/>
      <c r="AN338" s="548"/>
      <c r="AO338" s="176"/>
      <c r="AP338" s="121"/>
      <c r="AQ338" s="115"/>
      <c r="AR338" s="115"/>
      <c r="AS338" s="115"/>
      <c r="AT338" s="115"/>
      <c r="AU338" s="115"/>
      <c r="AV338" s="115"/>
    </row>
    <row r="339" spans="1:48" ht="21" customHeight="1" thickBot="1" x14ac:dyDescent="0.45">
      <c r="A339" s="115"/>
      <c r="B339" s="1298"/>
      <c r="C339" s="1298"/>
      <c r="D339" s="115"/>
      <c r="E339" s="434"/>
      <c r="F339" s="434"/>
      <c r="G339" s="258"/>
      <c r="H339" s="258"/>
      <c r="I339" s="258"/>
      <c r="J339" s="258"/>
      <c r="K339" s="258"/>
      <c r="L339" s="258"/>
      <c r="M339" s="258"/>
      <c r="N339" s="258"/>
      <c r="O339" s="258"/>
      <c r="P339" s="258"/>
      <c r="Q339" s="258"/>
      <c r="R339" s="258"/>
      <c r="S339" s="258"/>
      <c r="T339" s="258"/>
      <c r="U339" s="258"/>
      <c r="V339" s="258"/>
      <c r="W339" s="258"/>
      <c r="X339" s="258"/>
      <c r="Y339" s="258"/>
      <c r="Z339" s="258"/>
      <c r="AA339" s="258"/>
      <c r="AB339" s="258"/>
      <c r="AC339" s="258"/>
      <c r="AD339" s="258"/>
      <c r="AE339" s="258"/>
      <c r="AF339" s="258"/>
      <c r="AG339" s="258"/>
      <c r="AH339" s="258"/>
      <c r="AI339" s="258"/>
      <c r="AJ339" s="261"/>
      <c r="AK339" s="261"/>
      <c r="AL339" s="261"/>
      <c r="AM339" s="548"/>
      <c r="AN339" s="548"/>
      <c r="AO339" s="176"/>
      <c r="AP339" s="121"/>
      <c r="AQ339" s="115"/>
      <c r="AR339" s="115"/>
      <c r="AS339" s="115"/>
      <c r="AT339" s="115"/>
      <c r="AU339" s="115"/>
      <c r="AV339" s="115"/>
    </row>
    <row r="340" spans="1:48" ht="21" customHeight="1" thickBot="1" x14ac:dyDescent="0.45">
      <c r="A340" s="115"/>
      <c r="B340" s="1298"/>
      <c r="C340" s="1298"/>
      <c r="D340" s="115"/>
      <c r="E340" s="434"/>
      <c r="F340" s="434"/>
      <c r="G340" s="258"/>
      <c r="H340" s="258"/>
      <c r="I340" s="258"/>
      <c r="J340" s="258"/>
      <c r="K340" s="258"/>
      <c r="L340" s="258"/>
      <c r="M340" s="258"/>
      <c r="N340" s="258"/>
      <c r="O340" s="258"/>
      <c r="P340" s="258"/>
      <c r="Q340" s="258"/>
      <c r="R340" s="258"/>
      <c r="S340" s="258"/>
      <c r="T340" s="258"/>
      <c r="U340" s="258"/>
      <c r="V340" s="258"/>
      <c r="W340" s="258"/>
      <c r="X340" s="258"/>
      <c r="Y340" s="258"/>
      <c r="Z340" s="258"/>
      <c r="AA340" s="258"/>
      <c r="AB340" s="258"/>
      <c r="AC340" s="258"/>
      <c r="AD340" s="258"/>
      <c r="AE340" s="258"/>
      <c r="AF340" s="258"/>
      <c r="AG340" s="258"/>
      <c r="AH340" s="258"/>
      <c r="AI340" s="258"/>
      <c r="AJ340" s="261"/>
      <c r="AK340" s="261"/>
      <c r="AL340" s="261"/>
      <c r="AM340" s="548"/>
      <c r="AN340" s="548"/>
      <c r="AO340" s="176"/>
      <c r="AP340" s="121"/>
      <c r="AQ340" s="115"/>
      <c r="AR340" s="115"/>
      <c r="AS340" s="115"/>
      <c r="AT340" s="115"/>
      <c r="AU340" s="115"/>
      <c r="AV340" s="115"/>
    </row>
    <row r="341" spans="1:48" ht="21" customHeight="1" thickBot="1" x14ac:dyDescent="0.45">
      <c r="A341" s="115"/>
      <c r="B341" s="1298"/>
      <c r="C341" s="1298"/>
      <c r="D341" s="115"/>
      <c r="E341" s="434"/>
      <c r="F341" s="434"/>
      <c r="G341" s="258"/>
      <c r="H341" s="258"/>
      <c r="I341" s="258"/>
      <c r="J341" s="258"/>
      <c r="K341" s="258"/>
      <c r="L341" s="258"/>
      <c r="M341" s="258"/>
      <c r="N341" s="258"/>
      <c r="O341" s="258"/>
      <c r="P341" s="258"/>
      <c r="Q341" s="258"/>
      <c r="R341" s="258"/>
      <c r="S341" s="258"/>
      <c r="T341" s="258"/>
      <c r="U341" s="258"/>
      <c r="V341" s="258"/>
      <c r="W341" s="258"/>
      <c r="X341" s="258"/>
      <c r="Y341" s="258"/>
      <c r="Z341" s="258"/>
      <c r="AA341" s="258"/>
      <c r="AB341" s="258"/>
      <c r="AC341" s="258"/>
      <c r="AD341" s="258"/>
      <c r="AE341" s="258"/>
      <c r="AF341" s="258"/>
      <c r="AG341" s="258"/>
      <c r="AH341" s="258"/>
      <c r="AI341" s="258"/>
      <c r="AJ341" s="261"/>
      <c r="AK341" s="261"/>
      <c r="AL341" s="261"/>
      <c r="AM341" s="548"/>
      <c r="AN341" s="548"/>
      <c r="AO341" s="176"/>
      <c r="AP341" s="121"/>
      <c r="AQ341" s="115"/>
      <c r="AR341" s="115"/>
      <c r="AS341" s="115"/>
      <c r="AT341" s="115"/>
      <c r="AU341" s="115"/>
      <c r="AV341" s="115"/>
    </row>
    <row r="342" spans="1:48" ht="21" customHeight="1" thickBot="1" x14ac:dyDescent="0.45">
      <c r="A342" s="115"/>
      <c r="B342" s="1298"/>
      <c r="C342" s="1298"/>
      <c r="D342" s="115"/>
      <c r="E342" s="434"/>
      <c r="F342" s="434"/>
      <c r="G342" s="258"/>
      <c r="H342" s="258"/>
      <c r="I342" s="258"/>
      <c r="J342" s="258"/>
      <c r="K342" s="258"/>
      <c r="L342" s="258"/>
      <c r="M342" s="258"/>
      <c r="N342" s="258"/>
      <c r="O342" s="258"/>
      <c r="P342" s="258"/>
      <c r="Q342" s="258"/>
      <c r="R342" s="258"/>
      <c r="S342" s="258"/>
      <c r="T342" s="258"/>
      <c r="U342" s="258"/>
      <c r="V342" s="258"/>
      <c r="W342" s="258"/>
      <c r="X342" s="258"/>
      <c r="Y342" s="258"/>
      <c r="Z342" s="258"/>
      <c r="AA342" s="258"/>
      <c r="AB342" s="258"/>
      <c r="AC342" s="258"/>
      <c r="AD342" s="258"/>
      <c r="AE342" s="258"/>
      <c r="AF342" s="258"/>
      <c r="AG342" s="258"/>
      <c r="AH342" s="258"/>
      <c r="AI342" s="258"/>
      <c r="AJ342" s="261"/>
      <c r="AK342" s="261"/>
      <c r="AL342" s="261"/>
      <c r="AM342" s="548"/>
      <c r="AN342" s="548"/>
      <c r="AO342" s="176"/>
      <c r="AP342" s="121"/>
      <c r="AQ342" s="115"/>
      <c r="AR342" s="115"/>
      <c r="AS342" s="115"/>
      <c r="AT342" s="115"/>
      <c r="AU342" s="115"/>
      <c r="AV342" s="115"/>
    </row>
    <row r="343" spans="1:48" ht="21" customHeight="1" thickBot="1" x14ac:dyDescent="0.45">
      <c r="A343" s="115"/>
      <c r="B343" s="1298"/>
      <c r="C343" s="1298"/>
      <c r="D343" s="115"/>
      <c r="E343" s="434"/>
      <c r="F343" s="434"/>
      <c r="G343" s="258"/>
      <c r="H343" s="258"/>
      <c r="I343" s="258"/>
      <c r="J343" s="258"/>
      <c r="K343" s="258"/>
      <c r="L343" s="258"/>
      <c r="M343" s="258"/>
      <c r="N343" s="258"/>
      <c r="O343" s="258"/>
      <c r="P343" s="258"/>
      <c r="Q343" s="258"/>
      <c r="R343" s="258"/>
      <c r="S343" s="258"/>
      <c r="T343" s="258"/>
      <c r="U343" s="258"/>
      <c r="V343" s="258"/>
      <c r="W343" s="258"/>
      <c r="X343" s="258"/>
      <c r="Y343" s="258"/>
      <c r="Z343" s="258"/>
      <c r="AA343" s="258"/>
      <c r="AB343" s="258"/>
      <c r="AC343" s="258"/>
      <c r="AD343" s="258"/>
      <c r="AE343" s="258"/>
      <c r="AF343" s="258"/>
      <c r="AG343" s="258"/>
      <c r="AH343" s="258"/>
      <c r="AI343" s="258"/>
      <c r="AJ343" s="261"/>
      <c r="AK343" s="261"/>
      <c r="AL343" s="261"/>
      <c r="AM343" s="548"/>
      <c r="AN343" s="548"/>
      <c r="AO343" s="176"/>
      <c r="AP343" s="121"/>
      <c r="AQ343" s="115"/>
      <c r="AR343" s="115"/>
      <c r="AS343" s="115"/>
      <c r="AT343" s="115"/>
      <c r="AU343" s="115"/>
      <c r="AV343" s="115"/>
    </row>
    <row r="344" spans="1:48" ht="21" customHeight="1" thickBot="1" x14ac:dyDescent="0.45">
      <c r="A344" s="115"/>
      <c r="B344" s="1298"/>
      <c r="C344" s="1298"/>
      <c r="D344" s="115"/>
      <c r="E344" s="434"/>
      <c r="F344" s="434"/>
      <c r="G344" s="258"/>
      <c r="H344" s="258"/>
      <c r="I344" s="258"/>
      <c r="J344" s="258"/>
      <c r="K344" s="258"/>
      <c r="L344" s="258"/>
      <c r="M344" s="258"/>
      <c r="N344" s="258"/>
      <c r="O344" s="258"/>
      <c r="P344" s="258"/>
      <c r="Q344" s="258"/>
      <c r="R344" s="258"/>
      <c r="S344" s="258"/>
      <c r="T344" s="258"/>
      <c r="U344" s="258"/>
      <c r="V344" s="258"/>
      <c r="W344" s="258"/>
      <c r="X344" s="258"/>
      <c r="Y344" s="258"/>
      <c r="Z344" s="258"/>
      <c r="AA344" s="258"/>
      <c r="AB344" s="258"/>
      <c r="AC344" s="258"/>
      <c r="AD344" s="258"/>
      <c r="AE344" s="258"/>
      <c r="AF344" s="258"/>
      <c r="AG344" s="258"/>
      <c r="AH344" s="258"/>
      <c r="AI344" s="258"/>
      <c r="AJ344" s="261"/>
      <c r="AK344" s="261"/>
      <c r="AL344" s="261"/>
      <c r="AM344" s="548"/>
      <c r="AN344" s="548"/>
      <c r="AO344" s="176"/>
      <c r="AP344" s="121"/>
      <c r="AQ344" s="115"/>
      <c r="AR344" s="115"/>
      <c r="AS344" s="115"/>
      <c r="AT344" s="115"/>
      <c r="AU344" s="115"/>
      <c r="AV344" s="115"/>
    </row>
    <row r="345" spans="1:48" ht="21" customHeight="1" thickBot="1" x14ac:dyDescent="0.45">
      <c r="A345" s="115"/>
      <c r="B345" s="1298"/>
      <c r="C345" s="1298"/>
      <c r="D345" s="115"/>
      <c r="E345" s="434"/>
      <c r="F345" s="434"/>
      <c r="G345" s="258"/>
      <c r="H345" s="258"/>
      <c r="I345" s="258"/>
      <c r="J345" s="258"/>
      <c r="K345" s="258"/>
      <c r="L345" s="258"/>
      <c r="M345" s="258"/>
      <c r="N345" s="258"/>
      <c r="O345" s="258"/>
      <c r="P345" s="258"/>
      <c r="Q345" s="258"/>
      <c r="R345" s="258"/>
      <c r="S345" s="258"/>
      <c r="T345" s="258"/>
      <c r="U345" s="258"/>
      <c r="V345" s="258"/>
      <c r="W345" s="258"/>
      <c r="X345" s="258"/>
      <c r="Y345" s="258"/>
      <c r="Z345" s="258"/>
      <c r="AA345" s="258"/>
      <c r="AB345" s="258"/>
      <c r="AC345" s="258"/>
      <c r="AD345" s="258"/>
      <c r="AE345" s="258"/>
      <c r="AF345" s="258"/>
      <c r="AG345" s="258"/>
      <c r="AH345" s="258"/>
      <c r="AI345" s="258"/>
      <c r="AJ345" s="261"/>
      <c r="AK345" s="261"/>
      <c r="AL345" s="261"/>
      <c r="AM345" s="548"/>
      <c r="AN345" s="548"/>
      <c r="AO345" s="176"/>
      <c r="AP345" s="121"/>
      <c r="AQ345" s="115"/>
      <c r="AR345" s="115"/>
      <c r="AS345" s="115"/>
      <c r="AT345" s="115"/>
      <c r="AU345" s="115"/>
      <c r="AV345" s="115"/>
    </row>
    <row r="346" spans="1:48" ht="21" customHeight="1" thickBot="1" x14ac:dyDescent="0.45">
      <c r="A346" s="115"/>
      <c r="B346" s="1298"/>
      <c r="C346" s="1298"/>
      <c r="D346" s="115"/>
      <c r="E346" s="434"/>
      <c r="F346" s="434"/>
      <c r="G346" s="258"/>
      <c r="H346" s="258"/>
      <c r="I346" s="258"/>
      <c r="J346" s="258"/>
      <c r="K346" s="258"/>
      <c r="L346" s="258"/>
      <c r="M346" s="258"/>
      <c r="N346" s="258"/>
      <c r="O346" s="258"/>
      <c r="P346" s="258"/>
      <c r="Q346" s="258"/>
      <c r="R346" s="258"/>
      <c r="S346" s="258"/>
      <c r="T346" s="258"/>
      <c r="U346" s="258"/>
      <c r="V346" s="258"/>
      <c r="W346" s="258"/>
      <c r="X346" s="258"/>
      <c r="Y346" s="258"/>
      <c r="Z346" s="258"/>
      <c r="AA346" s="258"/>
      <c r="AB346" s="258"/>
      <c r="AC346" s="258"/>
      <c r="AD346" s="258"/>
      <c r="AE346" s="258"/>
      <c r="AF346" s="258"/>
      <c r="AG346" s="258"/>
      <c r="AH346" s="258"/>
      <c r="AI346" s="258"/>
      <c r="AJ346" s="261"/>
      <c r="AK346" s="261"/>
      <c r="AL346" s="261"/>
      <c r="AM346" s="548"/>
      <c r="AN346" s="548"/>
      <c r="AO346" s="176"/>
      <c r="AP346" s="121"/>
      <c r="AQ346" s="115"/>
      <c r="AR346" s="115"/>
      <c r="AS346" s="115"/>
      <c r="AT346" s="115"/>
      <c r="AU346" s="115"/>
      <c r="AV346" s="115"/>
    </row>
    <row r="347" spans="1:48" ht="21" customHeight="1" thickBot="1" x14ac:dyDescent="0.45">
      <c r="A347" s="115"/>
      <c r="B347" s="1298"/>
      <c r="C347" s="1298"/>
      <c r="D347" s="115"/>
      <c r="E347" s="434"/>
      <c r="F347" s="434"/>
      <c r="G347" s="258"/>
      <c r="H347" s="258"/>
      <c r="I347" s="258"/>
      <c r="J347" s="258"/>
      <c r="K347" s="258"/>
      <c r="L347" s="258"/>
      <c r="M347" s="258"/>
      <c r="N347" s="258"/>
      <c r="O347" s="258"/>
      <c r="P347" s="258"/>
      <c r="Q347" s="258"/>
      <c r="R347" s="258"/>
      <c r="S347" s="258"/>
      <c r="T347" s="258"/>
      <c r="U347" s="258"/>
      <c r="V347" s="258"/>
      <c r="W347" s="258"/>
      <c r="X347" s="258"/>
      <c r="Y347" s="258"/>
      <c r="Z347" s="258"/>
      <c r="AA347" s="258"/>
      <c r="AB347" s="258"/>
      <c r="AC347" s="258"/>
      <c r="AD347" s="258"/>
      <c r="AE347" s="258"/>
      <c r="AF347" s="258"/>
      <c r="AG347" s="258"/>
      <c r="AH347" s="258"/>
      <c r="AI347" s="258"/>
      <c r="AJ347" s="261"/>
      <c r="AK347" s="261"/>
      <c r="AL347" s="261"/>
      <c r="AM347" s="548"/>
      <c r="AN347" s="548"/>
      <c r="AO347" s="176"/>
      <c r="AP347" s="121"/>
      <c r="AQ347" s="115"/>
      <c r="AR347" s="115"/>
      <c r="AS347" s="115"/>
      <c r="AT347" s="115"/>
      <c r="AU347" s="115"/>
      <c r="AV347" s="115"/>
    </row>
    <row r="348" spans="1:48" ht="21" customHeight="1" thickBot="1" x14ac:dyDescent="0.45">
      <c r="A348" s="115"/>
      <c r="B348" s="1298"/>
      <c r="C348" s="1298"/>
      <c r="D348" s="115"/>
      <c r="E348" s="434"/>
      <c r="F348" s="434"/>
      <c r="G348" s="258"/>
      <c r="H348" s="258"/>
      <c r="I348" s="258"/>
      <c r="J348" s="258"/>
      <c r="K348" s="258"/>
      <c r="L348" s="258"/>
      <c r="M348" s="258"/>
      <c r="N348" s="258"/>
      <c r="O348" s="258"/>
      <c r="P348" s="258"/>
      <c r="Q348" s="258"/>
      <c r="R348" s="258"/>
      <c r="S348" s="258"/>
      <c r="T348" s="258"/>
      <c r="U348" s="258"/>
      <c r="V348" s="258"/>
      <c r="W348" s="258"/>
      <c r="X348" s="258"/>
      <c r="Y348" s="258"/>
      <c r="Z348" s="258"/>
      <c r="AA348" s="258"/>
      <c r="AB348" s="258"/>
      <c r="AC348" s="258"/>
      <c r="AD348" s="258"/>
      <c r="AE348" s="258"/>
      <c r="AF348" s="258"/>
      <c r="AG348" s="258"/>
      <c r="AH348" s="258"/>
      <c r="AI348" s="258"/>
      <c r="AJ348" s="261"/>
      <c r="AK348" s="261"/>
      <c r="AL348" s="261"/>
      <c r="AM348" s="548"/>
      <c r="AN348" s="548"/>
      <c r="AO348" s="176"/>
      <c r="AP348" s="121"/>
      <c r="AQ348" s="115"/>
      <c r="AR348" s="115"/>
      <c r="AS348" s="115"/>
      <c r="AT348" s="115"/>
      <c r="AU348" s="115"/>
      <c r="AV348" s="115"/>
    </row>
    <row r="349" spans="1:48" ht="21" customHeight="1" thickBot="1" x14ac:dyDescent="0.45">
      <c r="A349" s="115"/>
      <c r="B349" s="1298"/>
      <c r="C349" s="1298"/>
      <c r="D349" s="115"/>
      <c r="E349" s="434"/>
      <c r="F349" s="434"/>
      <c r="G349" s="258"/>
      <c r="H349" s="258"/>
      <c r="I349" s="258"/>
      <c r="J349" s="258"/>
      <c r="K349" s="258"/>
      <c r="L349" s="258"/>
      <c r="M349" s="258"/>
      <c r="N349" s="258"/>
      <c r="O349" s="258"/>
      <c r="P349" s="258"/>
      <c r="Q349" s="258"/>
      <c r="R349" s="258"/>
      <c r="S349" s="258"/>
      <c r="T349" s="258"/>
      <c r="U349" s="258"/>
      <c r="V349" s="258"/>
      <c r="W349" s="258"/>
      <c r="X349" s="258"/>
      <c r="Y349" s="258"/>
      <c r="Z349" s="258"/>
      <c r="AA349" s="258"/>
      <c r="AB349" s="258"/>
      <c r="AC349" s="258"/>
      <c r="AD349" s="258"/>
      <c r="AE349" s="258"/>
      <c r="AF349" s="258"/>
      <c r="AG349" s="258"/>
      <c r="AH349" s="258"/>
      <c r="AI349" s="258"/>
      <c r="AJ349" s="261"/>
      <c r="AK349" s="261"/>
      <c r="AL349" s="261"/>
      <c r="AM349" s="548"/>
      <c r="AN349" s="548"/>
      <c r="AO349" s="176"/>
      <c r="AP349" s="121"/>
      <c r="AQ349" s="115"/>
      <c r="AR349" s="115"/>
      <c r="AS349" s="115"/>
      <c r="AT349" s="115"/>
      <c r="AU349" s="115"/>
      <c r="AV349" s="115"/>
    </row>
    <row r="350" spans="1:48" ht="21" customHeight="1" thickBot="1" x14ac:dyDescent="0.45">
      <c r="A350" s="115"/>
      <c r="B350" s="1298"/>
      <c r="C350" s="1298"/>
      <c r="D350" s="115"/>
      <c r="E350" s="434"/>
      <c r="F350" s="434"/>
      <c r="G350" s="258"/>
      <c r="H350" s="258"/>
      <c r="I350" s="258"/>
      <c r="J350" s="258"/>
      <c r="K350" s="258"/>
      <c r="L350" s="258"/>
      <c r="M350" s="258"/>
      <c r="N350" s="258"/>
      <c r="O350" s="258"/>
      <c r="P350" s="258"/>
      <c r="Q350" s="258"/>
      <c r="R350" s="258"/>
      <c r="S350" s="258"/>
      <c r="T350" s="258"/>
      <c r="U350" s="258"/>
      <c r="V350" s="258"/>
      <c r="W350" s="258"/>
      <c r="X350" s="258"/>
      <c r="Y350" s="258"/>
      <c r="Z350" s="258"/>
      <c r="AA350" s="258"/>
      <c r="AB350" s="258"/>
      <c r="AC350" s="258"/>
      <c r="AD350" s="258"/>
      <c r="AE350" s="258"/>
      <c r="AF350" s="258"/>
      <c r="AG350" s="258"/>
      <c r="AH350" s="258"/>
      <c r="AI350" s="258"/>
      <c r="AJ350" s="261"/>
      <c r="AK350" s="261"/>
      <c r="AL350" s="261"/>
      <c r="AM350" s="548"/>
      <c r="AN350" s="548"/>
      <c r="AO350" s="176"/>
      <c r="AP350" s="121"/>
      <c r="AQ350" s="115"/>
      <c r="AR350" s="115"/>
      <c r="AS350" s="115"/>
      <c r="AT350" s="115"/>
      <c r="AU350" s="115"/>
      <c r="AV350" s="115"/>
    </row>
    <row r="351" spans="1:48" ht="21" customHeight="1" thickBot="1" x14ac:dyDescent="0.45">
      <c r="A351" s="115"/>
      <c r="B351" s="1298"/>
      <c r="C351" s="1298"/>
      <c r="D351" s="115"/>
      <c r="E351" s="434"/>
      <c r="F351" s="434"/>
      <c r="G351" s="258"/>
      <c r="H351" s="258"/>
      <c r="I351" s="258"/>
      <c r="J351" s="258"/>
      <c r="K351" s="258"/>
      <c r="L351" s="258"/>
      <c r="M351" s="258"/>
      <c r="N351" s="258"/>
      <c r="O351" s="258"/>
      <c r="P351" s="258"/>
      <c r="Q351" s="258"/>
      <c r="R351" s="258"/>
      <c r="S351" s="258"/>
      <c r="T351" s="258"/>
      <c r="U351" s="258"/>
      <c r="V351" s="258"/>
      <c r="W351" s="258"/>
      <c r="X351" s="258"/>
      <c r="Y351" s="258"/>
      <c r="Z351" s="258"/>
      <c r="AA351" s="258"/>
      <c r="AB351" s="258"/>
      <c r="AC351" s="258"/>
      <c r="AD351" s="258"/>
      <c r="AE351" s="258"/>
      <c r="AF351" s="258"/>
      <c r="AG351" s="258"/>
      <c r="AH351" s="258"/>
      <c r="AI351" s="258"/>
      <c r="AJ351" s="261"/>
      <c r="AK351" s="261"/>
      <c r="AL351" s="261"/>
      <c r="AM351" s="548"/>
      <c r="AN351" s="548"/>
      <c r="AO351" s="176"/>
      <c r="AP351" s="121"/>
      <c r="AQ351" s="115"/>
      <c r="AR351" s="115"/>
      <c r="AS351" s="115"/>
      <c r="AT351" s="115"/>
      <c r="AU351" s="115"/>
      <c r="AV351" s="115"/>
    </row>
    <row r="352" spans="1:48" ht="21" customHeight="1" thickBot="1" x14ac:dyDescent="0.45">
      <c r="A352" s="115"/>
      <c r="B352" s="1298"/>
      <c r="C352" s="1298"/>
      <c r="D352" s="115"/>
      <c r="E352" s="434"/>
      <c r="F352" s="434"/>
      <c r="G352" s="258"/>
      <c r="H352" s="258"/>
      <c r="I352" s="258"/>
      <c r="J352" s="258"/>
      <c r="K352" s="258"/>
      <c r="L352" s="258"/>
      <c r="M352" s="258"/>
      <c r="N352" s="258"/>
      <c r="O352" s="258"/>
      <c r="P352" s="258"/>
      <c r="Q352" s="258"/>
      <c r="R352" s="258"/>
      <c r="S352" s="258"/>
      <c r="T352" s="258"/>
      <c r="U352" s="258"/>
      <c r="V352" s="258"/>
      <c r="W352" s="258"/>
      <c r="X352" s="258"/>
      <c r="Y352" s="258"/>
      <c r="Z352" s="258"/>
      <c r="AA352" s="258"/>
      <c r="AB352" s="258"/>
      <c r="AC352" s="258"/>
      <c r="AD352" s="258"/>
      <c r="AE352" s="258"/>
      <c r="AF352" s="258"/>
      <c r="AG352" s="258"/>
      <c r="AH352" s="258"/>
      <c r="AI352" s="258"/>
      <c r="AJ352" s="261"/>
      <c r="AK352" s="261"/>
      <c r="AL352" s="261"/>
      <c r="AM352" s="548"/>
      <c r="AN352" s="548"/>
      <c r="AO352" s="176"/>
      <c r="AP352" s="121"/>
      <c r="AQ352" s="115"/>
      <c r="AR352" s="115"/>
      <c r="AS352" s="115"/>
      <c r="AT352" s="115"/>
      <c r="AU352" s="115"/>
      <c r="AV352" s="115"/>
    </row>
    <row r="353" spans="1:48" ht="21" customHeight="1" thickBot="1" x14ac:dyDescent="0.45">
      <c r="A353" s="115"/>
      <c r="B353" s="1298"/>
      <c r="C353" s="1298"/>
      <c r="D353" s="115"/>
      <c r="E353" s="434"/>
      <c r="F353" s="434"/>
      <c r="G353" s="258"/>
      <c r="H353" s="258"/>
      <c r="I353" s="258"/>
      <c r="J353" s="258"/>
      <c r="K353" s="258"/>
      <c r="L353" s="258"/>
      <c r="M353" s="258"/>
      <c r="N353" s="258"/>
      <c r="O353" s="258"/>
      <c r="P353" s="258"/>
      <c r="Q353" s="258"/>
      <c r="R353" s="258"/>
      <c r="S353" s="258"/>
      <c r="T353" s="258"/>
      <c r="U353" s="258"/>
      <c r="V353" s="258"/>
      <c r="W353" s="258"/>
      <c r="X353" s="258"/>
      <c r="Y353" s="258"/>
      <c r="Z353" s="258"/>
      <c r="AA353" s="258"/>
      <c r="AB353" s="258"/>
      <c r="AC353" s="258"/>
      <c r="AD353" s="258"/>
      <c r="AE353" s="258"/>
      <c r="AF353" s="258"/>
      <c r="AG353" s="258"/>
      <c r="AH353" s="258"/>
      <c r="AI353" s="258"/>
      <c r="AJ353" s="261"/>
      <c r="AK353" s="261"/>
      <c r="AL353" s="261"/>
      <c r="AM353" s="548"/>
      <c r="AN353" s="548"/>
      <c r="AO353" s="176"/>
      <c r="AP353" s="121"/>
      <c r="AQ353" s="115"/>
      <c r="AR353" s="115"/>
      <c r="AS353" s="115"/>
      <c r="AT353" s="115"/>
      <c r="AU353" s="115"/>
      <c r="AV353" s="115"/>
    </row>
    <row r="354" spans="1:48" ht="21" customHeight="1" thickBot="1" x14ac:dyDescent="0.45">
      <c r="A354" s="115"/>
      <c r="B354" s="1298"/>
      <c r="C354" s="1298"/>
      <c r="D354" s="115"/>
      <c r="E354" s="434"/>
      <c r="F354" s="434"/>
      <c r="G354" s="258"/>
      <c r="H354" s="258"/>
      <c r="I354" s="258"/>
      <c r="J354" s="258"/>
      <c r="K354" s="258"/>
      <c r="L354" s="258"/>
      <c r="M354" s="258"/>
      <c r="N354" s="258"/>
      <c r="O354" s="258"/>
      <c r="P354" s="258"/>
      <c r="Q354" s="258"/>
      <c r="R354" s="258"/>
      <c r="S354" s="258"/>
      <c r="T354" s="258"/>
      <c r="U354" s="258"/>
      <c r="V354" s="258"/>
      <c r="W354" s="258"/>
      <c r="X354" s="258"/>
      <c r="Y354" s="258"/>
      <c r="Z354" s="258"/>
      <c r="AA354" s="258"/>
      <c r="AB354" s="258"/>
      <c r="AC354" s="258"/>
      <c r="AD354" s="258"/>
      <c r="AE354" s="258"/>
      <c r="AF354" s="258"/>
      <c r="AG354" s="258"/>
      <c r="AH354" s="258"/>
      <c r="AI354" s="258"/>
      <c r="AJ354" s="261"/>
      <c r="AK354" s="261"/>
      <c r="AL354" s="261"/>
      <c r="AM354" s="548"/>
      <c r="AN354" s="548"/>
      <c r="AO354" s="176"/>
      <c r="AP354" s="121"/>
      <c r="AQ354" s="115"/>
      <c r="AR354" s="115"/>
      <c r="AS354" s="115"/>
      <c r="AT354" s="115"/>
      <c r="AU354" s="115"/>
      <c r="AV354" s="115"/>
    </row>
    <row r="355" spans="1:48" ht="21" customHeight="1" thickBot="1" x14ac:dyDescent="0.45">
      <c r="A355" s="115"/>
      <c r="B355" s="1298"/>
      <c r="C355" s="1298"/>
      <c r="D355" s="115"/>
      <c r="E355" s="434"/>
      <c r="F355" s="434"/>
      <c r="G355" s="258"/>
      <c r="H355" s="258"/>
      <c r="I355" s="258"/>
      <c r="J355" s="258"/>
      <c r="K355" s="258"/>
      <c r="L355" s="258"/>
      <c r="M355" s="258"/>
      <c r="N355" s="258"/>
      <c r="O355" s="258"/>
      <c r="P355" s="258"/>
      <c r="Q355" s="258"/>
      <c r="R355" s="258"/>
      <c r="S355" s="258"/>
      <c r="T355" s="258"/>
      <c r="U355" s="258"/>
      <c r="V355" s="258"/>
      <c r="W355" s="258"/>
      <c r="X355" s="258"/>
      <c r="Y355" s="258"/>
      <c r="Z355" s="258"/>
      <c r="AA355" s="258"/>
      <c r="AB355" s="258"/>
      <c r="AC355" s="258"/>
      <c r="AD355" s="258"/>
      <c r="AE355" s="258"/>
      <c r="AF355" s="258"/>
      <c r="AG355" s="258"/>
      <c r="AH355" s="258"/>
      <c r="AI355" s="258"/>
      <c r="AJ355" s="261"/>
      <c r="AK355" s="261"/>
      <c r="AL355" s="261"/>
      <c r="AM355" s="548"/>
      <c r="AN355" s="548"/>
      <c r="AO355" s="176"/>
      <c r="AP355" s="121"/>
      <c r="AQ355" s="115"/>
      <c r="AR355" s="115"/>
      <c r="AS355" s="115"/>
      <c r="AT355" s="115"/>
      <c r="AU355" s="115"/>
      <c r="AV355" s="115"/>
    </row>
    <row r="356" spans="1:48" ht="21" customHeight="1" thickBot="1" x14ac:dyDescent="0.45">
      <c r="A356" s="115"/>
      <c r="B356" s="1298"/>
      <c r="C356" s="1298"/>
      <c r="D356" s="115"/>
      <c r="E356" s="434"/>
      <c r="F356" s="434"/>
      <c r="G356" s="258"/>
      <c r="H356" s="258"/>
      <c r="I356" s="258"/>
      <c r="J356" s="258"/>
      <c r="K356" s="258"/>
      <c r="L356" s="258"/>
      <c r="M356" s="258"/>
      <c r="N356" s="258"/>
      <c r="O356" s="258"/>
      <c r="P356" s="258"/>
      <c r="Q356" s="258"/>
      <c r="R356" s="258"/>
      <c r="S356" s="258"/>
      <c r="T356" s="258"/>
      <c r="U356" s="258"/>
      <c r="V356" s="258"/>
      <c r="W356" s="258"/>
      <c r="X356" s="258"/>
      <c r="Y356" s="258"/>
      <c r="Z356" s="258"/>
      <c r="AA356" s="258"/>
      <c r="AB356" s="258"/>
      <c r="AC356" s="258"/>
      <c r="AD356" s="258"/>
      <c r="AE356" s="258"/>
      <c r="AF356" s="258"/>
      <c r="AG356" s="258"/>
      <c r="AH356" s="258"/>
      <c r="AI356" s="258"/>
      <c r="AJ356" s="261"/>
      <c r="AK356" s="261"/>
      <c r="AL356" s="261"/>
      <c r="AM356" s="548"/>
      <c r="AN356" s="548"/>
      <c r="AO356" s="176"/>
      <c r="AP356" s="121"/>
      <c r="AQ356" s="115"/>
      <c r="AR356" s="115"/>
      <c r="AS356" s="115"/>
      <c r="AT356" s="115"/>
      <c r="AU356" s="115"/>
      <c r="AV356" s="115"/>
    </row>
    <row r="357" spans="1:48" ht="21" customHeight="1" thickBot="1" x14ac:dyDescent="0.45">
      <c r="A357" s="115"/>
      <c r="B357" s="1298"/>
      <c r="C357" s="1298"/>
      <c r="D357" s="115"/>
      <c r="E357" s="434"/>
      <c r="F357" s="434"/>
      <c r="G357" s="258"/>
      <c r="H357" s="258"/>
      <c r="I357" s="258"/>
      <c r="J357" s="258"/>
      <c r="K357" s="258"/>
      <c r="L357" s="258"/>
      <c r="M357" s="258"/>
      <c r="N357" s="258"/>
      <c r="O357" s="258"/>
      <c r="P357" s="258"/>
      <c r="Q357" s="258"/>
      <c r="R357" s="258"/>
      <c r="S357" s="258"/>
      <c r="T357" s="258"/>
      <c r="U357" s="258"/>
      <c r="V357" s="258"/>
      <c r="W357" s="258"/>
      <c r="X357" s="258"/>
      <c r="Y357" s="258"/>
      <c r="Z357" s="258"/>
      <c r="AA357" s="258"/>
      <c r="AB357" s="258"/>
      <c r="AC357" s="258"/>
      <c r="AD357" s="258"/>
      <c r="AE357" s="258"/>
      <c r="AF357" s="258"/>
      <c r="AG357" s="258"/>
      <c r="AH357" s="258"/>
      <c r="AI357" s="258"/>
      <c r="AJ357" s="261"/>
      <c r="AK357" s="261"/>
      <c r="AL357" s="261"/>
      <c r="AM357" s="548"/>
      <c r="AN357" s="548"/>
      <c r="AO357" s="176"/>
      <c r="AP357" s="121"/>
      <c r="AQ357" s="115"/>
      <c r="AR357" s="115"/>
      <c r="AS357" s="115"/>
      <c r="AT357" s="115"/>
      <c r="AU357" s="115"/>
      <c r="AV357" s="115"/>
    </row>
    <row r="358" spans="1:48" ht="21" customHeight="1" thickBot="1" x14ac:dyDescent="0.45">
      <c r="A358" s="115"/>
      <c r="B358" s="1298"/>
      <c r="C358" s="1298"/>
      <c r="D358" s="115"/>
      <c r="E358" s="434"/>
      <c r="F358" s="434"/>
      <c r="G358" s="258"/>
      <c r="H358" s="258"/>
      <c r="I358" s="258"/>
      <c r="J358" s="258"/>
      <c r="K358" s="258"/>
      <c r="L358" s="258"/>
      <c r="M358" s="258"/>
      <c r="N358" s="258"/>
      <c r="O358" s="258"/>
      <c r="P358" s="258"/>
      <c r="Q358" s="258"/>
      <c r="R358" s="258"/>
      <c r="S358" s="258"/>
      <c r="T358" s="258"/>
      <c r="U358" s="258"/>
      <c r="V358" s="258"/>
      <c r="W358" s="258"/>
      <c r="X358" s="258"/>
      <c r="Y358" s="258"/>
      <c r="Z358" s="258"/>
      <c r="AA358" s="258"/>
      <c r="AB358" s="258"/>
      <c r="AC358" s="258"/>
      <c r="AD358" s="258"/>
      <c r="AE358" s="258"/>
      <c r="AF358" s="258"/>
      <c r="AG358" s="258"/>
      <c r="AH358" s="258"/>
      <c r="AI358" s="258"/>
      <c r="AJ358" s="261"/>
      <c r="AK358" s="261"/>
      <c r="AL358" s="261"/>
      <c r="AM358" s="548"/>
      <c r="AN358" s="548"/>
      <c r="AO358" s="176"/>
      <c r="AP358" s="121"/>
      <c r="AQ358" s="115"/>
      <c r="AR358" s="115"/>
      <c r="AS358" s="115"/>
      <c r="AT358" s="115"/>
      <c r="AU358" s="115"/>
      <c r="AV358" s="115"/>
    </row>
    <row r="359" spans="1:48" ht="21" customHeight="1" thickBot="1" x14ac:dyDescent="0.45">
      <c r="A359" s="115"/>
      <c r="B359" s="1298"/>
      <c r="C359" s="1298"/>
      <c r="D359" s="115"/>
      <c r="E359" s="434"/>
      <c r="F359" s="434"/>
      <c r="G359" s="258"/>
      <c r="H359" s="258"/>
      <c r="I359" s="258"/>
      <c r="J359" s="258"/>
      <c r="K359" s="258"/>
      <c r="L359" s="258"/>
      <c r="M359" s="258"/>
      <c r="N359" s="258"/>
      <c r="O359" s="258"/>
      <c r="P359" s="258"/>
      <c r="Q359" s="258"/>
      <c r="R359" s="258"/>
      <c r="S359" s="258"/>
      <c r="T359" s="258"/>
      <c r="U359" s="258"/>
      <c r="V359" s="258"/>
      <c r="W359" s="258"/>
      <c r="X359" s="258"/>
      <c r="Y359" s="258"/>
      <c r="Z359" s="258"/>
      <c r="AA359" s="258"/>
      <c r="AB359" s="258"/>
      <c r="AC359" s="258"/>
      <c r="AD359" s="258"/>
      <c r="AE359" s="258"/>
      <c r="AF359" s="258"/>
      <c r="AG359" s="258"/>
      <c r="AH359" s="258"/>
      <c r="AI359" s="258"/>
      <c r="AJ359" s="261"/>
      <c r="AK359" s="261"/>
      <c r="AL359" s="261"/>
      <c r="AM359" s="548"/>
      <c r="AN359" s="548"/>
      <c r="AO359" s="176"/>
      <c r="AP359" s="121"/>
      <c r="AQ359" s="115"/>
      <c r="AR359" s="115"/>
      <c r="AS359" s="115"/>
      <c r="AT359" s="115"/>
      <c r="AU359" s="115"/>
      <c r="AV359" s="115"/>
    </row>
    <row r="360" spans="1:48" ht="21" customHeight="1" thickBot="1" x14ac:dyDescent="0.45">
      <c r="A360" s="115"/>
      <c r="B360" s="1298"/>
      <c r="C360" s="1298"/>
      <c r="D360" s="115"/>
      <c r="E360" s="434"/>
      <c r="F360" s="434"/>
      <c r="G360" s="258"/>
      <c r="H360" s="258"/>
      <c r="I360" s="258"/>
      <c r="J360" s="258"/>
      <c r="K360" s="258"/>
      <c r="L360" s="258"/>
      <c r="M360" s="258"/>
      <c r="N360" s="258"/>
      <c r="O360" s="258"/>
      <c r="P360" s="258"/>
      <c r="Q360" s="258"/>
      <c r="R360" s="258"/>
      <c r="S360" s="258"/>
      <c r="T360" s="258"/>
      <c r="U360" s="258"/>
      <c r="V360" s="258"/>
      <c r="W360" s="258"/>
      <c r="X360" s="258"/>
      <c r="Y360" s="258"/>
      <c r="Z360" s="258"/>
      <c r="AA360" s="258"/>
      <c r="AB360" s="258"/>
      <c r="AC360" s="258"/>
      <c r="AD360" s="258"/>
      <c r="AE360" s="258"/>
      <c r="AF360" s="258"/>
      <c r="AG360" s="258"/>
      <c r="AH360" s="258"/>
      <c r="AI360" s="258"/>
      <c r="AJ360" s="261"/>
      <c r="AK360" s="261"/>
      <c r="AL360" s="261"/>
      <c r="AM360" s="548"/>
      <c r="AN360" s="548"/>
      <c r="AO360" s="176"/>
      <c r="AP360" s="121"/>
      <c r="AQ360" s="115"/>
      <c r="AR360" s="115"/>
      <c r="AS360" s="115"/>
      <c r="AT360" s="115"/>
      <c r="AU360" s="115"/>
      <c r="AV360" s="115"/>
    </row>
    <row r="361" spans="1:48" ht="21" customHeight="1" thickBot="1" x14ac:dyDescent="0.45">
      <c r="A361" s="115"/>
      <c r="B361" s="1298"/>
      <c r="C361" s="1298"/>
      <c r="D361" s="115"/>
      <c r="E361" s="434"/>
      <c r="F361" s="434"/>
      <c r="G361" s="258"/>
      <c r="H361" s="258"/>
      <c r="I361" s="258"/>
      <c r="J361" s="258"/>
      <c r="K361" s="258"/>
      <c r="L361" s="258"/>
      <c r="M361" s="258"/>
      <c r="N361" s="258"/>
      <c r="O361" s="258"/>
      <c r="P361" s="258"/>
      <c r="Q361" s="258"/>
      <c r="R361" s="258"/>
      <c r="S361" s="258"/>
      <c r="T361" s="258"/>
      <c r="U361" s="258"/>
      <c r="V361" s="258"/>
      <c r="W361" s="258"/>
      <c r="X361" s="258"/>
      <c r="Y361" s="258"/>
      <c r="Z361" s="258"/>
      <c r="AA361" s="258"/>
      <c r="AB361" s="258"/>
      <c r="AC361" s="258"/>
      <c r="AD361" s="258"/>
      <c r="AE361" s="258"/>
      <c r="AF361" s="258"/>
      <c r="AG361" s="258"/>
      <c r="AH361" s="258"/>
      <c r="AI361" s="258"/>
      <c r="AJ361" s="261"/>
      <c r="AK361" s="261"/>
      <c r="AL361" s="261"/>
      <c r="AM361" s="548"/>
      <c r="AN361" s="548"/>
      <c r="AO361" s="176"/>
      <c r="AP361" s="121"/>
      <c r="AQ361" s="115"/>
      <c r="AR361" s="115"/>
      <c r="AS361" s="115"/>
      <c r="AT361" s="115"/>
      <c r="AU361" s="115"/>
      <c r="AV361" s="115"/>
    </row>
    <row r="362" spans="1:48" ht="21" customHeight="1" thickBot="1" x14ac:dyDescent="0.45">
      <c r="A362" s="115"/>
      <c r="B362" s="1298"/>
      <c r="C362" s="1298"/>
      <c r="D362" s="115"/>
      <c r="E362" s="434"/>
      <c r="F362" s="434"/>
      <c r="G362" s="258"/>
      <c r="H362" s="258"/>
      <c r="I362" s="258"/>
      <c r="J362" s="258"/>
      <c r="K362" s="258"/>
      <c r="L362" s="258"/>
      <c r="M362" s="258"/>
      <c r="N362" s="258"/>
      <c r="O362" s="258"/>
      <c r="P362" s="258"/>
      <c r="Q362" s="258"/>
      <c r="R362" s="258"/>
      <c r="S362" s="258"/>
      <c r="T362" s="258"/>
      <c r="U362" s="258"/>
      <c r="V362" s="258"/>
      <c r="W362" s="258"/>
      <c r="X362" s="258"/>
      <c r="Y362" s="258"/>
      <c r="Z362" s="258"/>
      <c r="AA362" s="258"/>
      <c r="AB362" s="258"/>
      <c r="AC362" s="258"/>
      <c r="AD362" s="258"/>
      <c r="AE362" s="258"/>
      <c r="AF362" s="258"/>
      <c r="AG362" s="258"/>
      <c r="AH362" s="258"/>
      <c r="AI362" s="258"/>
      <c r="AJ362" s="261"/>
      <c r="AK362" s="261"/>
      <c r="AL362" s="261"/>
      <c r="AM362" s="548"/>
      <c r="AN362" s="548"/>
      <c r="AO362" s="176"/>
      <c r="AP362" s="121"/>
      <c r="AQ362" s="115"/>
      <c r="AR362" s="115"/>
      <c r="AS362" s="115"/>
      <c r="AT362" s="115"/>
      <c r="AU362" s="115"/>
      <c r="AV362" s="115"/>
    </row>
    <row r="363" spans="1:48" ht="21" customHeight="1" thickBot="1" x14ac:dyDescent="0.45">
      <c r="A363" s="115"/>
      <c r="B363" s="1298"/>
      <c r="C363" s="1298"/>
      <c r="D363" s="115"/>
      <c r="E363" s="434"/>
      <c r="F363" s="434"/>
      <c r="G363" s="258"/>
      <c r="H363" s="258"/>
      <c r="I363" s="258"/>
      <c r="J363" s="258"/>
      <c r="K363" s="258"/>
      <c r="L363" s="258"/>
      <c r="M363" s="258"/>
      <c r="N363" s="258"/>
      <c r="O363" s="258"/>
      <c r="P363" s="258"/>
      <c r="Q363" s="258"/>
      <c r="R363" s="258"/>
      <c r="S363" s="258"/>
      <c r="T363" s="258"/>
      <c r="U363" s="258"/>
      <c r="V363" s="258"/>
      <c r="W363" s="258"/>
      <c r="X363" s="258"/>
      <c r="Y363" s="258"/>
      <c r="Z363" s="258"/>
      <c r="AA363" s="258"/>
      <c r="AB363" s="258"/>
      <c r="AC363" s="258"/>
      <c r="AD363" s="258"/>
      <c r="AE363" s="258"/>
      <c r="AF363" s="258"/>
      <c r="AG363" s="258"/>
      <c r="AH363" s="258"/>
      <c r="AI363" s="258"/>
      <c r="AJ363" s="261"/>
      <c r="AK363" s="261"/>
      <c r="AL363" s="261"/>
      <c r="AM363" s="548"/>
      <c r="AN363" s="548"/>
      <c r="AO363" s="176"/>
      <c r="AP363" s="121"/>
      <c r="AQ363" s="115"/>
      <c r="AR363" s="115"/>
      <c r="AS363" s="115"/>
      <c r="AT363" s="115"/>
      <c r="AU363" s="115"/>
      <c r="AV363" s="115"/>
    </row>
    <row r="364" spans="1:48" ht="21" customHeight="1" thickBot="1" x14ac:dyDescent="0.45">
      <c r="A364" s="115"/>
      <c r="B364" s="1298"/>
      <c r="C364" s="1298"/>
      <c r="D364" s="115"/>
      <c r="E364" s="434"/>
      <c r="F364" s="434"/>
      <c r="G364" s="258"/>
      <c r="H364" s="258"/>
      <c r="I364" s="258"/>
      <c r="J364" s="258"/>
      <c r="K364" s="258"/>
      <c r="L364" s="258"/>
      <c r="M364" s="258"/>
      <c r="N364" s="258"/>
      <c r="O364" s="258"/>
      <c r="P364" s="258"/>
      <c r="Q364" s="258"/>
      <c r="R364" s="258"/>
      <c r="S364" s="258"/>
      <c r="T364" s="258"/>
      <c r="U364" s="258"/>
      <c r="V364" s="258"/>
      <c r="W364" s="258"/>
      <c r="X364" s="258"/>
      <c r="Y364" s="258"/>
      <c r="Z364" s="258"/>
      <c r="AA364" s="258"/>
      <c r="AB364" s="258"/>
      <c r="AC364" s="258"/>
      <c r="AD364" s="258"/>
      <c r="AE364" s="258"/>
      <c r="AF364" s="258"/>
      <c r="AG364" s="258"/>
      <c r="AH364" s="258"/>
      <c r="AI364" s="258"/>
      <c r="AJ364" s="261"/>
      <c r="AK364" s="261"/>
      <c r="AL364" s="261"/>
      <c r="AM364" s="548"/>
      <c r="AN364" s="548"/>
      <c r="AO364" s="176"/>
      <c r="AP364" s="121"/>
      <c r="AQ364" s="115"/>
      <c r="AR364" s="115"/>
      <c r="AS364" s="115"/>
      <c r="AT364" s="115"/>
      <c r="AU364" s="115"/>
      <c r="AV364" s="115"/>
    </row>
    <row r="365" spans="1:48" ht="21" customHeight="1" thickBot="1" x14ac:dyDescent="0.45">
      <c r="A365" s="115"/>
      <c r="B365" s="1298"/>
      <c r="C365" s="1298"/>
      <c r="D365" s="115"/>
      <c r="E365" s="434"/>
      <c r="F365" s="434"/>
      <c r="G365" s="258"/>
      <c r="H365" s="258"/>
      <c r="I365" s="258"/>
      <c r="J365" s="258"/>
      <c r="K365" s="258"/>
      <c r="L365" s="258"/>
      <c r="M365" s="258"/>
      <c r="N365" s="258"/>
      <c r="O365" s="258"/>
      <c r="P365" s="258"/>
      <c r="Q365" s="258"/>
      <c r="R365" s="258"/>
      <c r="S365" s="258"/>
      <c r="T365" s="258"/>
      <c r="U365" s="258"/>
      <c r="V365" s="258"/>
      <c r="W365" s="258"/>
      <c r="X365" s="258"/>
      <c r="Y365" s="258"/>
      <c r="Z365" s="258"/>
      <c r="AA365" s="258"/>
      <c r="AB365" s="258"/>
      <c r="AC365" s="258"/>
      <c r="AD365" s="258"/>
      <c r="AE365" s="258"/>
      <c r="AF365" s="258"/>
      <c r="AG365" s="258"/>
      <c r="AH365" s="258"/>
      <c r="AI365" s="258"/>
      <c r="AJ365" s="261"/>
      <c r="AK365" s="261"/>
      <c r="AL365" s="261"/>
      <c r="AM365" s="548"/>
      <c r="AN365" s="548"/>
      <c r="AO365" s="176"/>
      <c r="AP365" s="121"/>
      <c r="AQ365" s="115"/>
      <c r="AR365" s="115"/>
      <c r="AS365" s="115"/>
      <c r="AT365" s="115"/>
      <c r="AU365" s="115"/>
      <c r="AV365" s="115"/>
    </row>
    <row r="366" spans="1:48" ht="21" customHeight="1" thickBot="1" x14ac:dyDescent="0.45">
      <c r="A366" s="115"/>
      <c r="B366" s="1298"/>
      <c r="C366" s="1298"/>
      <c r="D366" s="115"/>
      <c r="E366" s="434"/>
      <c r="F366" s="434"/>
      <c r="G366" s="258"/>
      <c r="H366" s="258"/>
      <c r="I366" s="258"/>
      <c r="J366" s="258"/>
      <c r="K366" s="258"/>
      <c r="L366" s="258"/>
      <c r="M366" s="258"/>
      <c r="N366" s="258"/>
      <c r="O366" s="258"/>
      <c r="P366" s="258"/>
      <c r="Q366" s="258"/>
      <c r="R366" s="258"/>
      <c r="S366" s="258"/>
      <c r="T366" s="258"/>
      <c r="U366" s="258"/>
      <c r="V366" s="258"/>
      <c r="W366" s="258"/>
      <c r="X366" s="258"/>
      <c r="Y366" s="258"/>
      <c r="Z366" s="258"/>
      <c r="AA366" s="258"/>
      <c r="AB366" s="258"/>
      <c r="AC366" s="258"/>
      <c r="AD366" s="258"/>
      <c r="AE366" s="258"/>
      <c r="AF366" s="258"/>
      <c r="AG366" s="258"/>
      <c r="AH366" s="258"/>
      <c r="AI366" s="258"/>
      <c r="AJ366" s="261"/>
      <c r="AK366" s="261"/>
      <c r="AL366" s="261"/>
      <c r="AM366" s="548"/>
      <c r="AN366" s="548"/>
      <c r="AO366" s="176"/>
      <c r="AP366" s="121"/>
      <c r="AQ366" s="115"/>
      <c r="AR366" s="115"/>
      <c r="AS366" s="115"/>
      <c r="AT366" s="115"/>
      <c r="AU366" s="115"/>
      <c r="AV366" s="115"/>
    </row>
    <row r="367" spans="1:48" ht="21" customHeight="1" thickBot="1" x14ac:dyDescent="0.45">
      <c r="A367" s="115"/>
      <c r="B367" s="1298"/>
      <c r="C367" s="1298"/>
      <c r="D367" s="115"/>
      <c r="E367" s="434"/>
      <c r="F367" s="434"/>
      <c r="G367" s="258"/>
      <c r="H367" s="258"/>
      <c r="I367" s="258"/>
      <c r="J367" s="258"/>
      <c r="K367" s="258"/>
      <c r="L367" s="258"/>
      <c r="M367" s="258"/>
      <c r="N367" s="258"/>
      <c r="O367" s="258"/>
      <c r="P367" s="258"/>
      <c r="Q367" s="258"/>
      <c r="R367" s="258"/>
      <c r="S367" s="258"/>
      <c r="T367" s="258"/>
      <c r="U367" s="258"/>
      <c r="V367" s="258"/>
      <c r="W367" s="258"/>
      <c r="X367" s="258"/>
      <c r="Y367" s="258"/>
      <c r="Z367" s="258"/>
      <c r="AA367" s="258"/>
      <c r="AB367" s="258"/>
      <c r="AC367" s="258"/>
      <c r="AD367" s="258"/>
      <c r="AE367" s="258"/>
      <c r="AF367" s="258"/>
      <c r="AG367" s="258"/>
      <c r="AH367" s="258"/>
      <c r="AI367" s="258"/>
      <c r="AJ367" s="261"/>
      <c r="AK367" s="261"/>
      <c r="AL367" s="261"/>
      <c r="AM367" s="548"/>
      <c r="AN367" s="548"/>
      <c r="AO367" s="176"/>
      <c r="AP367" s="121"/>
      <c r="AQ367" s="115"/>
      <c r="AR367" s="115"/>
      <c r="AS367" s="115"/>
      <c r="AT367" s="115"/>
      <c r="AU367" s="115"/>
      <c r="AV367" s="115"/>
    </row>
    <row r="368" spans="1:48" ht="21" customHeight="1" thickBot="1" x14ac:dyDescent="0.45">
      <c r="A368" s="115"/>
      <c r="B368" s="1298"/>
      <c r="C368" s="1298"/>
      <c r="D368" s="115"/>
      <c r="E368" s="434"/>
      <c r="F368" s="434"/>
      <c r="G368" s="258"/>
      <c r="H368" s="258"/>
      <c r="I368" s="258"/>
      <c r="J368" s="258"/>
      <c r="K368" s="258"/>
      <c r="L368" s="258"/>
      <c r="M368" s="258"/>
      <c r="N368" s="258"/>
      <c r="O368" s="258"/>
      <c r="P368" s="258"/>
      <c r="Q368" s="258"/>
      <c r="R368" s="258"/>
      <c r="S368" s="258"/>
      <c r="T368" s="258"/>
      <c r="U368" s="258"/>
      <c r="V368" s="258"/>
      <c r="W368" s="258"/>
      <c r="X368" s="258"/>
      <c r="Y368" s="258"/>
      <c r="Z368" s="258"/>
      <c r="AA368" s="258"/>
      <c r="AB368" s="258"/>
      <c r="AC368" s="258"/>
      <c r="AD368" s="258"/>
      <c r="AE368" s="258"/>
      <c r="AF368" s="258"/>
      <c r="AG368" s="258"/>
      <c r="AH368" s="258"/>
      <c r="AI368" s="258"/>
      <c r="AJ368" s="261"/>
      <c r="AK368" s="261"/>
      <c r="AL368" s="261"/>
      <c r="AM368" s="548"/>
      <c r="AN368" s="548"/>
      <c r="AO368" s="176"/>
      <c r="AP368" s="121"/>
      <c r="AQ368" s="115"/>
      <c r="AR368" s="115"/>
      <c r="AS368" s="115"/>
      <c r="AT368" s="115"/>
      <c r="AU368" s="115"/>
      <c r="AV368" s="115"/>
    </row>
    <row r="369" spans="1:48" ht="21" customHeight="1" thickBot="1" x14ac:dyDescent="0.45">
      <c r="A369" s="115"/>
      <c r="B369" s="1298"/>
      <c r="C369" s="1298"/>
      <c r="D369" s="115"/>
      <c r="E369" s="434"/>
      <c r="F369" s="434"/>
      <c r="G369" s="258"/>
      <c r="H369" s="258"/>
      <c r="I369" s="258"/>
      <c r="J369" s="258"/>
      <c r="K369" s="258"/>
      <c r="L369" s="258"/>
      <c r="M369" s="258"/>
      <c r="N369" s="258"/>
      <c r="O369" s="258"/>
      <c r="P369" s="258"/>
      <c r="Q369" s="258"/>
      <c r="R369" s="258"/>
      <c r="S369" s="258"/>
      <c r="T369" s="258"/>
      <c r="U369" s="258"/>
      <c r="V369" s="258"/>
      <c r="W369" s="258"/>
      <c r="X369" s="258"/>
      <c r="Y369" s="258"/>
      <c r="Z369" s="258"/>
      <c r="AA369" s="258"/>
      <c r="AB369" s="258"/>
      <c r="AC369" s="258"/>
      <c r="AD369" s="258"/>
      <c r="AE369" s="258"/>
      <c r="AF369" s="258"/>
      <c r="AG369" s="258"/>
      <c r="AH369" s="258"/>
      <c r="AI369" s="258"/>
      <c r="AJ369" s="261"/>
      <c r="AK369" s="261"/>
      <c r="AL369" s="261"/>
      <c r="AM369" s="548"/>
      <c r="AN369" s="548"/>
      <c r="AO369" s="176"/>
      <c r="AP369" s="121"/>
      <c r="AQ369" s="115"/>
      <c r="AR369" s="115"/>
      <c r="AS369" s="115"/>
      <c r="AT369" s="115"/>
      <c r="AU369" s="115"/>
      <c r="AV369" s="115"/>
    </row>
    <row r="370" spans="1:48" ht="21" customHeight="1" thickBot="1" x14ac:dyDescent="0.45">
      <c r="A370" s="115"/>
      <c r="B370" s="1298"/>
      <c r="C370" s="1298"/>
      <c r="D370" s="115"/>
      <c r="E370" s="434"/>
      <c r="F370" s="434"/>
      <c r="G370" s="258"/>
      <c r="H370" s="258"/>
      <c r="I370" s="258"/>
      <c r="J370" s="258"/>
      <c r="K370" s="258"/>
      <c r="L370" s="258"/>
      <c r="M370" s="258"/>
      <c r="N370" s="258"/>
      <c r="O370" s="258"/>
      <c r="P370" s="258"/>
      <c r="Q370" s="258"/>
      <c r="R370" s="258"/>
      <c r="S370" s="258"/>
      <c r="T370" s="258"/>
      <c r="U370" s="258"/>
      <c r="V370" s="258"/>
      <c r="W370" s="258"/>
      <c r="X370" s="258"/>
      <c r="Y370" s="258"/>
      <c r="Z370" s="258"/>
      <c r="AA370" s="258"/>
      <c r="AB370" s="258"/>
      <c r="AC370" s="258"/>
      <c r="AD370" s="258"/>
      <c r="AE370" s="258"/>
      <c r="AF370" s="258"/>
      <c r="AG370" s="258"/>
      <c r="AH370" s="258"/>
      <c r="AI370" s="258"/>
      <c r="AJ370" s="261"/>
      <c r="AK370" s="261"/>
      <c r="AL370" s="261"/>
      <c r="AM370" s="548"/>
      <c r="AN370" s="548"/>
      <c r="AO370" s="176"/>
      <c r="AP370" s="121"/>
      <c r="AQ370" s="115"/>
      <c r="AR370" s="115"/>
      <c r="AS370" s="115"/>
      <c r="AT370" s="115"/>
      <c r="AU370" s="115"/>
      <c r="AV370" s="115"/>
    </row>
    <row r="371" spans="1:48" ht="21" customHeight="1" thickBot="1" x14ac:dyDescent="0.45">
      <c r="A371" s="115"/>
      <c r="B371" s="1298"/>
      <c r="C371" s="1298"/>
      <c r="D371" s="115"/>
      <c r="E371" s="434"/>
      <c r="F371" s="434"/>
      <c r="G371" s="258"/>
      <c r="H371" s="258"/>
      <c r="I371" s="258"/>
      <c r="J371" s="258"/>
      <c r="K371" s="258"/>
      <c r="L371" s="258"/>
      <c r="M371" s="258"/>
      <c r="N371" s="258"/>
      <c r="O371" s="258"/>
      <c r="P371" s="258"/>
      <c r="Q371" s="258"/>
      <c r="R371" s="258"/>
      <c r="S371" s="258"/>
      <c r="T371" s="258"/>
      <c r="U371" s="258"/>
      <c r="V371" s="258"/>
      <c r="W371" s="258"/>
      <c r="X371" s="258"/>
      <c r="Y371" s="258"/>
      <c r="Z371" s="258"/>
      <c r="AA371" s="258"/>
      <c r="AB371" s="258"/>
      <c r="AC371" s="258"/>
      <c r="AD371" s="258"/>
      <c r="AE371" s="258"/>
      <c r="AF371" s="258"/>
      <c r="AG371" s="258"/>
      <c r="AH371" s="258"/>
      <c r="AI371" s="258"/>
      <c r="AJ371" s="261"/>
      <c r="AK371" s="261"/>
      <c r="AL371" s="261"/>
      <c r="AM371" s="548"/>
      <c r="AN371" s="548"/>
      <c r="AO371" s="176"/>
      <c r="AP371" s="121"/>
      <c r="AQ371" s="115"/>
      <c r="AR371" s="115"/>
      <c r="AS371" s="115"/>
      <c r="AT371" s="115"/>
      <c r="AU371" s="115"/>
      <c r="AV371" s="115"/>
    </row>
    <row r="372" spans="1:48" ht="21" customHeight="1" thickBot="1" x14ac:dyDescent="0.45">
      <c r="A372" s="115"/>
      <c r="B372" s="1298"/>
      <c r="C372" s="1298"/>
      <c r="D372" s="115"/>
      <c r="E372" s="434"/>
      <c r="F372" s="434"/>
      <c r="G372" s="258"/>
      <c r="H372" s="258"/>
      <c r="I372" s="258"/>
      <c r="J372" s="258"/>
      <c r="K372" s="258"/>
      <c r="L372" s="258"/>
      <c r="M372" s="258"/>
      <c r="N372" s="258"/>
      <c r="O372" s="258"/>
      <c r="P372" s="258"/>
      <c r="Q372" s="258"/>
      <c r="R372" s="258"/>
      <c r="S372" s="258"/>
      <c r="T372" s="258"/>
      <c r="U372" s="258"/>
      <c r="V372" s="258"/>
      <c r="W372" s="258"/>
      <c r="X372" s="258"/>
      <c r="Y372" s="258"/>
      <c r="Z372" s="258"/>
      <c r="AA372" s="258"/>
      <c r="AB372" s="258"/>
      <c r="AC372" s="258"/>
      <c r="AD372" s="258"/>
      <c r="AE372" s="258"/>
      <c r="AF372" s="258"/>
      <c r="AG372" s="258"/>
      <c r="AH372" s="258"/>
      <c r="AI372" s="258"/>
      <c r="AJ372" s="261"/>
      <c r="AK372" s="261"/>
      <c r="AL372" s="261"/>
      <c r="AM372" s="548"/>
      <c r="AN372" s="548"/>
      <c r="AO372" s="176"/>
      <c r="AP372" s="121"/>
      <c r="AQ372" s="115"/>
      <c r="AR372" s="115"/>
      <c r="AS372" s="115"/>
      <c r="AT372" s="115"/>
      <c r="AU372" s="115"/>
      <c r="AV372" s="115"/>
    </row>
    <row r="373" spans="1:48" ht="21" customHeight="1" thickBot="1" x14ac:dyDescent="0.45">
      <c r="A373" s="115"/>
      <c r="B373" s="1298"/>
      <c r="C373" s="1298"/>
      <c r="D373" s="115"/>
      <c r="E373" s="434"/>
      <c r="F373" s="434"/>
      <c r="G373" s="258"/>
      <c r="H373" s="258"/>
      <c r="I373" s="258"/>
      <c r="J373" s="258"/>
      <c r="K373" s="258"/>
      <c r="L373" s="258"/>
      <c r="M373" s="258"/>
      <c r="N373" s="258"/>
      <c r="O373" s="258"/>
      <c r="P373" s="258"/>
      <c r="Q373" s="258"/>
      <c r="R373" s="258"/>
      <c r="S373" s="258"/>
      <c r="T373" s="258"/>
      <c r="U373" s="258"/>
      <c r="V373" s="258"/>
      <c r="W373" s="258"/>
      <c r="X373" s="258"/>
      <c r="Y373" s="258"/>
      <c r="Z373" s="258"/>
      <c r="AA373" s="258"/>
      <c r="AB373" s="258"/>
      <c r="AC373" s="258"/>
      <c r="AD373" s="258"/>
      <c r="AE373" s="258"/>
      <c r="AF373" s="258"/>
      <c r="AG373" s="258"/>
      <c r="AH373" s="258"/>
      <c r="AI373" s="258"/>
      <c r="AJ373" s="261"/>
      <c r="AK373" s="261"/>
      <c r="AL373" s="261"/>
      <c r="AM373" s="548"/>
      <c r="AN373" s="548"/>
      <c r="AO373" s="176"/>
      <c r="AP373" s="121"/>
      <c r="AQ373" s="115"/>
      <c r="AR373" s="115"/>
      <c r="AS373" s="115"/>
      <c r="AT373" s="115"/>
      <c r="AU373" s="115"/>
      <c r="AV373" s="115"/>
    </row>
    <row r="374" spans="1:48" ht="21" customHeight="1" thickBot="1" x14ac:dyDescent="0.45">
      <c r="A374" s="115"/>
      <c r="B374" s="1298"/>
      <c r="C374" s="1298"/>
      <c r="D374" s="115"/>
      <c r="E374" s="434"/>
      <c r="F374" s="434"/>
      <c r="G374" s="258"/>
      <c r="H374" s="258"/>
      <c r="I374" s="258"/>
      <c r="J374" s="258"/>
      <c r="K374" s="258"/>
      <c r="L374" s="258"/>
      <c r="M374" s="258"/>
      <c r="N374" s="258"/>
      <c r="O374" s="258"/>
      <c r="P374" s="258"/>
      <c r="Q374" s="258"/>
      <c r="R374" s="258"/>
      <c r="S374" s="258"/>
      <c r="T374" s="258"/>
      <c r="U374" s="258"/>
      <c r="V374" s="258"/>
      <c r="W374" s="258"/>
      <c r="X374" s="258"/>
      <c r="Y374" s="258"/>
      <c r="Z374" s="258"/>
      <c r="AA374" s="258"/>
      <c r="AB374" s="258"/>
      <c r="AC374" s="258"/>
      <c r="AD374" s="258"/>
      <c r="AE374" s="258"/>
      <c r="AF374" s="258"/>
      <c r="AG374" s="258"/>
      <c r="AH374" s="258"/>
      <c r="AI374" s="258"/>
      <c r="AJ374" s="261"/>
      <c r="AK374" s="261"/>
      <c r="AL374" s="261"/>
      <c r="AM374" s="548"/>
      <c r="AN374" s="548"/>
      <c r="AO374" s="176"/>
      <c r="AP374" s="121"/>
      <c r="AQ374" s="115"/>
      <c r="AR374" s="115"/>
      <c r="AS374" s="115"/>
      <c r="AT374" s="115"/>
      <c r="AU374" s="115"/>
      <c r="AV374" s="115"/>
    </row>
    <row r="375" spans="1:48" ht="21" customHeight="1" thickBot="1" x14ac:dyDescent="0.45">
      <c r="A375" s="115"/>
      <c r="B375" s="1298"/>
      <c r="C375" s="1298"/>
      <c r="D375" s="115"/>
      <c r="E375" s="434"/>
      <c r="F375" s="434"/>
      <c r="G375" s="258"/>
      <c r="H375" s="258"/>
      <c r="I375" s="258"/>
      <c r="J375" s="258"/>
      <c r="K375" s="258"/>
      <c r="L375" s="258"/>
      <c r="M375" s="258"/>
      <c r="N375" s="258"/>
      <c r="O375" s="258"/>
      <c r="P375" s="258"/>
      <c r="Q375" s="258"/>
      <c r="R375" s="258"/>
      <c r="S375" s="258"/>
      <c r="T375" s="258"/>
      <c r="U375" s="258"/>
      <c r="V375" s="258"/>
      <c r="W375" s="258"/>
      <c r="X375" s="258"/>
      <c r="Y375" s="258"/>
      <c r="Z375" s="258"/>
      <c r="AA375" s="258"/>
      <c r="AB375" s="258"/>
      <c r="AC375" s="258"/>
      <c r="AD375" s="258"/>
      <c r="AE375" s="258"/>
      <c r="AF375" s="258"/>
      <c r="AG375" s="258"/>
      <c r="AH375" s="258"/>
      <c r="AI375" s="258"/>
      <c r="AJ375" s="261"/>
      <c r="AK375" s="261"/>
      <c r="AL375" s="261"/>
      <c r="AM375" s="548"/>
      <c r="AN375" s="548"/>
      <c r="AO375" s="176"/>
      <c r="AP375" s="121"/>
      <c r="AQ375" s="115"/>
      <c r="AR375" s="115"/>
      <c r="AS375" s="115"/>
      <c r="AT375" s="115"/>
      <c r="AU375" s="115"/>
      <c r="AV375" s="115"/>
    </row>
    <row r="376" spans="1:48" ht="21" customHeight="1" thickBot="1" x14ac:dyDescent="0.45">
      <c r="A376" s="115"/>
      <c r="B376" s="1298"/>
      <c r="C376" s="1298"/>
      <c r="D376" s="115"/>
      <c r="E376" s="434"/>
      <c r="F376" s="434"/>
      <c r="G376" s="258"/>
      <c r="H376" s="258"/>
      <c r="I376" s="258"/>
      <c r="J376" s="258"/>
      <c r="K376" s="258"/>
      <c r="L376" s="258"/>
      <c r="M376" s="258"/>
      <c r="N376" s="258"/>
      <c r="O376" s="258"/>
      <c r="P376" s="258"/>
      <c r="Q376" s="258"/>
      <c r="R376" s="258"/>
      <c r="S376" s="258"/>
      <c r="T376" s="258"/>
      <c r="U376" s="258"/>
      <c r="V376" s="258"/>
      <c r="W376" s="258"/>
      <c r="X376" s="258"/>
      <c r="Y376" s="258"/>
      <c r="Z376" s="258"/>
      <c r="AA376" s="258"/>
      <c r="AB376" s="258"/>
      <c r="AC376" s="258"/>
      <c r="AD376" s="258"/>
      <c r="AE376" s="258"/>
      <c r="AF376" s="258"/>
      <c r="AG376" s="258"/>
      <c r="AH376" s="258"/>
      <c r="AI376" s="258"/>
      <c r="AJ376" s="261"/>
      <c r="AK376" s="261"/>
      <c r="AL376" s="261"/>
      <c r="AM376" s="548"/>
      <c r="AN376" s="548"/>
      <c r="AO376" s="176"/>
      <c r="AP376" s="121"/>
      <c r="AQ376" s="115"/>
      <c r="AR376" s="115"/>
      <c r="AS376" s="115"/>
      <c r="AT376" s="115"/>
      <c r="AU376" s="115"/>
      <c r="AV376" s="115"/>
    </row>
    <row r="377" spans="1:48" ht="21" customHeight="1" thickBot="1" x14ac:dyDescent="0.45">
      <c r="A377" s="115"/>
      <c r="B377" s="1298"/>
      <c r="C377" s="1298"/>
      <c r="D377" s="115"/>
      <c r="E377" s="434"/>
      <c r="F377" s="434"/>
      <c r="G377" s="258"/>
      <c r="H377" s="258"/>
      <c r="I377" s="258"/>
      <c r="J377" s="258"/>
      <c r="K377" s="258"/>
      <c r="L377" s="258"/>
      <c r="M377" s="258"/>
      <c r="N377" s="258"/>
      <c r="O377" s="258"/>
      <c r="P377" s="258"/>
      <c r="Q377" s="258"/>
      <c r="R377" s="258"/>
      <c r="S377" s="258"/>
      <c r="T377" s="258"/>
      <c r="U377" s="258"/>
      <c r="V377" s="258"/>
      <c r="W377" s="258"/>
      <c r="X377" s="258"/>
      <c r="Y377" s="258"/>
      <c r="Z377" s="258"/>
      <c r="AA377" s="258"/>
      <c r="AB377" s="258"/>
      <c r="AC377" s="258"/>
      <c r="AD377" s="258"/>
      <c r="AE377" s="258"/>
      <c r="AF377" s="258"/>
      <c r="AG377" s="258"/>
      <c r="AH377" s="258"/>
      <c r="AI377" s="258"/>
      <c r="AJ377" s="261"/>
      <c r="AK377" s="261"/>
      <c r="AL377" s="261"/>
      <c r="AM377" s="548"/>
      <c r="AN377" s="548"/>
      <c r="AO377" s="176"/>
      <c r="AP377" s="121"/>
      <c r="AQ377" s="115"/>
      <c r="AR377" s="115"/>
      <c r="AS377" s="115"/>
      <c r="AT377" s="115"/>
      <c r="AU377" s="115"/>
      <c r="AV377" s="115"/>
    </row>
    <row r="378" spans="1:48" ht="21" customHeight="1" thickBot="1" x14ac:dyDescent="0.45">
      <c r="A378" s="115"/>
      <c r="B378" s="1298"/>
      <c r="C378" s="1298"/>
      <c r="D378" s="115"/>
      <c r="E378" s="434"/>
      <c r="F378" s="434"/>
      <c r="G378" s="258"/>
      <c r="H378" s="258"/>
      <c r="I378" s="258"/>
      <c r="J378" s="258"/>
      <c r="K378" s="258"/>
      <c r="L378" s="258"/>
      <c r="M378" s="258"/>
      <c r="N378" s="258"/>
      <c r="O378" s="258"/>
      <c r="P378" s="258"/>
      <c r="Q378" s="258"/>
      <c r="R378" s="258"/>
      <c r="S378" s="258"/>
      <c r="T378" s="258"/>
      <c r="U378" s="258"/>
      <c r="V378" s="258"/>
      <c r="W378" s="258"/>
      <c r="X378" s="258"/>
      <c r="Y378" s="258"/>
      <c r="Z378" s="258"/>
      <c r="AA378" s="258"/>
      <c r="AB378" s="258"/>
      <c r="AC378" s="258"/>
      <c r="AD378" s="258"/>
      <c r="AE378" s="258"/>
      <c r="AF378" s="258"/>
      <c r="AG378" s="258"/>
      <c r="AH378" s="258"/>
      <c r="AI378" s="258"/>
      <c r="AJ378" s="261"/>
      <c r="AK378" s="261"/>
      <c r="AL378" s="261"/>
      <c r="AM378" s="548"/>
      <c r="AN378" s="548"/>
      <c r="AO378" s="176"/>
      <c r="AP378" s="121"/>
      <c r="AQ378" s="115"/>
      <c r="AR378" s="115"/>
      <c r="AS378" s="115"/>
      <c r="AT378" s="115"/>
      <c r="AU378" s="115"/>
      <c r="AV378" s="115"/>
    </row>
    <row r="379" spans="1:48" ht="21" customHeight="1" thickBot="1" x14ac:dyDescent="0.45">
      <c r="A379" s="115"/>
      <c r="B379" s="1298"/>
      <c r="C379" s="1298"/>
      <c r="D379" s="115"/>
      <c r="E379" s="434"/>
      <c r="F379" s="434"/>
      <c r="G379" s="258"/>
      <c r="H379" s="258"/>
      <c r="I379" s="258"/>
      <c r="J379" s="258"/>
      <c r="K379" s="258"/>
      <c r="L379" s="258"/>
      <c r="M379" s="258"/>
      <c r="N379" s="258"/>
      <c r="O379" s="258"/>
      <c r="P379" s="258"/>
      <c r="Q379" s="258"/>
      <c r="R379" s="258"/>
      <c r="S379" s="258"/>
      <c r="T379" s="258"/>
      <c r="U379" s="258"/>
      <c r="V379" s="258"/>
      <c r="W379" s="258"/>
      <c r="X379" s="258"/>
      <c r="Y379" s="258"/>
      <c r="Z379" s="258"/>
      <c r="AA379" s="258"/>
      <c r="AB379" s="258"/>
      <c r="AC379" s="258"/>
      <c r="AD379" s="258"/>
      <c r="AE379" s="258"/>
      <c r="AF379" s="258"/>
      <c r="AG379" s="258"/>
      <c r="AH379" s="258"/>
      <c r="AI379" s="258"/>
      <c r="AJ379" s="261"/>
      <c r="AK379" s="261"/>
      <c r="AL379" s="261"/>
      <c r="AM379" s="548"/>
      <c r="AN379" s="548"/>
      <c r="AO379" s="176"/>
      <c r="AP379" s="121"/>
      <c r="AQ379" s="115"/>
      <c r="AR379" s="115"/>
      <c r="AS379" s="115"/>
      <c r="AT379" s="115"/>
      <c r="AU379" s="115"/>
      <c r="AV379" s="115"/>
    </row>
    <row r="380" spans="1:48" ht="21" customHeight="1" thickBot="1" x14ac:dyDescent="0.45">
      <c r="A380" s="115"/>
      <c r="B380" s="1298"/>
      <c r="C380" s="1298"/>
      <c r="D380" s="115"/>
      <c r="E380" s="434"/>
      <c r="F380" s="434"/>
      <c r="G380" s="258"/>
      <c r="H380" s="258"/>
      <c r="I380" s="258"/>
      <c r="J380" s="258"/>
      <c r="K380" s="258"/>
      <c r="L380" s="258"/>
      <c r="M380" s="258"/>
      <c r="N380" s="258"/>
      <c r="O380" s="258"/>
      <c r="P380" s="258"/>
      <c r="Q380" s="258"/>
      <c r="R380" s="258"/>
      <c r="S380" s="258"/>
      <c r="T380" s="258"/>
      <c r="U380" s="258"/>
      <c r="V380" s="258"/>
      <c r="W380" s="258"/>
      <c r="X380" s="258"/>
      <c r="Y380" s="258"/>
      <c r="Z380" s="258"/>
      <c r="AA380" s="258"/>
      <c r="AB380" s="258"/>
      <c r="AC380" s="258"/>
      <c r="AD380" s="258"/>
      <c r="AE380" s="258"/>
      <c r="AF380" s="258"/>
      <c r="AG380" s="258"/>
      <c r="AH380" s="258"/>
      <c r="AI380" s="258"/>
      <c r="AJ380" s="261"/>
      <c r="AK380" s="261"/>
      <c r="AL380" s="261"/>
      <c r="AM380" s="548"/>
      <c r="AN380" s="548"/>
      <c r="AO380" s="176"/>
      <c r="AP380" s="121"/>
      <c r="AQ380" s="115"/>
      <c r="AR380" s="115"/>
      <c r="AS380" s="115"/>
      <c r="AT380" s="115"/>
      <c r="AU380" s="115"/>
      <c r="AV380" s="115"/>
    </row>
    <row r="381" spans="1:48" ht="21" customHeight="1" thickBot="1" x14ac:dyDescent="0.45">
      <c r="A381" s="115"/>
      <c r="B381" s="1298"/>
      <c r="C381" s="1298"/>
      <c r="D381" s="115"/>
      <c r="E381" s="434"/>
      <c r="F381" s="434"/>
      <c r="G381" s="258"/>
      <c r="H381" s="258"/>
      <c r="I381" s="258"/>
      <c r="J381" s="258"/>
      <c r="K381" s="258"/>
      <c r="L381" s="258"/>
      <c r="M381" s="258"/>
      <c r="N381" s="258"/>
      <c r="O381" s="258"/>
      <c r="P381" s="258"/>
      <c r="Q381" s="258"/>
      <c r="R381" s="258"/>
      <c r="S381" s="258"/>
      <c r="T381" s="258"/>
      <c r="U381" s="258"/>
      <c r="V381" s="258"/>
      <c r="W381" s="258"/>
      <c r="X381" s="258"/>
      <c r="Y381" s="258"/>
      <c r="Z381" s="258"/>
      <c r="AA381" s="258"/>
      <c r="AB381" s="258"/>
      <c r="AC381" s="258"/>
      <c r="AD381" s="258"/>
      <c r="AE381" s="258"/>
      <c r="AF381" s="258"/>
      <c r="AG381" s="258"/>
      <c r="AH381" s="258"/>
      <c r="AI381" s="258"/>
      <c r="AJ381" s="261"/>
      <c r="AK381" s="261"/>
      <c r="AL381" s="261"/>
      <c r="AM381" s="548"/>
      <c r="AN381" s="548"/>
      <c r="AO381" s="176"/>
      <c r="AP381" s="121"/>
      <c r="AQ381" s="115"/>
      <c r="AR381" s="115"/>
      <c r="AS381" s="115"/>
      <c r="AT381" s="115"/>
      <c r="AU381" s="115"/>
      <c r="AV381" s="115"/>
    </row>
    <row r="382" spans="1:48" ht="21" customHeight="1" thickBot="1" x14ac:dyDescent="0.45">
      <c r="A382" s="115"/>
      <c r="B382" s="1298"/>
      <c r="C382" s="1298"/>
      <c r="D382" s="115"/>
      <c r="E382" s="434"/>
      <c r="F382" s="434"/>
      <c r="G382" s="258"/>
      <c r="H382" s="258"/>
      <c r="I382" s="258"/>
      <c r="J382" s="258"/>
      <c r="K382" s="258"/>
      <c r="L382" s="258"/>
      <c r="M382" s="258"/>
      <c r="N382" s="258"/>
      <c r="O382" s="258"/>
      <c r="P382" s="258"/>
      <c r="Q382" s="258"/>
      <c r="R382" s="258"/>
      <c r="S382" s="258"/>
      <c r="T382" s="258"/>
      <c r="U382" s="258"/>
      <c r="V382" s="258"/>
      <c r="W382" s="258"/>
      <c r="X382" s="258"/>
      <c r="Y382" s="258"/>
      <c r="Z382" s="258"/>
      <c r="AA382" s="258"/>
      <c r="AB382" s="258"/>
      <c r="AC382" s="258"/>
      <c r="AD382" s="258"/>
      <c r="AE382" s="258"/>
      <c r="AF382" s="258"/>
      <c r="AG382" s="258"/>
      <c r="AH382" s="258"/>
      <c r="AI382" s="258"/>
      <c r="AJ382" s="261"/>
      <c r="AK382" s="261"/>
      <c r="AL382" s="261"/>
      <c r="AM382" s="548"/>
      <c r="AN382" s="548"/>
      <c r="AO382" s="176"/>
      <c r="AP382" s="121"/>
      <c r="AQ382" s="115"/>
      <c r="AR382" s="115"/>
      <c r="AS382" s="115"/>
      <c r="AT382" s="115"/>
      <c r="AU382" s="115"/>
      <c r="AV382" s="115"/>
    </row>
    <row r="383" spans="1:48" ht="21" customHeight="1" thickBot="1" x14ac:dyDescent="0.45">
      <c r="A383" s="115"/>
      <c r="B383" s="1298"/>
      <c r="C383" s="1298"/>
      <c r="D383" s="115"/>
      <c r="E383" s="434"/>
      <c r="F383" s="434"/>
      <c r="G383" s="258"/>
      <c r="H383" s="258"/>
      <c r="I383" s="258"/>
      <c r="J383" s="258"/>
      <c r="K383" s="258"/>
      <c r="L383" s="258"/>
      <c r="M383" s="258"/>
      <c r="N383" s="258"/>
      <c r="O383" s="258"/>
      <c r="P383" s="258"/>
      <c r="Q383" s="258"/>
      <c r="R383" s="258"/>
      <c r="S383" s="258"/>
      <c r="T383" s="258"/>
      <c r="U383" s="258"/>
      <c r="V383" s="258"/>
      <c r="W383" s="258"/>
      <c r="X383" s="258"/>
      <c r="Y383" s="258"/>
      <c r="Z383" s="258"/>
      <c r="AA383" s="258"/>
      <c r="AB383" s="258"/>
      <c r="AC383" s="258"/>
      <c r="AD383" s="258"/>
      <c r="AE383" s="258"/>
      <c r="AF383" s="258"/>
      <c r="AG383" s="258"/>
      <c r="AH383" s="258"/>
      <c r="AI383" s="258"/>
      <c r="AJ383" s="261"/>
      <c r="AK383" s="261"/>
      <c r="AL383" s="261"/>
      <c r="AM383" s="548"/>
      <c r="AN383" s="548"/>
      <c r="AO383" s="176"/>
      <c r="AP383" s="121"/>
      <c r="AQ383" s="115"/>
      <c r="AR383" s="115"/>
      <c r="AS383" s="115"/>
      <c r="AT383" s="115"/>
      <c r="AU383" s="115"/>
      <c r="AV383" s="115"/>
    </row>
    <row r="384" spans="1:48" ht="21" customHeight="1" thickBot="1" x14ac:dyDescent="0.45">
      <c r="A384" s="115"/>
      <c r="B384" s="1298"/>
      <c r="C384" s="1298"/>
      <c r="D384" s="115"/>
      <c r="E384" s="434"/>
      <c r="F384" s="434"/>
      <c r="G384" s="258"/>
      <c r="H384" s="258"/>
      <c r="I384" s="258"/>
      <c r="J384" s="258"/>
      <c r="K384" s="258"/>
      <c r="L384" s="258"/>
      <c r="M384" s="258"/>
      <c r="N384" s="258"/>
      <c r="O384" s="258"/>
      <c r="P384" s="258"/>
      <c r="Q384" s="258"/>
      <c r="R384" s="258"/>
      <c r="S384" s="258"/>
      <c r="T384" s="258"/>
      <c r="U384" s="258"/>
      <c r="V384" s="258"/>
      <c r="W384" s="258"/>
      <c r="X384" s="258"/>
      <c r="Y384" s="258"/>
      <c r="Z384" s="258"/>
      <c r="AA384" s="258"/>
      <c r="AB384" s="258"/>
      <c r="AC384" s="258"/>
      <c r="AD384" s="258"/>
      <c r="AE384" s="258"/>
      <c r="AF384" s="258"/>
      <c r="AG384" s="258"/>
      <c r="AH384" s="258"/>
      <c r="AI384" s="258"/>
      <c r="AJ384" s="261"/>
      <c r="AK384" s="261"/>
      <c r="AL384" s="261"/>
      <c r="AM384" s="548"/>
      <c r="AN384" s="548"/>
      <c r="AO384" s="176"/>
      <c r="AP384" s="121"/>
      <c r="AQ384" s="115"/>
      <c r="AR384" s="115"/>
      <c r="AS384" s="115"/>
      <c r="AT384" s="115"/>
      <c r="AU384" s="115"/>
      <c r="AV384" s="115"/>
    </row>
    <row r="385" spans="1:48" ht="21" customHeight="1" thickBot="1" x14ac:dyDescent="0.45">
      <c r="A385" s="115"/>
      <c r="B385" s="1298"/>
      <c r="C385" s="1298"/>
      <c r="D385" s="115"/>
      <c r="E385" s="434"/>
      <c r="F385" s="434"/>
      <c r="G385" s="258"/>
      <c r="H385" s="258"/>
      <c r="I385" s="258"/>
      <c r="J385" s="258"/>
      <c r="K385" s="258"/>
      <c r="L385" s="258"/>
      <c r="M385" s="258"/>
      <c r="N385" s="258"/>
      <c r="O385" s="258"/>
      <c r="P385" s="258"/>
      <c r="Q385" s="258"/>
      <c r="R385" s="258"/>
      <c r="S385" s="258"/>
      <c r="T385" s="258"/>
      <c r="U385" s="258"/>
      <c r="V385" s="258"/>
      <c r="W385" s="258"/>
      <c r="X385" s="258"/>
      <c r="Y385" s="258"/>
      <c r="Z385" s="258"/>
      <c r="AA385" s="258"/>
      <c r="AB385" s="258"/>
      <c r="AC385" s="258"/>
      <c r="AD385" s="258"/>
      <c r="AE385" s="258"/>
      <c r="AF385" s="258"/>
      <c r="AG385" s="258"/>
      <c r="AH385" s="258"/>
      <c r="AI385" s="258"/>
      <c r="AJ385" s="261"/>
      <c r="AK385" s="261"/>
      <c r="AL385" s="261"/>
      <c r="AM385" s="548"/>
      <c r="AN385" s="548"/>
      <c r="AO385" s="176"/>
      <c r="AP385" s="121"/>
      <c r="AQ385" s="115"/>
      <c r="AR385" s="115"/>
      <c r="AS385" s="115"/>
      <c r="AT385" s="115"/>
      <c r="AU385" s="115"/>
      <c r="AV385" s="115"/>
    </row>
    <row r="386" spans="1:48" ht="21" customHeight="1" thickBot="1" x14ac:dyDescent="0.45">
      <c r="A386" s="115"/>
      <c r="B386" s="1298"/>
      <c r="C386" s="1298"/>
      <c r="D386" s="115"/>
      <c r="E386" s="434"/>
      <c r="F386" s="434"/>
      <c r="G386" s="258"/>
      <c r="H386" s="258"/>
      <c r="I386" s="258"/>
      <c r="J386" s="258"/>
      <c r="K386" s="258"/>
      <c r="L386" s="258"/>
      <c r="M386" s="258"/>
      <c r="N386" s="258"/>
      <c r="O386" s="258"/>
      <c r="P386" s="258"/>
      <c r="Q386" s="258"/>
      <c r="R386" s="258"/>
      <c r="S386" s="258"/>
      <c r="T386" s="258"/>
      <c r="U386" s="258"/>
      <c r="V386" s="258"/>
      <c r="W386" s="258"/>
      <c r="X386" s="258"/>
      <c r="Y386" s="258"/>
      <c r="Z386" s="258"/>
      <c r="AA386" s="258"/>
      <c r="AB386" s="258"/>
      <c r="AC386" s="258"/>
      <c r="AD386" s="258"/>
      <c r="AE386" s="258"/>
      <c r="AF386" s="258"/>
      <c r="AG386" s="258"/>
      <c r="AH386" s="258"/>
      <c r="AI386" s="258"/>
      <c r="AJ386" s="261"/>
      <c r="AK386" s="261"/>
      <c r="AL386" s="261"/>
      <c r="AM386" s="548"/>
      <c r="AN386" s="548"/>
      <c r="AO386" s="176"/>
      <c r="AP386" s="121"/>
      <c r="AQ386" s="115"/>
      <c r="AR386" s="115"/>
      <c r="AS386" s="115"/>
      <c r="AT386" s="115"/>
      <c r="AU386" s="115"/>
      <c r="AV386" s="115"/>
    </row>
    <row r="387" spans="1:48" ht="21" customHeight="1" thickBot="1" x14ac:dyDescent="0.45">
      <c r="A387" s="115"/>
      <c r="B387" s="1298"/>
      <c r="C387" s="1298"/>
      <c r="D387" s="115"/>
      <c r="E387" s="434"/>
      <c r="F387" s="434"/>
      <c r="G387" s="258"/>
      <c r="H387" s="258"/>
      <c r="I387" s="258"/>
      <c r="J387" s="258"/>
      <c r="K387" s="258"/>
      <c r="L387" s="258"/>
      <c r="M387" s="258"/>
      <c r="N387" s="258"/>
      <c r="O387" s="258"/>
      <c r="P387" s="258"/>
      <c r="Q387" s="258"/>
      <c r="R387" s="258"/>
      <c r="S387" s="258"/>
      <c r="T387" s="258"/>
      <c r="U387" s="258"/>
      <c r="V387" s="258"/>
      <c r="W387" s="258"/>
      <c r="X387" s="258"/>
      <c r="Y387" s="258"/>
      <c r="Z387" s="258"/>
      <c r="AA387" s="258"/>
      <c r="AB387" s="258"/>
      <c r="AC387" s="258"/>
      <c r="AD387" s="258"/>
      <c r="AE387" s="258"/>
      <c r="AF387" s="258"/>
      <c r="AG387" s="258"/>
      <c r="AH387" s="258"/>
      <c r="AI387" s="258"/>
      <c r="AJ387" s="261"/>
      <c r="AK387" s="261"/>
      <c r="AL387" s="261"/>
      <c r="AM387" s="548"/>
      <c r="AN387" s="548"/>
      <c r="AO387" s="176"/>
      <c r="AP387" s="121"/>
      <c r="AQ387" s="115"/>
      <c r="AR387" s="115"/>
      <c r="AS387" s="115"/>
      <c r="AT387" s="115"/>
      <c r="AU387" s="115"/>
      <c r="AV387" s="115"/>
    </row>
    <row r="388" spans="1:48" ht="21" customHeight="1" thickBot="1" x14ac:dyDescent="0.45">
      <c r="A388" s="115"/>
      <c r="B388" s="1298"/>
      <c r="C388" s="1298"/>
      <c r="D388" s="115"/>
      <c r="E388" s="434"/>
      <c r="F388" s="434"/>
      <c r="G388" s="258"/>
      <c r="H388" s="258"/>
      <c r="I388" s="258"/>
      <c r="J388" s="258"/>
      <c r="K388" s="258"/>
      <c r="L388" s="258"/>
      <c r="M388" s="258"/>
      <c r="N388" s="258"/>
      <c r="O388" s="258"/>
      <c r="P388" s="258"/>
      <c r="Q388" s="258"/>
      <c r="R388" s="258"/>
      <c r="S388" s="258"/>
      <c r="T388" s="258"/>
      <c r="U388" s="258"/>
      <c r="V388" s="258"/>
      <c r="W388" s="258"/>
      <c r="X388" s="258"/>
      <c r="Y388" s="258"/>
      <c r="Z388" s="258"/>
      <c r="AA388" s="258"/>
      <c r="AB388" s="258"/>
      <c r="AC388" s="258"/>
      <c r="AD388" s="258"/>
      <c r="AE388" s="258"/>
      <c r="AF388" s="258"/>
      <c r="AG388" s="258"/>
      <c r="AH388" s="258"/>
      <c r="AI388" s="258"/>
      <c r="AJ388" s="261"/>
      <c r="AK388" s="261"/>
      <c r="AL388" s="261"/>
      <c r="AM388" s="548"/>
      <c r="AN388" s="548"/>
      <c r="AO388" s="176"/>
      <c r="AP388" s="121"/>
      <c r="AQ388" s="115"/>
      <c r="AR388" s="115"/>
      <c r="AS388" s="115"/>
      <c r="AT388" s="115"/>
      <c r="AU388" s="115"/>
      <c r="AV388" s="115"/>
    </row>
    <row r="389" spans="1:48" ht="21" customHeight="1" thickBot="1" x14ac:dyDescent="0.45">
      <c r="A389" s="115"/>
      <c r="B389" s="1298"/>
      <c r="C389" s="1298"/>
      <c r="D389" s="115"/>
      <c r="E389" s="434"/>
      <c r="F389" s="434"/>
      <c r="G389" s="258"/>
      <c r="H389" s="258"/>
      <c r="I389" s="258"/>
      <c r="J389" s="258"/>
      <c r="K389" s="258"/>
      <c r="L389" s="258"/>
      <c r="M389" s="258"/>
      <c r="N389" s="258"/>
      <c r="O389" s="258"/>
      <c r="P389" s="258"/>
      <c r="Q389" s="258"/>
      <c r="R389" s="258"/>
      <c r="S389" s="258"/>
      <c r="T389" s="258"/>
      <c r="U389" s="258"/>
      <c r="V389" s="258"/>
      <c r="W389" s="258"/>
      <c r="X389" s="258"/>
      <c r="Y389" s="258"/>
      <c r="Z389" s="258"/>
      <c r="AA389" s="258"/>
      <c r="AB389" s="258"/>
      <c r="AC389" s="258"/>
      <c r="AD389" s="258"/>
      <c r="AE389" s="258"/>
      <c r="AF389" s="258"/>
      <c r="AG389" s="258"/>
      <c r="AH389" s="258"/>
      <c r="AI389" s="258"/>
      <c r="AJ389" s="261"/>
      <c r="AK389" s="261"/>
      <c r="AL389" s="261"/>
      <c r="AM389" s="548"/>
      <c r="AN389" s="548"/>
      <c r="AO389" s="176"/>
      <c r="AP389" s="121"/>
      <c r="AQ389" s="115"/>
      <c r="AR389" s="115"/>
      <c r="AS389" s="115"/>
      <c r="AT389" s="115"/>
      <c r="AU389" s="115"/>
      <c r="AV389" s="115"/>
    </row>
    <row r="390" spans="1:48" ht="21" customHeight="1" thickBot="1" x14ac:dyDescent="0.45">
      <c r="A390" s="115"/>
      <c r="B390" s="1298"/>
      <c r="C390" s="1298"/>
      <c r="D390" s="115"/>
      <c r="E390" s="434"/>
      <c r="F390" s="434"/>
      <c r="G390" s="258"/>
      <c r="H390" s="258"/>
      <c r="I390" s="258"/>
      <c r="J390" s="258"/>
      <c r="K390" s="258"/>
      <c r="L390" s="258"/>
      <c r="M390" s="258"/>
      <c r="N390" s="258"/>
      <c r="O390" s="258"/>
      <c r="P390" s="258"/>
      <c r="Q390" s="258"/>
      <c r="R390" s="258"/>
      <c r="S390" s="258"/>
      <c r="T390" s="258"/>
      <c r="U390" s="258"/>
      <c r="V390" s="258"/>
      <c r="W390" s="258"/>
      <c r="X390" s="258"/>
      <c r="Y390" s="258"/>
      <c r="Z390" s="258"/>
      <c r="AA390" s="258"/>
      <c r="AB390" s="258"/>
      <c r="AC390" s="258"/>
      <c r="AD390" s="258"/>
      <c r="AE390" s="258"/>
      <c r="AF390" s="258"/>
      <c r="AG390" s="258"/>
      <c r="AH390" s="258"/>
      <c r="AI390" s="258"/>
      <c r="AJ390" s="261"/>
      <c r="AK390" s="261"/>
      <c r="AL390" s="261"/>
      <c r="AM390" s="548"/>
      <c r="AN390" s="548"/>
      <c r="AO390" s="176"/>
      <c r="AP390" s="121"/>
      <c r="AQ390" s="115"/>
      <c r="AR390" s="115"/>
      <c r="AS390" s="115"/>
      <c r="AT390" s="115"/>
      <c r="AU390" s="115"/>
      <c r="AV390" s="115"/>
    </row>
    <row r="391" spans="1:48" ht="21" customHeight="1" thickBot="1" x14ac:dyDescent="0.45">
      <c r="A391" s="115"/>
      <c r="B391" s="1298"/>
      <c r="C391" s="1298"/>
      <c r="D391" s="115"/>
      <c r="E391" s="434"/>
      <c r="F391" s="434"/>
      <c r="G391" s="258"/>
      <c r="H391" s="258"/>
      <c r="I391" s="258"/>
      <c r="J391" s="258"/>
      <c r="K391" s="258"/>
      <c r="L391" s="258"/>
      <c r="M391" s="258"/>
      <c r="N391" s="258"/>
      <c r="O391" s="258"/>
      <c r="P391" s="258"/>
      <c r="Q391" s="258"/>
      <c r="R391" s="258"/>
      <c r="S391" s="258"/>
      <c r="T391" s="258"/>
      <c r="U391" s="258"/>
      <c r="V391" s="258"/>
      <c r="W391" s="258"/>
      <c r="X391" s="258"/>
      <c r="Y391" s="258"/>
      <c r="Z391" s="258"/>
      <c r="AA391" s="258"/>
      <c r="AB391" s="258"/>
      <c r="AC391" s="258"/>
      <c r="AD391" s="258"/>
      <c r="AE391" s="258"/>
      <c r="AF391" s="258"/>
      <c r="AG391" s="258"/>
      <c r="AH391" s="258"/>
      <c r="AI391" s="258"/>
      <c r="AJ391" s="261"/>
      <c r="AK391" s="261"/>
      <c r="AL391" s="261"/>
      <c r="AM391" s="548"/>
      <c r="AN391" s="548"/>
      <c r="AO391" s="176"/>
      <c r="AP391" s="121"/>
      <c r="AQ391" s="115"/>
      <c r="AR391" s="115"/>
      <c r="AS391" s="115"/>
      <c r="AT391" s="115"/>
      <c r="AU391" s="115"/>
      <c r="AV391" s="115"/>
    </row>
    <row r="392" spans="1:48" ht="21" customHeight="1" thickBot="1" x14ac:dyDescent="0.45">
      <c r="A392" s="115"/>
      <c r="B392" s="1298"/>
      <c r="C392" s="1298"/>
      <c r="D392" s="115"/>
      <c r="E392" s="434"/>
      <c r="F392" s="434"/>
      <c r="G392" s="258"/>
      <c r="H392" s="258"/>
      <c r="I392" s="258"/>
      <c r="J392" s="258"/>
      <c r="K392" s="258"/>
      <c r="L392" s="258"/>
      <c r="M392" s="258"/>
      <c r="N392" s="258"/>
      <c r="O392" s="258"/>
      <c r="P392" s="258"/>
      <c r="Q392" s="258"/>
      <c r="R392" s="258"/>
      <c r="S392" s="258"/>
      <c r="T392" s="258"/>
      <c r="U392" s="258"/>
      <c r="V392" s="258"/>
      <c r="W392" s="258"/>
      <c r="X392" s="258"/>
      <c r="Y392" s="258"/>
      <c r="Z392" s="258"/>
      <c r="AA392" s="258"/>
      <c r="AB392" s="258"/>
      <c r="AC392" s="258"/>
      <c r="AD392" s="258"/>
      <c r="AE392" s="258"/>
      <c r="AF392" s="258"/>
      <c r="AG392" s="258"/>
      <c r="AH392" s="258"/>
      <c r="AI392" s="258"/>
      <c r="AJ392" s="261"/>
      <c r="AK392" s="261"/>
      <c r="AL392" s="261"/>
      <c r="AM392" s="548"/>
      <c r="AN392" s="548"/>
      <c r="AO392" s="176"/>
      <c r="AP392" s="121"/>
      <c r="AQ392" s="115"/>
      <c r="AR392" s="115"/>
      <c r="AS392" s="115"/>
      <c r="AT392" s="115"/>
      <c r="AU392" s="115"/>
      <c r="AV392" s="115"/>
    </row>
    <row r="393" spans="1:48" ht="21" customHeight="1" thickBot="1" x14ac:dyDescent="0.45">
      <c r="A393" s="115"/>
      <c r="B393" s="1298"/>
      <c r="C393" s="1298"/>
      <c r="D393" s="115"/>
      <c r="E393" s="434"/>
      <c r="F393" s="434"/>
      <c r="G393" s="258"/>
      <c r="H393" s="258"/>
      <c r="I393" s="258"/>
      <c r="J393" s="258"/>
      <c r="K393" s="258"/>
      <c r="L393" s="258"/>
      <c r="M393" s="258"/>
      <c r="N393" s="258"/>
      <c r="O393" s="258"/>
      <c r="P393" s="258"/>
      <c r="Q393" s="258"/>
      <c r="R393" s="258"/>
      <c r="S393" s="258"/>
      <c r="T393" s="258"/>
      <c r="U393" s="258"/>
      <c r="V393" s="258"/>
      <c r="W393" s="258"/>
      <c r="X393" s="258"/>
      <c r="Y393" s="258"/>
      <c r="Z393" s="258"/>
      <c r="AA393" s="258"/>
      <c r="AB393" s="258"/>
      <c r="AC393" s="258"/>
      <c r="AD393" s="258"/>
      <c r="AE393" s="258"/>
      <c r="AF393" s="258"/>
      <c r="AG393" s="258"/>
      <c r="AH393" s="258"/>
      <c r="AI393" s="258"/>
      <c r="AJ393" s="261"/>
      <c r="AK393" s="261"/>
      <c r="AL393" s="261"/>
      <c r="AM393" s="548"/>
      <c r="AN393" s="548"/>
      <c r="AO393" s="176"/>
      <c r="AP393" s="121"/>
      <c r="AQ393" s="115"/>
      <c r="AR393" s="115"/>
      <c r="AS393" s="115"/>
      <c r="AT393" s="115"/>
      <c r="AU393" s="115"/>
      <c r="AV393" s="115"/>
    </row>
    <row r="394" spans="1:48" ht="21" customHeight="1" thickBot="1" x14ac:dyDescent="0.45">
      <c r="A394" s="115"/>
      <c r="B394" s="1298"/>
      <c r="C394" s="1298"/>
      <c r="D394" s="115"/>
      <c r="E394" s="434"/>
      <c r="F394" s="434"/>
      <c r="G394" s="258"/>
      <c r="H394" s="258"/>
      <c r="I394" s="258"/>
      <c r="J394" s="258"/>
      <c r="K394" s="258"/>
      <c r="L394" s="258"/>
      <c r="M394" s="258"/>
      <c r="N394" s="258"/>
      <c r="O394" s="258"/>
      <c r="P394" s="258"/>
      <c r="Q394" s="258"/>
      <c r="R394" s="258"/>
      <c r="S394" s="258"/>
      <c r="T394" s="258"/>
      <c r="U394" s="258"/>
      <c r="V394" s="258"/>
      <c r="W394" s="258"/>
      <c r="X394" s="258"/>
      <c r="Y394" s="258"/>
      <c r="Z394" s="258"/>
      <c r="AA394" s="258"/>
      <c r="AB394" s="258"/>
      <c r="AC394" s="258"/>
      <c r="AD394" s="258"/>
      <c r="AE394" s="258"/>
      <c r="AF394" s="258"/>
      <c r="AG394" s="258"/>
      <c r="AH394" s="258"/>
      <c r="AI394" s="258"/>
      <c r="AJ394" s="261"/>
      <c r="AK394" s="261"/>
      <c r="AL394" s="261"/>
      <c r="AM394" s="548"/>
      <c r="AN394" s="548"/>
      <c r="AO394" s="176"/>
      <c r="AP394" s="121"/>
      <c r="AQ394" s="115"/>
      <c r="AR394" s="115"/>
      <c r="AS394" s="115"/>
      <c r="AT394" s="115"/>
      <c r="AU394" s="115"/>
      <c r="AV394" s="115"/>
    </row>
    <row r="395" spans="1:48" ht="21" customHeight="1" thickBot="1" x14ac:dyDescent="0.45">
      <c r="A395" s="115"/>
      <c r="B395" s="1298"/>
      <c r="C395" s="1298"/>
      <c r="D395" s="115"/>
      <c r="E395" s="434"/>
      <c r="F395" s="434"/>
      <c r="G395" s="258"/>
      <c r="H395" s="258"/>
      <c r="I395" s="258"/>
      <c r="J395" s="258"/>
      <c r="K395" s="258"/>
      <c r="L395" s="258"/>
      <c r="M395" s="258"/>
      <c r="N395" s="258"/>
      <c r="O395" s="258"/>
      <c r="P395" s="258"/>
      <c r="Q395" s="258"/>
      <c r="R395" s="258"/>
      <c r="S395" s="258"/>
      <c r="T395" s="258"/>
      <c r="U395" s="258"/>
      <c r="V395" s="258"/>
      <c r="W395" s="258"/>
      <c r="X395" s="258"/>
      <c r="Y395" s="258"/>
      <c r="Z395" s="258"/>
      <c r="AA395" s="258"/>
      <c r="AB395" s="258"/>
      <c r="AC395" s="258"/>
      <c r="AD395" s="258"/>
      <c r="AE395" s="258"/>
      <c r="AF395" s="258"/>
      <c r="AG395" s="258"/>
      <c r="AH395" s="258"/>
      <c r="AI395" s="258"/>
      <c r="AJ395" s="261"/>
      <c r="AK395" s="261"/>
      <c r="AL395" s="261"/>
      <c r="AM395" s="548"/>
      <c r="AN395" s="548"/>
      <c r="AO395" s="176"/>
      <c r="AP395" s="121"/>
      <c r="AQ395" s="115"/>
      <c r="AR395" s="115"/>
      <c r="AS395" s="115"/>
      <c r="AT395" s="115"/>
      <c r="AU395" s="115"/>
      <c r="AV395" s="115"/>
    </row>
    <row r="396" spans="1:48" ht="21" customHeight="1" thickBot="1" x14ac:dyDescent="0.45">
      <c r="A396" s="115"/>
      <c r="B396" s="1298"/>
      <c r="C396" s="1298"/>
      <c r="D396" s="115"/>
      <c r="E396" s="434"/>
      <c r="F396" s="434"/>
      <c r="G396" s="258"/>
      <c r="H396" s="258"/>
      <c r="I396" s="258"/>
      <c r="J396" s="258"/>
      <c r="K396" s="258"/>
      <c r="L396" s="258"/>
      <c r="M396" s="258"/>
      <c r="N396" s="258"/>
      <c r="O396" s="258"/>
      <c r="P396" s="258"/>
      <c r="Q396" s="258"/>
      <c r="R396" s="258"/>
      <c r="S396" s="258"/>
      <c r="T396" s="258"/>
      <c r="U396" s="258"/>
      <c r="V396" s="258"/>
      <c r="W396" s="258"/>
      <c r="X396" s="258"/>
      <c r="Y396" s="258"/>
      <c r="Z396" s="258"/>
      <c r="AA396" s="258"/>
      <c r="AB396" s="258"/>
      <c r="AC396" s="258"/>
      <c r="AD396" s="258"/>
      <c r="AE396" s="258"/>
      <c r="AF396" s="258"/>
      <c r="AG396" s="258"/>
      <c r="AH396" s="258"/>
      <c r="AI396" s="258"/>
      <c r="AJ396" s="261"/>
      <c r="AK396" s="261"/>
      <c r="AL396" s="261"/>
      <c r="AM396" s="548"/>
      <c r="AN396" s="548"/>
      <c r="AO396" s="176"/>
      <c r="AP396" s="121"/>
      <c r="AQ396" s="115"/>
      <c r="AR396" s="115"/>
      <c r="AS396" s="115"/>
      <c r="AT396" s="115"/>
      <c r="AU396" s="115"/>
      <c r="AV396" s="115"/>
    </row>
    <row r="397" spans="1:48" ht="21" customHeight="1" thickBot="1" x14ac:dyDescent="0.45">
      <c r="A397" s="115"/>
      <c r="B397" s="1298"/>
      <c r="C397" s="1298"/>
      <c r="D397" s="115"/>
      <c r="E397" s="434"/>
      <c r="F397" s="434"/>
      <c r="G397" s="258"/>
      <c r="H397" s="258"/>
      <c r="I397" s="258"/>
      <c r="J397" s="258"/>
      <c r="K397" s="258"/>
      <c r="L397" s="258"/>
      <c r="M397" s="258"/>
      <c r="N397" s="258"/>
      <c r="O397" s="258"/>
      <c r="P397" s="258"/>
      <c r="Q397" s="258"/>
      <c r="R397" s="258"/>
      <c r="S397" s="258"/>
      <c r="T397" s="258"/>
      <c r="U397" s="258"/>
      <c r="V397" s="258"/>
      <c r="W397" s="258"/>
      <c r="X397" s="258"/>
      <c r="Y397" s="258"/>
      <c r="Z397" s="258"/>
      <c r="AA397" s="258"/>
      <c r="AB397" s="258"/>
      <c r="AC397" s="258"/>
      <c r="AD397" s="258"/>
      <c r="AE397" s="258"/>
      <c r="AF397" s="258"/>
      <c r="AG397" s="258"/>
      <c r="AH397" s="258"/>
      <c r="AI397" s="258"/>
      <c r="AJ397" s="261"/>
      <c r="AK397" s="261"/>
      <c r="AL397" s="261"/>
      <c r="AM397" s="548"/>
      <c r="AN397" s="548"/>
      <c r="AO397" s="176"/>
      <c r="AP397" s="121"/>
      <c r="AQ397" s="115"/>
      <c r="AR397" s="115"/>
      <c r="AS397" s="115"/>
      <c r="AT397" s="115"/>
      <c r="AU397" s="115"/>
      <c r="AV397" s="115"/>
    </row>
    <row r="398" spans="1:48" ht="21" customHeight="1" thickBot="1" x14ac:dyDescent="0.45">
      <c r="A398" s="115"/>
      <c r="B398" s="1298"/>
      <c r="C398" s="1298"/>
      <c r="D398" s="115"/>
      <c r="E398" s="434"/>
      <c r="F398" s="434"/>
      <c r="G398" s="258"/>
      <c r="H398" s="258"/>
      <c r="I398" s="258"/>
      <c r="J398" s="258"/>
      <c r="K398" s="258"/>
      <c r="L398" s="258"/>
      <c r="M398" s="258"/>
      <c r="N398" s="258"/>
      <c r="O398" s="258"/>
      <c r="P398" s="258"/>
      <c r="Q398" s="258"/>
      <c r="R398" s="258"/>
      <c r="S398" s="258"/>
      <c r="T398" s="258"/>
      <c r="U398" s="258"/>
      <c r="V398" s="258"/>
      <c r="W398" s="258"/>
      <c r="X398" s="258"/>
      <c r="Y398" s="258"/>
      <c r="Z398" s="258"/>
      <c r="AA398" s="258"/>
      <c r="AB398" s="258"/>
      <c r="AC398" s="258"/>
      <c r="AD398" s="258"/>
      <c r="AE398" s="258"/>
      <c r="AF398" s="258"/>
      <c r="AG398" s="258"/>
      <c r="AH398" s="258"/>
      <c r="AI398" s="258"/>
      <c r="AJ398" s="261"/>
      <c r="AK398" s="261"/>
      <c r="AL398" s="261"/>
      <c r="AM398" s="548"/>
      <c r="AN398" s="548"/>
      <c r="AO398" s="176"/>
      <c r="AP398" s="121"/>
      <c r="AQ398" s="115"/>
      <c r="AR398" s="115"/>
      <c r="AS398" s="115"/>
      <c r="AT398" s="115"/>
      <c r="AU398" s="115"/>
      <c r="AV398" s="115"/>
    </row>
    <row r="399" spans="1:48" ht="21" customHeight="1" thickBot="1" x14ac:dyDescent="0.45">
      <c r="A399" s="115"/>
      <c r="B399" s="1298"/>
      <c r="C399" s="1298"/>
      <c r="D399" s="115"/>
      <c r="E399" s="434"/>
      <c r="F399" s="434"/>
      <c r="G399" s="258"/>
      <c r="H399" s="258"/>
      <c r="I399" s="258"/>
      <c r="J399" s="258"/>
      <c r="K399" s="258"/>
      <c r="L399" s="258"/>
      <c r="M399" s="258"/>
      <c r="N399" s="258"/>
      <c r="O399" s="258"/>
      <c r="P399" s="258"/>
      <c r="Q399" s="258"/>
      <c r="R399" s="258"/>
      <c r="S399" s="258"/>
      <c r="T399" s="258"/>
      <c r="U399" s="258"/>
      <c r="V399" s="258"/>
      <c r="W399" s="258"/>
      <c r="X399" s="258"/>
      <c r="Y399" s="258"/>
      <c r="Z399" s="258"/>
      <c r="AA399" s="258"/>
      <c r="AB399" s="258"/>
      <c r="AC399" s="258"/>
      <c r="AD399" s="258"/>
      <c r="AE399" s="258"/>
      <c r="AF399" s="258"/>
      <c r="AG399" s="258"/>
      <c r="AH399" s="258"/>
      <c r="AI399" s="258"/>
      <c r="AJ399" s="261"/>
      <c r="AK399" s="261"/>
      <c r="AL399" s="261"/>
      <c r="AM399" s="548"/>
      <c r="AN399" s="548"/>
      <c r="AO399" s="176"/>
      <c r="AP399" s="121"/>
      <c r="AQ399" s="115"/>
      <c r="AR399" s="115"/>
      <c r="AS399" s="115"/>
      <c r="AT399" s="115"/>
      <c r="AU399" s="115"/>
      <c r="AV399" s="115"/>
    </row>
    <row r="400" spans="1:48" ht="21" customHeight="1" thickBot="1" x14ac:dyDescent="0.45">
      <c r="A400" s="115"/>
      <c r="B400" s="1298"/>
      <c r="C400" s="1298"/>
      <c r="D400" s="115"/>
      <c r="E400" s="434"/>
      <c r="F400" s="434"/>
      <c r="G400" s="258"/>
      <c r="H400" s="258"/>
      <c r="I400" s="258"/>
      <c r="J400" s="258"/>
      <c r="K400" s="258"/>
      <c r="L400" s="258"/>
      <c r="M400" s="258"/>
      <c r="N400" s="258"/>
      <c r="O400" s="258"/>
      <c r="P400" s="258"/>
      <c r="Q400" s="258"/>
      <c r="R400" s="258"/>
      <c r="S400" s="258"/>
      <c r="T400" s="258"/>
      <c r="U400" s="258"/>
      <c r="V400" s="258"/>
      <c r="W400" s="258"/>
      <c r="X400" s="258"/>
      <c r="Y400" s="258"/>
      <c r="Z400" s="258"/>
      <c r="AA400" s="258"/>
      <c r="AB400" s="258"/>
      <c r="AC400" s="258"/>
      <c r="AD400" s="258"/>
      <c r="AE400" s="258"/>
      <c r="AF400" s="258"/>
      <c r="AG400" s="258"/>
      <c r="AH400" s="258"/>
      <c r="AI400" s="258"/>
      <c r="AJ400" s="261"/>
      <c r="AK400" s="261"/>
      <c r="AL400" s="261"/>
      <c r="AM400" s="548"/>
      <c r="AN400" s="548"/>
      <c r="AO400" s="176"/>
      <c r="AP400" s="121"/>
      <c r="AQ400" s="115"/>
      <c r="AR400" s="115"/>
      <c r="AS400" s="115"/>
      <c r="AT400" s="115"/>
      <c r="AU400" s="115"/>
      <c r="AV400" s="115"/>
    </row>
    <row r="401" spans="1:48" ht="21" customHeight="1" thickBot="1" x14ac:dyDescent="0.45">
      <c r="A401" s="115"/>
      <c r="B401" s="1298"/>
      <c r="C401" s="1298"/>
      <c r="D401" s="115"/>
      <c r="E401" s="434"/>
      <c r="F401" s="434"/>
      <c r="G401" s="258"/>
      <c r="H401" s="258"/>
      <c r="I401" s="258"/>
      <c r="J401" s="258"/>
      <c r="K401" s="258"/>
      <c r="L401" s="258"/>
      <c r="M401" s="258"/>
      <c r="N401" s="258"/>
      <c r="O401" s="258"/>
      <c r="P401" s="258"/>
      <c r="Q401" s="258"/>
      <c r="R401" s="258"/>
      <c r="S401" s="258"/>
      <c r="T401" s="258"/>
      <c r="U401" s="258"/>
      <c r="V401" s="258"/>
      <c r="W401" s="258"/>
      <c r="X401" s="258"/>
      <c r="Y401" s="258"/>
      <c r="Z401" s="258"/>
      <c r="AA401" s="258"/>
      <c r="AB401" s="258"/>
      <c r="AC401" s="258"/>
      <c r="AD401" s="258"/>
      <c r="AE401" s="258"/>
      <c r="AF401" s="258"/>
      <c r="AG401" s="258"/>
      <c r="AH401" s="258"/>
      <c r="AI401" s="258"/>
      <c r="AJ401" s="261"/>
      <c r="AK401" s="261"/>
      <c r="AL401" s="261"/>
      <c r="AM401" s="548"/>
      <c r="AN401" s="548"/>
      <c r="AO401" s="176"/>
      <c r="AP401" s="121"/>
      <c r="AQ401" s="115"/>
      <c r="AR401" s="115"/>
      <c r="AS401" s="115"/>
      <c r="AT401" s="115"/>
      <c r="AU401" s="115"/>
      <c r="AV401" s="115"/>
    </row>
    <row r="402" spans="1:48" ht="21" customHeight="1" thickBot="1" x14ac:dyDescent="0.45">
      <c r="A402" s="115"/>
      <c r="B402" s="1298"/>
      <c r="C402" s="1298"/>
      <c r="D402" s="115"/>
      <c r="E402" s="434"/>
      <c r="F402" s="434"/>
      <c r="G402" s="258"/>
      <c r="H402" s="258"/>
      <c r="I402" s="258"/>
      <c r="J402" s="258"/>
      <c r="K402" s="258"/>
      <c r="L402" s="258"/>
      <c r="M402" s="258"/>
      <c r="N402" s="258"/>
      <c r="O402" s="258"/>
      <c r="P402" s="258"/>
      <c r="Q402" s="258"/>
      <c r="R402" s="258"/>
      <c r="S402" s="258"/>
      <c r="T402" s="258"/>
      <c r="U402" s="258"/>
      <c r="V402" s="258"/>
      <c r="W402" s="258"/>
      <c r="X402" s="258"/>
      <c r="Y402" s="258"/>
      <c r="Z402" s="258"/>
      <c r="AA402" s="258"/>
      <c r="AB402" s="258"/>
      <c r="AC402" s="258"/>
      <c r="AD402" s="258"/>
      <c r="AE402" s="258"/>
      <c r="AF402" s="258"/>
      <c r="AG402" s="258"/>
      <c r="AH402" s="258"/>
      <c r="AI402" s="258"/>
      <c r="AJ402" s="261"/>
      <c r="AK402" s="261"/>
      <c r="AL402" s="261"/>
      <c r="AM402" s="548"/>
      <c r="AN402" s="548"/>
      <c r="AO402" s="176"/>
      <c r="AP402" s="121"/>
      <c r="AQ402" s="115"/>
      <c r="AR402" s="115"/>
      <c r="AS402" s="115"/>
      <c r="AT402" s="115"/>
      <c r="AU402" s="115"/>
      <c r="AV402" s="115"/>
    </row>
    <row r="403" spans="1:48" ht="21" customHeight="1" thickBot="1" x14ac:dyDescent="0.45">
      <c r="A403" s="115"/>
      <c r="B403" s="1298"/>
      <c r="C403" s="1298"/>
      <c r="D403" s="115"/>
      <c r="E403" s="434"/>
      <c r="F403" s="434"/>
      <c r="G403" s="258"/>
      <c r="H403" s="258"/>
      <c r="I403" s="258"/>
      <c r="J403" s="258"/>
      <c r="K403" s="258"/>
      <c r="L403" s="258"/>
      <c r="M403" s="258"/>
      <c r="N403" s="258"/>
      <c r="O403" s="258"/>
      <c r="P403" s="258"/>
      <c r="Q403" s="258"/>
      <c r="R403" s="258"/>
      <c r="S403" s="258"/>
      <c r="T403" s="258"/>
      <c r="U403" s="258"/>
      <c r="V403" s="258"/>
      <c r="W403" s="258"/>
      <c r="X403" s="258"/>
      <c r="Y403" s="258"/>
      <c r="Z403" s="258"/>
      <c r="AA403" s="258"/>
      <c r="AB403" s="258"/>
      <c r="AC403" s="258"/>
      <c r="AD403" s="258"/>
      <c r="AE403" s="258"/>
      <c r="AF403" s="258"/>
      <c r="AG403" s="258"/>
      <c r="AH403" s="258"/>
      <c r="AI403" s="258"/>
      <c r="AJ403" s="261"/>
      <c r="AK403" s="261"/>
      <c r="AL403" s="261"/>
      <c r="AM403" s="548"/>
      <c r="AN403" s="548"/>
      <c r="AO403" s="176"/>
      <c r="AP403" s="121"/>
      <c r="AQ403" s="115"/>
      <c r="AR403" s="115"/>
      <c r="AS403" s="115"/>
      <c r="AT403" s="115"/>
      <c r="AU403" s="115"/>
      <c r="AV403" s="115"/>
    </row>
    <row r="404" spans="1:48" ht="21" customHeight="1" thickBot="1" x14ac:dyDescent="0.45">
      <c r="A404" s="115"/>
      <c r="B404" s="1298"/>
      <c r="C404" s="1298"/>
      <c r="D404" s="115"/>
      <c r="E404" s="434"/>
      <c r="F404" s="434"/>
      <c r="G404" s="258"/>
      <c r="H404" s="258"/>
      <c r="I404" s="258"/>
      <c r="J404" s="258"/>
      <c r="K404" s="258"/>
      <c r="L404" s="258"/>
      <c r="M404" s="258"/>
      <c r="N404" s="258"/>
      <c r="O404" s="258"/>
      <c r="P404" s="258"/>
      <c r="Q404" s="258"/>
      <c r="R404" s="258"/>
      <c r="S404" s="258"/>
      <c r="T404" s="258"/>
      <c r="U404" s="258"/>
      <c r="V404" s="258"/>
      <c r="W404" s="258"/>
      <c r="X404" s="258"/>
      <c r="Y404" s="258"/>
      <c r="Z404" s="258"/>
      <c r="AA404" s="258"/>
      <c r="AB404" s="258"/>
      <c r="AC404" s="258"/>
      <c r="AD404" s="258"/>
      <c r="AE404" s="258"/>
      <c r="AF404" s="258"/>
      <c r="AG404" s="258"/>
      <c r="AH404" s="258"/>
      <c r="AI404" s="258"/>
      <c r="AJ404" s="261"/>
      <c r="AK404" s="261"/>
      <c r="AL404" s="261"/>
      <c r="AM404" s="548"/>
      <c r="AN404" s="548"/>
      <c r="AO404" s="176"/>
      <c r="AP404" s="121"/>
      <c r="AQ404" s="115"/>
      <c r="AR404" s="115"/>
      <c r="AS404" s="115"/>
      <c r="AT404" s="115"/>
      <c r="AU404" s="115"/>
      <c r="AV404" s="115"/>
    </row>
    <row r="405" spans="1:48" ht="21" customHeight="1" thickBot="1" x14ac:dyDescent="0.45">
      <c r="A405" s="115"/>
      <c r="B405" s="1298"/>
      <c r="C405" s="1298"/>
      <c r="D405" s="115"/>
      <c r="E405" s="434"/>
      <c r="F405" s="434"/>
      <c r="G405" s="258"/>
      <c r="H405" s="258"/>
      <c r="I405" s="258"/>
      <c r="J405" s="258"/>
      <c r="K405" s="258"/>
      <c r="L405" s="258"/>
      <c r="M405" s="258"/>
      <c r="N405" s="258"/>
      <c r="O405" s="258"/>
      <c r="P405" s="258"/>
      <c r="Q405" s="258"/>
      <c r="R405" s="258"/>
      <c r="S405" s="258"/>
      <c r="T405" s="258"/>
      <c r="U405" s="258"/>
      <c r="V405" s="258"/>
      <c r="W405" s="258"/>
      <c r="X405" s="258"/>
      <c r="Y405" s="258"/>
      <c r="Z405" s="258"/>
      <c r="AA405" s="258"/>
      <c r="AB405" s="258"/>
      <c r="AC405" s="258"/>
      <c r="AD405" s="258"/>
      <c r="AE405" s="258"/>
      <c r="AF405" s="258"/>
      <c r="AG405" s="258"/>
      <c r="AH405" s="258"/>
      <c r="AI405" s="258"/>
      <c r="AJ405" s="261"/>
      <c r="AK405" s="261"/>
      <c r="AL405" s="261"/>
      <c r="AM405" s="548"/>
      <c r="AN405" s="548"/>
      <c r="AO405" s="176"/>
      <c r="AP405" s="121"/>
      <c r="AQ405" s="115"/>
      <c r="AR405" s="115"/>
      <c r="AS405" s="115"/>
      <c r="AT405" s="115"/>
      <c r="AU405" s="115"/>
      <c r="AV405" s="115"/>
    </row>
    <row r="406" spans="1:48" ht="21" customHeight="1" thickBot="1" x14ac:dyDescent="0.45">
      <c r="A406" s="115"/>
      <c r="B406" s="1298"/>
      <c r="C406" s="1298"/>
      <c r="D406" s="115"/>
      <c r="E406" s="434"/>
      <c r="F406" s="434"/>
      <c r="G406" s="258"/>
      <c r="H406" s="258"/>
      <c r="I406" s="258"/>
      <c r="J406" s="258"/>
      <c r="K406" s="258"/>
      <c r="L406" s="258"/>
      <c r="M406" s="258"/>
      <c r="N406" s="258"/>
      <c r="O406" s="258"/>
      <c r="P406" s="258"/>
      <c r="Q406" s="258"/>
      <c r="R406" s="258"/>
      <c r="S406" s="258"/>
      <c r="T406" s="258"/>
      <c r="U406" s="258"/>
      <c r="V406" s="258"/>
      <c r="W406" s="258"/>
      <c r="X406" s="258"/>
      <c r="Y406" s="258"/>
      <c r="Z406" s="258"/>
      <c r="AA406" s="258"/>
      <c r="AB406" s="258"/>
      <c r="AC406" s="258"/>
      <c r="AD406" s="258"/>
      <c r="AE406" s="258"/>
      <c r="AF406" s="258"/>
      <c r="AG406" s="258"/>
      <c r="AH406" s="258"/>
      <c r="AI406" s="258"/>
      <c r="AJ406" s="261"/>
      <c r="AK406" s="261"/>
      <c r="AL406" s="261"/>
      <c r="AM406" s="548"/>
      <c r="AN406" s="548"/>
      <c r="AO406" s="176"/>
      <c r="AP406" s="121"/>
      <c r="AQ406" s="115"/>
      <c r="AR406" s="115"/>
      <c r="AS406" s="115"/>
      <c r="AT406" s="115"/>
      <c r="AU406" s="115"/>
      <c r="AV406" s="115"/>
    </row>
    <row r="407" spans="1:48" ht="21" customHeight="1" thickBot="1" x14ac:dyDescent="0.45">
      <c r="A407" s="115"/>
      <c r="B407" s="1298"/>
      <c r="C407" s="1298"/>
      <c r="D407" s="115"/>
      <c r="E407" s="434"/>
      <c r="F407" s="434"/>
      <c r="G407" s="258"/>
      <c r="H407" s="258"/>
      <c r="I407" s="258"/>
      <c r="J407" s="258"/>
      <c r="K407" s="258"/>
      <c r="L407" s="258"/>
      <c r="M407" s="258"/>
      <c r="N407" s="258"/>
      <c r="O407" s="258"/>
      <c r="P407" s="258"/>
      <c r="Q407" s="258"/>
      <c r="R407" s="258"/>
      <c r="S407" s="258"/>
      <c r="T407" s="258"/>
      <c r="U407" s="258"/>
      <c r="V407" s="258"/>
      <c r="W407" s="258"/>
      <c r="X407" s="258"/>
      <c r="Y407" s="258"/>
      <c r="Z407" s="258"/>
      <c r="AA407" s="258"/>
      <c r="AB407" s="258"/>
      <c r="AC407" s="258"/>
      <c r="AD407" s="258"/>
      <c r="AE407" s="258"/>
      <c r="AF407" s="258"/>
      <c r="AG407" s="258"/>
      <c r="AH407" s="258"/>
      <c r="AI407" s="258"/>
      <c r="AJ407" s="261"/>
      <c r="AK407" s="261"/>
      <c r="AL407" s="261"/>
      <c r="AM407" s="548"/>
      <c r="AN407" s="548"/>
      <c r="AO407" s="176"/>
      <c r="AP407" s="121"/>
      <c r="AQ407" s="115"/>
      <c r="AR407" s="115"/>
      <c r="AS407" s="115"/>
      <c r="AT407" s="115"/>
      <c r="AU407" s="115"/>
      <c r="AV407" s="115"/>
    </row>
    <row r="408" spans="1:48" ht="21" customHeight="1" thickBot="1" x14ac:dyDescent="0.45">
      <c r="A408" s="115"/>
      <c r="B408" s="1298"/>
      <c r="C408" s="1298"/>
      <c r="D408" s="115"/>
      <c r="E408" s="434"/>
      <c r="F408" s="434"/>
      <c r="G408" s="258"/>
      <c r="H408" s="258"/>
      <c r="I408" s="258"/>
      <c r="J408" s="258"/>
      <c r="K408" s="258"/>
      <c r="L408" s="258"/>
      <c r="M408" s="258"/>
      <c r="N408" s="258"/>
      <c r="O408" s="258"/>
      <c r="P408" s="258"/>
      <c r="Q408" s="258"/>
      <c r="R408" s="258"/>
      <c r="S408" s="258"/>
      <c r="T408" s="258"/>
      <c r="U408" s="258"/>
      <c r="V408" s="258"/>
      <c r="W408" s="258"/>
      <c r="X408" s="258"/>
      <c r="Y408" s="258"/>
      <c r="Z408" s="258"/>
      <c r="AA408" s="258"/>
      <c r="AB408" s="258"/>
      <c r="AC408" s="258"/>
      <c r="AD408" s="258"/>
      <c r="AE408" s="258"/>
      <c r="AF408" s="258"/>
      <c r="AG408" s="258"/>
      <c r="AH408" s="258"/>
      <c r="AI408" s="258"/>
      <c r="AJ408" s="261"/>
      <c r="AK408" s="261"/>
      <c r="AL408" s="261"/>
      <c r="AM408" s="548"/>
      <c r="AN408" s="548"/>
      <c r="AO408" s="176"/>
      <c r="AP408" s="121"/>
      <c r="AQ408" s="115"/>
      <c r="AR408" s="115"/>
      <c r="AS408" s="115"/>
      <c r="AT408" s="115"/>
      <c r="AU408" s="115"/>
      <c r="AV408" s="115"/>
    </row>
    <row r="409" spans="1:48" ht="21" customHeight="1" thickBot="1" x14ac:dyDescent="0.45">
      <c r="A409" s="115"/>
      <c r="B409" s="1298"/>
      <c r="C409" s="1298"/>
      <c r="D409" s="115"/>
      <c r="E409" s="434"/>
      <c r="F409" s="434"/>
      <c r="G409" s="258"/>
      <c r="H409" s="258"/>
      <c r="I409" s="258"/>
      <c r="J409" s="258"/>
      <c r="K409" s="258"/>
      <c r="L409" s="258"/>
      <c r="M409" s="258"/>
      <c r="N409" s="258"/>
      <c r="O409" s="258"/>
      <c r="P409" s="258"/>
      <c r="Q409" s="258"/>
      <c r="R409" s="258"/>
      <c r="S409" s="258"/>
      <c r="T409" s="258"/>
      <c r="U409" s="258"/>
      <c r="V409" s="258"/>
      <c r="W409" s="258"/>
      <c r="X409" s="258"/>
      <c r="Y409" s="258"/>
      <c r="Z409" s="258"/>
      <c r="AA409" s="258"/>
      <c r="AB409" s="258"/>
      <c r="AC409" s="258"/>
      <c r="AD409" s="258"/>
      <c r="AE409" s="258"/>
      <c r="AF409" s="258"/>
      <c r="AG409" s="258"/>
      <c r="AH409" s="258"/>
      <c r="AI409" s="258"/>
      <c r="AJ409" s="261"/>
      <c r="AK409" s="261"/>
      <c r="AL409" s="261"/>
      <c r="AM409" s="548"/>
      <c r="AN409" s="548"/>
      <c r="AO409" s="176"/>
      <c r="AP409" s="121"/>
      <c r="AQ409" s="115"/>
      <c r="AR409" s="115"/>
      <c r="AS409" s="115"/>
      <c r="AT409" s="115"/>
      <c r="AU409" s="115"/>
      <c r="AV409" s="115"/>
    </row>
    <row r="410" spans="1:48" ht="21" customHeight="1" thickBot="1" x14ac:dyDescent="0.45">
      <c r="A410" s="115"/>
      <c r="B410" s="1298"/>
      <c r="C410" s="1298"/>
      <c r="D410" s="115"/>
      <c r="E410" s="434"/>
      <c r="F410" s="434"/>
      <c r="G410" s="258"/>
      <c r="H410" s="258"/>
      <c r="I410" s="258"/>
      <c r="J410" s="258"/>
      <c r="K410" s="258"/>
      <c r="L410" s="258"/>
      <c r="M410" s="258"/>
      <c r="N410" s="258"/>
      <c r="O410" s="258"/>
      <c r="P410" s="258"/>
      <c r="Q410" s="258"/>
      <c r="R410" s="258"/>
      <c r="S410" s="258"/>
      <c r="T410" s="258"/>
      <c r="U410" s="258"/>
      <c r="V410" s="258"/>
      <c r="W410" s="258"/>
      <c r="X410" s="258"/>
      <c r="Y410" s="258"/>
      <c r="Z410" s="258"/>
      <c r="AA410" s="258"/>
      <c r="AB410" s="258"/>
      <c r="AC410" s="258"/>
      <c r="AD410" s="258"/>
      <c r="AE410" s="258"/>
      <c r="AF410" s="258"/>
      <c r="AG410" s="258"/>
      <c r="AH410" s="258"/>
      <c r="AI410" s="258"/>
      <c r="AJ410" s="261"/>
      <c r="AK410" s="261"/>
      <c r="AL410" s="261"/>
      <c r="AM410" s="548"/>
      <c r="AN410" s="548"/>
      <c r="AO410" s="176"/>
      <c r="AP410" s="121"/>
      <c r="AQ410" s="115"/>
      <c r="AR410" s="115"/>
      <c r="AS410" s="115"/>
      <c r="AT410" s="115"/>
      <c r="AU410" s="115"/>
      <c r="AV410" s="115"/>
    </row>
    <row r="411" spans="1:48" ht="21" customHeight="1" thickBot="1" x14ac:dyDescent="0.45">
      <c r="A411" s="115"/>
      <c r="B411" s="1298"/>
      <c r="C411" s="1298"/>
      <c r="D411" s="115"/>
      <c r="E411" s="434"/>
      <c r="F411" s="434"/>
      <c r="G411" s="258"/>
      <c r="H411" s="258"/>
      <c r="I411" s="258"/>
      <c r="J411" s="258"/>
      <c r="K411" s="258"/>
      <c r="L411" s="258"/>
      <c r="M411" s="258"/>
      <c r="N411" s="258"/>
      <c r="O411" s="258"/>
      <c r="P411" s="258"/>
      <c r="Q411" s="258"/>
      <c r="R411" s="258"/>
      <c r="S411" s="258"/>
      <c r="T411" s="258"/>
      <c r="U411" s="258"/>
      <c r="V411" s="258"/>
      <c r="W411" s="258"/>
      <c r="X411" s="258"/>
      <c r="Y411" s="258"/>
      <c r="Z411" s="258"/>
      <c r="AA411" s="258"/>
      <c r="AB411" s="258"/>
      <c r="AC411" s="258"/>
      <c r="AD411" s="258"/>
      <c r="AE411" s="258"/>
      <c r="AF411" s="258"/>
      <c r="AG411" s="258"/>
      <c r="AH411" s="258"/>
      <c r="AI411" s="258"/>
      <c r="AJ411" s="261"/>
      <c r="AK411" s="261"/>
      <c r="AL411" s="261"/>
      <c r="AM411" s="548"/>
      <c r="AN411" s="548"/>
      <c r="AO411" s="176"/>
      <c r="AP411" s="121"/>
      <c r="AQ411" s="115"/>
      <c r="AR411" s="115"/>
      <c r="AS411" s="115"/>
      <c r="AT411" s="115"/>
      <c r="AU411" s="115"/>
      <c r="AV411" s="115"/>
    </row>
    <row r="412" spans="1:48" ht="21" customHeight="1" x14ac:dyDescent="0.4">
      <c r="E412" s="435"/>
      <c r="F412" s="435"/>
    </row>
    <row r="413" spans="1:48" ht="21" customHeight="1" x14ac:dyDescent="0.4">
      <c r="E413" s="435"/>
      <c r="F413" s="435"/>
    </row>
    <row r="414" spans="1:48" ht="21" customHeight="1" x14ac:dyDescent="0.4">
      <c r="E414" s="435"/>
      <c r="F414" s="435"/>
    </row>
    <row r="415" spans="1:48" ht="21" customHeight="1" x14ac:dyDescent="0.4">
      <c r="E415" s="435"/>
      <c r="F415" s="435"/>
    </row>
    <row r="416" spans="1:48" ht="21" customHeight="1" x14ac:dyDescent="0.4">
      <c r="E416" s="435"/>
      <c r="F416" s="435"/>
    </row>
    <row r="417" spans="5:6" ht="21" customHeight="1" x14ac:dyDescent="0.4">
      <c r="E417" s="435"/>
      <c r="F417" s="435"/>
    </row>
    <row r="418" spans="5:6" ht="21" customHeight="1" x14ac:dyDescent="0.4">
      <c r="E418" s="435"/>
      <c r="F418" s="435"/>
    </row>
    <row r="419" spans="5:6" ht="21" customHeight="1" x14ac:dyDescent="0.4">
      <c r="E419" s="435"/>
      <c r="F419" s="435"/>
    </row>
    <row r="420" spans="5:6" ht="21" customHeight="1" x14ac:dyDescent="0.4">
      <c r="E420" s="435"/>
      <c r="F420" s="435"/>
    </row>
    <row r="421" spans="5:6" ht="21" customHeight="1" x14ac:dyDescent="0.4">
      <c r="E421" s="435"/>
      <c r="F421" s="435"/>
    </row>
    <row r="422" spans="5:6" ht="21" customHeight="1" x14ac:dyDescent="0.4">
      <c r="E422" s="435"/>
      <c r="F422" s="435"/>
    </row>
    <row r="423" spans="5:6" ht="21" customHeight="1" x14ac:dyDescent="0.4">
      <c r="E423" s="435"/>
      <c r="F423" s="435"/>
    </row>
    <row r="424" spans="5:6" ht="21" customHeight="1" x14ac:dyDescent="0.4">
      <c r="E424" s="435"/>
      <c r="F424" s="435"/>
    </row>
    <row r="425" spans="5:6" ht="21" customHeight="1" x14ac:dyDescent="0.4">
      <c r="E425" s="435"/>
      <c r="F425" s="435"/>
    </row>
    <row r="426" spans="5:6" ht="21" customHeight="1" x14ac:dyDescent="0.4">
      <c r="E426" s="435"/>
      <c r="F426" s="435"/>
    </row>
    <row r="427" spans="5:6" ht="21" customHeight="1" x14ac:dyDescent="0.4">
      <c r="E427" s="435"/>
      <c r="F427" s="435"/>
    </row>
    <row r="428" spans="5:6" ht="21" customHeight="1" x14ac:dyDescent="0.4">
      <c r="E428" s="435"/>
      <c r="F428" s="435"/>
    </row>
    <row r="429" spans="5:6" ht="21" customHeight="1" x14ac:dyDescent="0.4">
      <c r="E429" s="435"/>
      <c r="F429" s="435"/>
    </row>
    <row r="430" spans="5:6" ht="21" customHeight="1" x14ac:dyDescent="0.4">
      <c r="E430" s="435"/>
      <c r="F430" s="435"/>
    </row>
    <row r="431" spans="5:6" ht="21" customHeight="1" x14ac:dyDescent="0.4">
      <c r="E431" s="435"/>
      <c r="F431" s="435"/>
    </row>
    <row r="432" spans="5:6" ht="21" customHeight="1" x14ac:dyDescent="0.4">
      <c r="E432" s="435"/>
      <c r="F432" s="435"/>
    </row>
    <row r="433" spans="5:6" ht="21" customHeight="1" x14ac:dyDescent="0.4">
      <c r="E433" s="435"/>
      <c r="F433" s="435"/>
    </row>
    <row r="434" spans="5:6" ht="21" customHeight="1" x14ac:dyDescent="0.4">
      <c r="E434" s="435"/>
      <c r="F434" s="435"/>
    </row>
    <row r="435" spans="5:6" ht="21" customHeight="1" x14ac:dyDescent="0.4">
      <c r="E435" s="435"/>
      <c r="F435" s="435"/>
    </row>
    <row r="436" spans="5:6" ht="21" customHeight="1" x14ac:dyDescent="0.4">
      <c r="E436" s="435"/>
      <c r="F436" s="435"/>
    </row>
    <row r="437" spans="5:6" ht="21" customHeight="1" x14ac:dyDescent="0.4">
      <c r="E437" s="435"/>
      <c r="F437" s="435"/>
    </row>
    <row r="438" spans="5:6" ht="21" customHeight="1" x14ac:dyDescent="0.4">
      <c r="E438" s="435"/>
      <c r="F438" s="435"/>
    </row>
    <row r="439" spans="5:6" ht="21" customHeight="1" x14ac:dyDescent="0.4">
      <c r="E439" s="435"/>
      <c r="F439" s="435"/>
    </row>
    <row r="440" spans="5:6" ht="21" customHeight="1" x14ac:dyDescent="0.4">
      <c r="E440" s="435"/>
      <c r="F440" s="435"/>
    </row>
    <row r="441" spans="5:6" ht="21" customHeight="1" x14ac:dyDescent="0.4">
      <c r="E441" s="435"/>
      <c r="F441" s="435"/>
    </row>
    <row r="442" spans="5:6" ht="21" customHeight="1" x14ac:dyDescent="0.4">
      <c r="E442" s="435"/>
      <c r="F442" s="435"/>
    </row>
    <row r="443" spans="5:6" ht="21" customHeight="1" x14ac:dyDescent="0.4">
      <c r="E443" s="435"/>
      <c r="F443" s="435"/>
    </row>
    <row r="444" spans="5:6" ht="21" customHeight="1" x14ac:dyDescent="0.4">
      <c r="E444" s="435"/>
      <c r="F444" s="435"/>
    </row>
    <row r="445" spans="5:6" ht="21" customHeight="1" x14ac:dyDescent="0.4">
      <c r="E445" s="435"/>
      <c r="F445" s="435"/>
    </row>
    <row r="446" spans="5:6" ht="21" customHeight="1" x14ac:dyDescent="0.4">
      <c r="E446" s="435"/>
      <c r="F446" s="435"/>
    </row>
    <row r="447" spans="5:6" ht="21" customHeight="1" x14ac:dyDescent="0.4">
      <c r="E447" s="435"/>
      <c r="F447" s="435"/>
    </row>
    <row r="448" spans="5:6" ht="21" customHeight="1" x14ac:dyDescent="0.4">
      <c r="E448" s="435"/>
      <c r="F448" s="435"/>
    </row>
    <row r="449" spans="5:6" ht="21" customHeight="1" x14ac:dyDescent="0.4">
      <c r="E449" s="435"/>
      <c r="F449" s="435"/>
    </row>
    <row r="450" spans="5:6" ht="21" customHeight="1" x14ac:dyDescent="0.4">
      <c r="E450" s="435"/>
      <c r="F450" s="435"/>
    </row>
    <row r="451" spans="5:6" ht="21" customHeight="1" x14ac:dyDescent="0.4">
      <c r="E451" s="435"/>
      <c r="F451" s="435"/>
    </row>
    <row r="452" spans="5:6" ht="21" customHeight="1" x14ac:dyDescent="0.4">
      <c r="E452" s="435"/>
      <c r="F452" s="435"/>
    </row>
    <row r="453" spans="5:6" ht="21" customHeight="1" x14ac:dyDescent="0.4">
      <c r="E453" s="435"/>
      <c r="F453" s="435"/>
    </row>
    <row r="454" spans="5:6" ht="21" customHeight="1" x14ac:dyDescent="0.4">
      <c r="E454" s="435"/>
      <c r="F454" s="435"/>
    </row>
    <row r="455" spans="5:6" ht="21" customHeight="1" x14ac:dyDescent="0.4">
      <c r="E455" s="435"/>
      <c r="F455" s="435"/>
    </row>
    <row r="456" spans="5:6" ht="21" customHeight="1" x14ac:dyDescent="0.4">
      <c r="E456" s="435"/>
      <c r="F456" s="435"/>
    </row>
    <row r="457" spans="5:6" ht="21" customHeight="1" x14ac:dyDescent="0.4">
      <c r="E457" s="435"/>
      <c r="F457" s="435"/>
    </row>
    <row r="458" spans="5:6" ht="21" customHeight="1" x14ac:dyDescent="0.4">
      <c r="E458" s="435"/>
      <c r="F458" s="435"/>
    </row>
    <row r="459" spans="5:6" ht="21" customHeight="1" x14ac:dyDescent="0.4">
      <c r="E459" s="435"/>
      <c r="F459" s="435"/>
    </row>
    <row r="460" spans="5:6" ht="21" customHeight="1" x14ac:dyDescent="0.4">
      <c r="E460" s="435"/>
      <c r="F460" s="435"/>
    </row>
    <row r="461" spans="5:6" ht="21" customHeight="1" x14ac:dyDescent="0.4">
      <c r="E461" s="435"/>
      <c r="F461" s="435"/>
    </row>
    <row r="462" spans="5:6" ht="21" customHeight="1" x14ac:dyDescent="0.4">
      <c r="E462" s="435"/>
      <c r="F462" s="435"/>
    </row>
    <row r="463" spans="5:6" ht="21" customHeight="1" x14ac:dyDescent="0.4">
      <c r="E463" s="435"/>
      <c r="F463" s="435"/>
    </row>
    <row r="464" spans="5:6" ht="21" customHeight="1" x14ac:dyDescent="0.4">
      <c r="E464" s="435"/>
      <c r="F464" s="435"/>
    </row>
    <row r="465" spans="5:6" ht="21" customHeight="1" x14ac:dyDescent="0.4">
      <c r="E465" s="435"/>
      <c r="F465" s="435"/>
    </row>
    <row r="466" spans="5:6" ht="21" customHeight="1" x14ac:dyDescent="0.4">
      <c r="E466" s="435"/>
      <c r="F466" s="435"/>
    </row>
    <row r="467" spans="5:6" ht="21" customHeight="1" x14ac:dyDescent="0.4">
      <c r="E467" s="435"/>
      <c r="F467" s="435"/>
    </row>
    <row r="468" spans="5:6" ht="21" customHeight="1" x14ac:dyDescent="0.4">
      <c r="E468" s="435"/>
      <c r="F468" s="435"/>
    </row>
    <row r="469" spans="5:6" ht="21" customHeight="1" x14ac:dyDescent="0.4">
      <c r="E469" s="435"/>
      <c r="F469" s="435"/>
    </row>
    <row r="470" spans="5:6" ht="21" customHeight="1" x14ac:dyDescent="0.4">
      <c r="E470" s="435"/>
      <c r="F470" s="435"/>
    </row>
    <row r="471" spans="5:6" ht="21" customHeight="1" x14ac:dyDescent="0.4">
      <c r="E471" s="435"/>
      <c r="F471" s="435"/>
    </row>
    <row r="472" spans="5:6" ht="21" customHeight="1" x14ac:dyDescent="0.4">
      <c r="E472" s="435"/>
      <c r="F472" s="435"/>
    </row>
    <row r="473" spans="5:6" ht="21" customHeight="1" x14ac:dyDescent="0.4">
      <c r="E473" s="435"/>
      <c r="F473" s="435"/>
    </row>
    <row r="474" spans="5:6" ht="21" customHeight="1" x14ac:dyDescent="0.4">
      <c r="E474" s="435"/>
      <c r="F474" s="435"/>
    </row>
    <row r="475" spans="5:6" ht="21" customHeight="1" x14ac:dyDescent="0.4">
      <c r="E475" s="435"/>
      <c r="F475" s="435"/>
    </row>
    <row r="476" spans="5:6" ht="21" customHeight="1" x14ac:dyDescent="0.4">
      <c r="E476" s="435"/>
      <c r="F476" s="435"/>
    </row>
    <row r="477" spans="5:6" ht="21" customHeight="1" x14ac:dyDescent="0.4">
      <c r="E477" s="435"/>
      <c r="F477" s="435"/>
    </row>
    <row r="478" spans="5:6" ht="21" customHeight="1" x14ac:dyDescent="0.4">
      <c r="E478" s="435"/>
      <c r="F478" s="435"/>
    </row>
    <row r="479" spans="5:6" ht="21" customHeight="1" x14ac:dyDescent="0.4">
      <c r="E479" s="435"/>
      <c r="F479" s="435"/>
    </row>
    <row r="480" spans="5:6" ht="21" customHeight="1" x14ac:dyDescent="0.4">
      <c r="E480" s="435"/>
      <c r="F480" s="435"/>
    </row>
    <row r="481" spans="5:6" ht="21" customHeight="1" x14ac:dyDescent="0.4">
      <c r="E481" s="435"/>
      <c r="F481" s="435"/>
    </row>
    <row r="482" spans="5:6" ht="21" customHeight="1" x14ac:dyDescent="0.4">
      <c r="E482" s="435"/>
      <c r="F482" s="435"/>
    </row>
    <row r="483" spans="5:6" ht="21" customHeight="1" x14ac:dyDescent="0.4">
      <c r="E483" s="435"/>
      <c r="F483" s="435"/>
    </row>
    <row r="484" spans="5:6" ht="21" customHeight="1" x14ac:dyDescent="0.4">
      <c r="E484" s="435"/>
      <c r="F484" s="435"/>
    </row>
    <row r="485" spans="5:6" ht="21" customHeight="1" x14ac:dyDescent="0.4">
      <c r="E485" s="435"/>
      <c r="F485" s="435"/>
    </row>
    <row r="486" spans="5:6" ht="21" customHeight="1" x14ac:dyDescent="0.4">
      <c r="E486" s="435"/>
      <c r="F486" s="435"/>
    </row>
    <row r="487" spans="5:6" ht="21" customHeight="1" x14ac:dyDescent="0.4">
      <c r="E487" s="435"/>
      <c r="F487" s="435"/>
    </row>
    <row r="488" spans="5:6" ht="21" customHeight="1" x14ac:dyDescent="0.4">
      <c r="E488" s="435"/>
      <c r="F488" s="435"/>
    </row>
    <row r="489" spans="5:6" ht="21" customHeight="1" x14ac:dyDescent="0.4">
      <c r="E489" s="435"/>
      <c r="F489" s="435"/>
    </row>
    <row r="490" spans="5:6" ht="21" customHeight="1" x14ac:dyDescent="0.4">
      <c r="E490" s="435"/>
      <c r="F490" s="435"/>
    </row>
    <row r="491" spans="5:6" ht="21" customHeight="1" x14ac:dyDescent="0.4">
      <c r="E491" s="435"/>
      <c r="F491" s="435"/>
    </row>
    <row r="492" spans="5:6" ht="21" customHeight="1" x14ac:dyDescent="0.4">
      <c r="E492" s="435"/>
      <c r="F492" s="435"/>
    </row>
    <row r="493" spans="5:6" ht="21" customHeight="1" x14ac:dyDescent="0.4">
      <c r="E493" s="435"/>
      <c r="F493" s="435"/>
    </row>
    <row r="494" spans="5:6" ht="21" customHeight="1" x14ac:dyDescent="0.4">
      <c r="E494" s="435"/>
      <c r="F494" s="435"/>
    </row>
    <row r="495" spans="5:6" ht="21" customHeight="1" x14ac:dyDescent="0.4">
      <c r="E495" s="435"/>
      <c r="F495" s="435"/>
    </row>
    <row r="496" spans="5:6" ht="21" customHeight="1" x14ac:dyDescent="0.4">
      <c r="E496" s="435"/>
      <c r="F496" s="435"/>
    </row>
    <row r="497" spans="5:6" ht="21" customHeight="1" x14ac:dyDescent="0.4">
      <c r="E497" s="435"/>
      <c r="F497" s="435"/>
    </row>
    <row r="498" spans="5:6" ht="21" customHeight="1" x14ac:dyDescent="0.4">
      <c r="E498" s="435"/>
      <c r="F498" s="435"/>
    </row>
    <row r="499" spans="5:6" ht="21" customHeight="1" x14ac:dyDescent="0.4">
      <c r="E499" s="435"/>
      <c r="F499" s="435"/>
    </row>
    <row r="500" spans="5:6" ht="21" customHeight="1" x14ac:dyDescent="0.4">
      <c r="E500" s="435"/>
      <c r="F500" s="435"/>
    </row>
    <row r="501" spans="5:6" ht="21" customHeight="1" x14ac:dyDescent="0.4">
      <c r="E501" s="435"/>
      <c r="F501" s="435"/>
    </row>
    <row r="502" spans="5:6" ht="21" customHeight="1" x14ac:dyDescent="0.4">
      <c r="E502" s="435"/>
      <c r="F502" s="435"/>
    </row>
    <row r="503" spans="5:6" ht="21" customHeight="1" x14ac:dyDescent="0.4">
      <c r="E503" s="435"/>
      <c r="F503" s="435"/>
    </row>
    <row r="504" spans="5:6" ht="21" customHeight="1" x14ac:dyDescent="0.4">
      <c r="E504" s="435"/>
      <c r="F504" s="435"/>
    </row>
    <row r="505" spans="5:6" ht="21" customHeight="1" x14ac:dyDescent="0.4">
      <c r="E505" s="435"/>
      <c r="F505" s="435"/>
    </row>
    <row r="506" spans="5:6" ht="21" customHeight="1" x14ac:dyDescent="0.4">
      <c r="E506" s="435"/>
      <c r="F506" s="435"/>
    </row>
    <row r="507" spans="5:6" ht="21" customHeight="1" x14ac:dyDescent="0.4">
      <c r="E507" s="435"/>
      <c r="F507" s="435"/>
    </row>
    <row r="508" spans="5:6" ht="21" customHeight="1" x14ac:dyDescent="0.4">
      <c r="E508" s="435"/>
      <c r="F508" s="435"/>
    </row>
    <row r="509" spans="5:6" ht="21" customHeight="1" x14ac:dyDescent="0.4">
      <c r="E509" s="435"/>
      <c r="F509" s="435"/>
    </row>
    <row r="510" spans="5:6" ht="21" customHeight="1" x14ac:dyDescent="0.4">
      <c r="E510" s="435"/>
      <c r="F510" s="435"/>
    </row>
    <row r="511" spans="5:6" ht="21" customHeight="1" x14ac:dyDescent="0.4">
      <c r="E511" s="435"/>
      <c r="F511" s="435"/>
    </row>
    <row r="512" spans="5:6" ht="21" customHeight="1" x14ac:dyDescent="0.4">
      <c r="E512" s="435"/>
      <c r="F512" s="435"/>
    </row>
    <row r="513" spans="5:6" ht="21" customHeight="1" x14ac:dyDescent="0.4">
      <c r="E513" s="435"/>
      <c r="F513" s="435"/>
    </row>
    <row r="514" spans="5:6" ht="21" customHeight="1" x14ac:dyDescent="0.4">
      <c r="E514" s="435"/>
      <c r="F514" s="435"/>
    </row>
    <row r="515" spans="5:6" ht="21" customHeight="1" x14ac:dyDescent="0.4">
      <c r="E515" s="435"/>
      <c r="F515" s="435"/>
    </row>
    <row r="516" spans="5:6" ht="21" customHeight="1" x14ac:dyDescent="0.4">
      <c r="E516" s="435"/>
      <c r="F516" s="435"/>
    </row>
    <row r="517" spans="5:6" ht="21" customHeight="1" x14ac:dyDescent="0.4">
      <c r="E517" s="435"/>
      <c r="F517" s="435"/>
    </row>
    <row r="518" spans="5:6" ht="21" customHeight="1" x14ac:dyDescent="0.4">
      <c r="E518" s="435"/>
      <c r="F518" s="435"/>
    </row>
    <row r="519" spans="5:6" ht="21" customHeight="1" x14ac:dyDescent="0.4">
      <c r="E519" s="435"/>
      <c r="F519" s="435"/>
    </row>
    <row r="520" spans="5:6" ht="21" customHeight="1" x14ac:dyDescent="0.4">
      <c r="E520" s="435"/>
      <c r="F520" s="435"/>
    </row>
    <row r="521" spans="5:6" ht="21" customHeight="1" x14ac:dyDescent="0.4">
      <c r="E521" s="435"/>
      <c r="F521" s="435"/>
    </row>
    <row r="522" spans="5:6" ht="21" customHeight="1" x14ac:dyDescent="0.4">
      <c r="E522" s="435"/>
      <c r="F522" s="435"/>
    </row>
    <row r="523" spans="5:6" ht="21" customHeight="1" x14ac:dyDescent="0.4">
      <c r="E523" s="435"/>
      <c r="F523" s="435"/>
    </row>
    <row r="524" spans="5:6" ht="21" customHeight="1" x14ac:dyDescent="0.4">
      <c r="E524" s="435"/>
      <c r="F524" s="435"/>
    </row>
    <row r="525" spans="5:6" ht="21" customHeight="1" x14ac:dyDescent="0.4">
      <c r="E525" s="435"/>
      <c r="F525" s="435"/>
    </row>
    <row r="526" spans="5:6" ht="21" customHeight="1" x14ac:dyDescent="0.4">
      <c r="E526" s="435"/>
      <c r="F526" s="435"/>
    </row>
    <row r="527" spans="5:6" ht="21" customHeight="1" x14ac:dyDescent="0.4">
      <c r="E527" s="435"/>
      <c r="F527" s="435"/>
    </row>
    <row r="528" spans="5:6" ht="21" customHeight="1" x14ac:dyDescent="0.4">
      <c r="E528" s="435"/>
      <c r="F528" s="435"/>
    </row>
    <row r="529" spans="5:6" ht="21" customHeight="1" x14ac:dyDescent="0.4">
      <c r="E529" s="435"/>
      <c r="F529" s="435"/>
    </row>
    <row r="530" spans="5:6" ht="21" customHeight="1" x14ac:dyDescent="0.4">
      <c r="E530" s="435"/>
      <c r="F530" s="435"/>
    </row>
    <row r="531" spans="5:6" ht="21" customHeight="1" x14ac:dyDescent="0.4">
      <c r="E531" s="435"/>
      <c r="F531" s="435"/>
    </row>
    <row r="532" spans="5:6" ht="21" customHeight="1" x14ac:dyDescent="0.4">
      <c r="E532" s="435"/>
      <c r="F532" s="435"/>
    </row>
    <row r="533" spans="5:6" ht="21" customHeight="1" x14ac:dyDescent="0.4">
      <c r="E533" s="435"/>
      <c r="F533" s="435"/>
    </row>
    <row r="534" spans="5:6" ht="21" customHeight="1" x14ac:dyDescent="0.4">
      <c r="E534" s="435"/>
      <c r="F534" s="435"/>
    </row>
    <row r="535" spans="5:6" ht="21" customHeight="1" x14ac:dyDescent="0.4">
      <c r="E535" s="435"/>
      <c r="F535" s="435"/>
    </row>
    <row r="536" spans="5:6" ht="21" customHeight="1" x14ac:dyDescent="0.4">
      <c r="E536" s="435"/>
      <c r="F536" s="435"/>
    </row>
    <row r="537" spans="5:6" ht="21" customHeight="1" x14ac:dyDescent="0.4">
      <c r="E537" s="435"/>
      <c r="F537" s="435"/>
    </row>
    <row r="538" spans="5:6" ht="21" customHeight="1" x14ac:dyDescent="0.4">
      <c r="E538" s="435"/>
      <c r="F538" s="435"/>
    </row>
    <row r="539" spans="5:6" ht="21" customHeight="1" x14ac:dyDescent="0.4">
      <c r="E539" s="435"/>
      <c r="F539" s="435"/>
    </row>
    <row r="540" spans="5:6" ht="21" customHeight="1" x14ac:dyDescent="0.4">
      <c r="E540" s="435"/>
      <c r="F540" s="435"/>
    </row>
    <row r="541" spans="5:6" ht="21" customHeight="1" x14ac:dyDescent="0.4">
      <c r="E541" s="435"/>
      <c r="F541" s="435"/>
    </row>
    <row r="542" spans="5:6" ht="21" customHeight="1" x14ac:dyDescent="0.4">
      <c r="E542" s="435"/>
      <c r="F542" s="435"/>
    </row>
    <row r="543" spans="5:6" ht="21" customHeight="1" x14ac:dyDescent="0.4">
      <c r="E543" s="435"/>
      <c r="F543" s="435"/>
    </row>
    <row r="544" spans="5:6" ht="21" customHeight="1" x14ac:dyDescent="0.4">
      <c r="E544" s="435"/>
      <c r="F544" s="435"/>
    </row>
    <row r="545" spans="5:6" ht="21" customHeight="1" x14ac:dyDescent="0.4">
      <c r="E545" s="435"/>
      <c r="F545" s="435"/>
    </row>
    <row r="546" spans="5:6" ht="21" customHeight="1" x14ac:dyDescent="0.4">
      <c r="E546" s="435"/>
      <c r="F546" s="435"/>
    </row>
    <row r="547" spans="5:6" ht="21" customHeight="1" x14ac:dyDescent="0.4">
      <c r="E547" s="435"/>
      <c r="F547" s="435"/>
    </row>
    <row r="548" spans="5:6" ht="21" customHeight="1" x14ac:dyDescent="0.4">
      <c r="E548" s="435"/>
      <c r="F548" s="435"/>
    </row>
    <row r="549" spans="5:6" ht="21" customHeight="1" x14ac:dyDescent="0.4">
      <c r="E549" s="435"/>
      <c r="F549" s="435"/>
    </row>
    <row r="550" spans="5:6" ht="21" customHeight="1" x14ac:dyDescent="0.4">
      <c r="E550" s="435"/>
      <c r="F550" s="435"/>
    </row>
    <row r="551" spans="5:6" ht="21" customHeight="1" x14ac:dyDescent="0.4">
      <c r="E551" s="435"/>
      <c r="F551" s="435"/>
    </row>
    <row r="552" spans="5:6" ht="21" customHeight="1" x14ac:dyDescent="0.4">
      <c r="E552" s="435"/>
      <c r="F552" s="435"/>
    </row>
    <row r="553" spans="5:6" ht="21" customHeight="1" x14ac:dyDescent="0.4">
      <c r="E553" s="435"/>
      <c r="F553" s="435"/>
    </row>
    <row r="554" spans="5:6" ht="21" customHeight="1" x14ac:dyDescent="0.4">
      <c r="E554" s="435"/>
      <c r="F554" s="435"/>
    </row>
    <row r="555" spans="5:6" ht="21" customHeight="1" x14ac:dyDescent="0.4">
      <c r="E555" s="435"/>
      <c r="F555" s="435"/>
    </row>
    <row r="556" spans="5:6" ht="21" customHeight="1" x14ac:dyDescent="0.4">
      <c r="E556" s="435"/>
      <c r="F556" s="435"/>
    </row>
    <row r="557" spans="5:6" ht="21" customHeight="1" x14ac:dyDescent="0.4">
      <c r="E557" s="435"/>
      <c r="F557" s="435"/>
    </row>
    <row r="558" spans="5:6" ht="21" customHeight="1" x14ac:dyDescent="0.4">
      <c r="E558" s="435"/>
      <c r="F558" s="435"/>
    </row>
    <row r="559" spans="5:6" ht="21" customHeight="1" x14ac:dyDescent="0.4">
      <c r="E559" s="435"/>
      <c r="F559" s="435"/>
    </row>
    <row r="560" spans="5:6" ht="21" customHeight="1" x14ac:dyDescent="0.4">
      <c r="E560" s="435"/>
      <c r="F560" s="435"/>
    </row>
    <row r="561" spans="5:6" ht="21" customHeight="1" x14ac:dyDescent="0.4">
      <c r="E561" s="435"/>
      <c r="F561" s="435"/>
    </row>
    <row r="562" spans="5:6" ht="21" customHeight="1" x14ac:dyDescent="0.4">
      <c r="E562" s="435"/>
      <c r="F562" s="435"/>
    </row>
    <row r="563" spans="5:6" ht="21" customHeight="1" x14ac:dyDescent="0.4">
      <c r="E563" s="435"/>
      <c r="F563" s="435"/>
    </row>
    <row r="564" spans="5:6" ht="21" customHeight="1" x14ac:dyDescent="0.4">
      <c r="E564" s="435"/>
      <c r="F564" s="435"/>
    </row>
    <row r="565" spans="5:6" ht="21" customHeight="1" x14ac:dyDescent="0.4">
      <c r="E565" s="435"/>
      <c r="F565" s="435"/>
    </row>
    <row r="566" spans="5:6" ht="21" customHeight="1" x14ac:dyDescent="0.4">
      <c r="E566" s="435"/>
      <c r="F566" s="435"/>
    </row>
    <row r="567" spans="5:6" ht="21" customHeight="1" x14ac:dyDescent="0.4">
      <c r="E567" s="435"/>
      <c r="F567" s="435"/>
    </row>
    <row r="568" spans="5:6" ht="21" customHeight="1" x14ac:dyDescent="0.4">
      <c r="E568" s="435"/>
      <c r="F568" s="435"/>
    </row>
    <row r="569" spans="5:6" ht="21" customHeight="1" x14ac:dyDescent="0.4">
      <c r="E569" s="435"/>
      <c r="F569" s="435"/>
    </row>
    <row r="570" spans="5:6" ht="21" customHeight="1" x14ac:dyDescent="0.4">
      <c r="E570" s="435"/>
      <c r="F570" s="435"/>
    </row>
    <row r="571" spans="5:6" ht="21" customHeight="1" x14ac:dyDescent="0.4">
      <c r="E571" s="435"/>
      <c r="F571" s="435"/>
    </row>
    <row r="572" spans="5:6" ht="21" customHeight="1" x14ac:dyDescent="0.4">
      <c r="E572" s="435"/>
      <c r="F572" s="435"/>
    </row>
    <row r="573" spans="5:6" ht="21" customHeight="1" x14ac:dyDescent="0.4">
      <c r="E573" s="435"/>
      <c r="F573" s="435"/>
    </row>
    <row r="574" spans="5:6" ht="21" customHeight="1" x14ac:dyDescent="0.4">
      <c r="E574" s="435"/>
      <c r="F574" s="435"/>
    </row>
    <row r="575" spans="5:6" ht="21" customHeight="1" x14ac:dyDescent="0.4">
      <c r="E575" s="435"/>
      <c r="F575" s="435"/>
    </row>
    <row r="576" spans="5:6" ht="21" customHeight="1" x14ac:dyDescent="0.4">
      <c r="E576" s="435"/>
      <c r="F576" s="435"/>
    </row>
    <row r="577" spans="5:6" ht="21" customHeight="1" x14ac:dyDescent="0.4">
      <c r="E577" s="435"/>
      <c r="F577" s="435"/>
    </row>
    <row r="578" spans="5:6" ht="21" customHeight="1" x14ac:dyDescent="0.4">
      <c r="E578" s="435"/>
      <c r="F578" s="435"/>
    </row>
    <row r="579" spans="5:6" ht="21" customHeight="1" x14ac:dyDescent="0.4">
      <c r="E579" s="435"/>
      <c r="F579" s="435"/>
    </row>
    <row r="580" spans="5:6" ht="21" customHeight="1" x14ac:dyDescent="0.4">
      <c r="E580" s="435"/>
      <c r="F580" s="435"/>
    </row>
    <row r="581" spans="5:6" ht="21" customHeight="1" x14ac:dyDescent="0.4">
      <c r="E581" s="435"/>
      <c r="F581" s="435"/>
    </row>
    <row r="582" spans="5:6" ht="21" customHeight="1" x14ac:dyDescent="0.4">
      <c r="E582" s="435"/>
      <c r="F582" s="435"/>
    </row>
    <row r="583" spans="5:6" ht="21" customHeight="1" x14ac:dyDescent="0.4">
      <c r="E583" s="435"/>
      <c r="F583" s="435"/>
    </row>
    <row r="584" spans="5:6" ht="21" customHeight="1" x14ac:dyDescent="0.4">
      <c r="E584" s="435"/>
      <c r="F584" s="435"/>
    </row>
    <row r="585" spans="5:6" ht="21" customHeight="1" x14ac:dyDescent="0.4">
      <c r="E585" s="435"/>
      <c r="F585" s="435"/>
    </row>
    <row r="586" spans="5:6" ht="21" customHeight="1" x14ac:dyDescent="0.4">
      <c r="E586" s="435"/>
      <c r="F586" s="435"/>
    </row>
    <row r="587" spans="5:6" ht="21" customHeight="1" x14ac:dyDescent="0.4">
      <c r="E587" s="435"/>
      <c r="F587" s="435"/>
    </row>
    <row r="588" spans="5:6" ht="21" customHeight="1" x14ac:dyDescent="0.4">
      <c r="E588" s="435"/>
      <c r="F588" s="435"/>
    </row>
    <row r="589" spans="5:6" ht="21" customHeight="1" x14ac:dyDescent="0.4">
      <c r="E589" s="435"/>
      <c r="F589" s="435"/>
    </row>
    <row r="590" spans="5:6" ht="21" customHeight="1" x14ac:dyDescent="0.4">
      <c r="E590" s="435"/>
      <c r="F590" s="435"/>
    </row>
    <row r="591" spans="5:6" ht="21" customHeight="1" x14ac:dyDescent="0.4">
      <c r="E591" s="435"/>
      <c r="F591" s="435"/>
    </row>
    <row r="592" spans="5:6" ht="21" customHeight="1" x14ac:dyDescent="0.4">
      <c r="E592" s="435"/>
      <c r="F592" s="435"/>
    </row>
    <row r="593" spans="5:6" ht="21" customHeight="1" x14ac:dyDescent="0.4">
      <c r="E593" s="435"/>
      <c r="F593" s="435"/>
    </row>
    <row r="594" spans="5:6" ht="21" customHeight="1" x14ac:dyDescent="0.4">
      <c r="E594" s="435"/>
      <c r="F594" s="435"/>
    </row>
    <row r="595" spans="5:6" ht="21" customHeight="1" x14ac:dyDescent="0.4">
      <c r="E595" s="435"/>
      <c r="F595" s="435"/>
    </row>
    <row r="596" spans="5:6" ht="21" customHeight="1" x14ac:dyDescent="0.4">
      <c r="E596" s="435"/>
      <c r="F596" s="435"/>
    </row>
    <row r="597" spans="5:6" ht="21" customHeight="1" x14ac:dyDescent="0.4">
      <c r="E597" s="435"/>
      <c r="F597" s="435"/>
    </row>
    <row r="598" spans="5:6" ht="21" customHeight="1" x14ac:dyDescent="0.4">
      <c r="E598" s="435"/>
      <c r="F598" s="435"/>
    </row>
    <row r="599" spans="5:6" ht="21" customHeight="1" x14ac:dyDescent="0.4">
      <c r="E599" s="435"/>
      <c r="F599" s="435"/>
    </row>
    <row r="600" spans="5:6" ht="21" customHeight="1" x14ac:dyDescent="0.4">
      <c r="E600" s="435"/>
      <c r="F600" s="435"/>
    </row>
    <row r="601" spans="5:6" ht="21" customHeight="1" x14ac:dyDescent="0.4">
      <c r="E601" s="435"/>
      <c r="F601" s="435"/>
    </row>
    <row r="602" spans="5:6" ht="21" customHeight="1" x14ac:dyDescent="0.4">
      <c r="E602" s="435"/>
      <c r="F602" s="435"/>
    </row>
    <row r="603" spans="5:6" ht="21" customHeight="1" x14ac:dyDescent="0.4">
      <c r="E603" s="435"/>
      <c r="F603" s="435"/>
    </row>
    <row r="604" spans="5:6" ht="21" customHeight="1" x14ac:dyDescent="0.4">
      <c r="E604" s="435"/>
      <c r="F604" s="435"/>
    </row>
    <row r="605" spans="5:6" ht="21" customHeight="1" x14ac:dyDescent="0.4">
      <c r="E605" s="435"/>
      <c r="F605" s="435"/>
    </row>
    <row r="606" spans="5:6" ht="21" customHeight="1" x14ac:dyDescent="0.4">
      <c r="E606" s="435"/>
      <c r="F606" s="435"/>
    </row>
    <row r="607" spans="5:6" ht="21" customHeight="1" x14ac:dyDescent="0.4">
      <c r="E607" s="435"/>
      <c r="F607" s="435"/>
    </row>
    <row r="608" spans="5:6" ht="21" customHeight="1" x14ac:dyDescent="0.4">
      <c r="E608" s="435"/>
      <c r="F608" s="435"/>
    </row>
    <row r="609" spans="5:6" ht="21" customHeight="1" x14ac:dyDescent="0.4">
      <c r="E609" s="435"/>
      <c r="F609" s="435"/>
    </row>
    <row r="610" spans="5:6" ht="21" customHeight="1" x14ac:dyDescent="0.4">
      <c r="E610" s="435"/>
      <c r="F610" s="435"/>
    </row>
    <row r="611" spans="5:6" ht="21" customHeight="1" x14ac:dyDescent="0.4">
      <c r="E611" s="435"/>
      <c r="F611" s="435"/>
    </row>
    <row r="612" spans="5:6" ht="21" customHeight="1" x14ac:dyDescent="0.4">
      <c r="E612" s="435"/>
      <c r="F612" s="435"/>
    </row>
    <row r="613" spans="5:6" ht="21" customHeight="1" x14ac:dyDescent="0.4">
      <c r="E613" s="435"/>
      <c r="F613" s="435"/>
    </row>
    <row r="614" spans="5:6" ht="21" customHeight="1" x14ac:dyDescent="0.4">
      <c r="E614" s="435"/>
      <c r="F614" s="435"/>
    </row>
    <row r="615" spans="5:6" ht="21" customHeight="1" x14ac:dyDescent="0.4">
      <c r="E615" s="435"/>
      <c r="F615" s="435"/>
    </row>
    <row r="616" spans="5:6" ht="21" customHeight="1" x14ac:dyDescent="0.4">
      <c r="E616" s="435"/>
      <c r="F616" s="435"/>
    </row>
    <row r="617" spans="5:6" ht="21" customHeight="1" x14ac:dyDescent="0.4">
      <c r="E617" s="435"/>
      <c r="F617" s="435"/>
    </row>
    <row r="618" spans="5:6" ht="21" customHeight="1" x14ac:dyDescent="0.4">
      <c r="E618" s="435"/>
      <c r="F618" s="435"/>
    </row>
    <row r="619" spans="5:6" ht="21" customHeight="1" x14ac:dyDescent="0.4">
      <c r="E619" s="435"/>
      <c r="F619" s="435"/>
    </row>
    <row r="620" spans="5:6" ht="21" customHeight="1" x14ac:dyDescent="0.4">
      <c r="E620" s="435"/>
      <c r="F620" s="435"/>
    </row>
    <row r="621" spans="5:6" ht="21" customHeight="1" x14ac:dyDescent="0.4">
      <c r="E621" s="435"/>
      <c r="F621" s="435"/>
    </row>
    <row r="622" spans="5:6" ht="21" customHeight="1" x14ac:dyDescent="0.4">
      <c r="E622" s="435"/>
      <c r="F622" s="435"/>
    </row>
    <row r="623" spans="5:6" ht="21" customHeight="1" x14ac:dyDescent="0.4">
      <c r="E623" s="435"/>
      <c r="F623" s="435"/>
    </row>
    <row r="624" spans="5:6" ht="21" customHeight="1" x14ac:dyDescent="0.4">
      <c r="E624" s="435"/>
      <c r="F624" s="435"/>
    </row>
    <row r="625" spans="5:6" ht="21" customHeight="1" x14ac:dyDescent="0.4">
      <c r="E625" s="435"/>
      <c r="F625" s="435"/>
    </row>
    <row r="626" spans="5:6" ht="21" customHeight="1" x14ac:dyDescent="0.4">
      <c r="E626" s="435"/>
      <c r="F626" s="435"/>
    </row>
    <row r="627" spans="5:6" ht="21" customHeight="1" x14ac:dyDescent="0.4">
      <c r="E627" s="435"/>
      <c r="F627" s="435"/>
    </row>
    <row r="628" spans="5:6" ht="21" customHeight="1" x14ac:dyDescent="0.4">
      <c r="E628" s="435"/>
      <c r="F628" s="435"/>
    </row>
    <row r="629" spans="5:6" ht="21" customHeight="1" x14ac:dyDescent="0.4">
      <c r="E629" s="435"/>
      <c r="F629" s="435"/>
    </row>
    <row r="630" spans="5:6" ht="21" customHeight="1" x14ac:dyDescent="0.4">
      <c r="E630" s="435"/>
      <c r="F630" s="435"/>
    </row>
    <row r="631" spans="5:6" ht="21" customHeight="1" x14ac:dyDescent="0.4">
      <c r="E631" s="435"/>
      <c r="F631" s="435"/>
    </row>
    <row r="632" spans="5:6" ht="21" customHeight="1" x14ac:dyDescent="0.4">
      <c r="E632" s="435"/>
      <c r="F632" s="435"/>
    </row>
    <row r="633" spans="5:6" ht="21" customHeight="1" x14ac:dyDescent="0.4">
      <c r="E633" s="435"/>
      <c r="F633" s="435"/>
    </row>
    <row r="634" spans="5:6" ht="21" customHeight="1" x14ac:dyDescent="0.4">
      <c r="E634" s="435"/>
      <c r="F634" s="435"/>
    </row>
    <row r="635" spans="5:6" ht="21" customHeight="1" x14ac:dyDescent="0.4">
      <c r="E635" s="435"/>
      <c r="F635" s="435"/>
    </row>
    <row r="636" spans="5:6" ht="21" customHeight="1" x14ac:dyDescent="0.4">
      <c r="E636" s="435"/>
      <c r="F636" s="435"/>
    </row>
    <row r="637" spans="5:6" ht="21" customHeight="1" x14ac:dyDescent="0.4">
      <c r="E637" s="435"/>
      <c r="F637" s="435"/>
    </row>
    <row r="638" spans="5:6" ht="21" customHeight="1" x14ac:dyDescent="0.4">
      <c r="E638" s="435"/>
      <c r="F638" s="435"/>
    </row>
    <row r="639" spans="5:6" ht="21" customHeight="1" x14ac:dyDescent="0.4">
      <c r="E639" s="435"/>
      <c r="F639" s="435"/>
    </row>
    <row r="640" spans="5:6" ht="21" customHeight="1" x14ac:dyDescent="0.4">
      <c r="E640" s="435"/>
      <c r="F640" s="435"/>
    </row>
    <row r="641" spans="5:6" ht="21" customHeight="1" x14ac:dyDescent="0.4">
      <c r="E641" s="435"/>
      <c r="F641" s="435"/>
    </row>
    <row r="642" spans="5:6" ht="21" customHeight="1" x14ac:dyDescent="0.4">
      <c r="E642" s="435"/>
      <c r="F642" s="435"/>
    </row>
    <row r="643" spans="5:6" ht="21" customHeight="1" x14ac:dyDescent="0.4">
      <c r="E643" s="435"/>
      <c r="F643" s="435"/>
    </row>
    <row r="644" spans="5:6" ht="21" customHeight="1" x14ac:dyDescent="0.4">
      <c r="E644" s="435"/>
      <c r="F644" s="435"/>
    </row>
    <row r="645" spans="5:6" ht="21" customHeight="1" x14ac:dyDescent="0.4">
      <c r="E645" s="435"/>
      <c r="F645" s="435"/>
    </row>
    <row r="646" spans="5:6" ht="21" customHeight="1" x14ac:dyDescent="0.4">
      <c r="E646" s="435"/>
      <c r="F646" s="435"/>
    </row>
    <row r="647" spans="5:6" ht="21" customHeight="1" x14ac:dyDescent="0.4">
      <c r="E647" s="435"/>
      <c r="F647" s="435"/>
    </row>
    <row r="648" spans="5:6" ht="21" customHeight="1" x14ac:dyDescent="0.4">
      <c r="E648" s="435"/>
      <c r="F648" s="435"/>
    </row>
    <row r="649" spans="5:6" ht="21" customHeight="1" x14ac:dyDescent="0.4">
      <c r="E649" s="435"/>
      <c r="F649" s="435"/>
    </row>
    <row r="650" spans="5:6" ht="21" customHeight="1" x14ac:dyDescent="0.4">
      <c r="E650" s="435"/>
      <c r="F650" s="435"/>
    </row>
    <row r="651" spans="5:6" ht="21" customHeight="1" x14ac:dyDescent="0.4">
      <c r="E651" s="435"/>
      <c r="F651" s="435"/>
    </row>
    <row r="652" spans="5:6" ht="21" customHeight="1" x14ac:dyDescent="0.4">
      <c r="E652" s="435"/>
      <c r="F652" s="435"/>
    </row>
    <row r="653" spans="5:6" ht="21" customHeight="1" x14ac:dyDescent="0.4">
      <c r="E653" s="435"/>
      <c r="F653" s="435"/>
    </row>
    <row r="654" spans="5:6" ht="21" customHeight="1" x14ac:dyDescent="0.4">
      <c r="E654" s="435"/>
      <c r="F654" s="435"/>
    </row>
    <row r="655" spans="5:6" ht="21" customHeight="1" x14ac:dyDescent="0.4">
      <c r="E655" s="435"/>
      <c r="F655" s="435"/>
    </row>
    <row r="656" spans="5:6" ht="21" customHeight="1" x14ac:dyDescent="0.4">
      <c r="E656" s="435"/>
      <c r="F656" s="435"/>
    </row>
    <row r="657" spans="5:6" ht="21" customHeight="1" x14ac:dyDescent="0.4">
      <c r="E657" s="435"/>
      <c r="F657" s="435"/>
    </row>
    <row r="658" spans="5:6" ht="21" customHeight="1" x14ac:dyDescent="0.4">
      <c r="E658" s="435"/>
      <c r="F658" s="435"/>
    </row>
    <row r="659" spans="5:6" ht="21" customHeight="1" x14ac:dyDescent="0.4">
      <c r="E659" s="435"/>
      <c r="F659" s="435"/>
    </row>
    <row r="660" spans="5:6" ht="21" customHeight="1" x14ac:dyDescent="0.4">
      <c r="E660" s="435"/>
      <c r="F660" s="435"/>
    </row>
    <row r="661" spans="5:6" ht="21" customHeight="1" x14ac:dyDescent="0.4">
      <c r="E661" s="435"/>
      <c r="F661" s="435"/>
    </row>
    <row r="662" spans="5:6" ht="21" customHeight="1" x14ac:dyDescent="0.4">
      <c r="E662" s="435"/>
      <c r="F662" s="435"/>
    </row>
    <row r="663" spans="5:6" ht="21" customHeight="1" x14ac:dyDescent="0.4">
      <c r="E663" s="435"/>
      <c r="F663" s="435"/>
    </row>
    <row r="664" spans="5:6" ht="21" customHeight="1" x14ac:dyDescent="0.4">
      <c r="E664" s="435"/>
      <c r="F664" s="435"/>
    </row>
    <row r="665" spans="5:6" ht="21" customHeight="1" x14ac:dyDescent="0.4">
      <c r="E665" s="435"/>
      <c r="F665" s="435"/>
    </row>
    <row r="666" spans="5:6" ht="21" customHeight="1" x14ac:dyDescent="0.4">
      <c r="E666" s="435"/>
      <c r="F666" s="435"/>
    </row>
    <row r="667" spans="5:6" ht="21" customHeight="1" x14ac:dyDescent="0.4">
      <c r="E667" s="435"/>
      <c r="F667" s="435"/>
    </row>
    <row r="668" spans="5:6" ht="21" customHeight="1" x14ac:dyDescent="0.4">
      <c r="E668" s="435"/>
      <c r="F668" s="435"/>
    </row>
    <row r="669" spans="5:6" ht="21" customHeight="1" x14ac:dyDescent="0.4">
      <c r="E669" s="435"/>
      <c r="F669" s="435"/>
    </row>
    <row r="670" spans="5:6" ht="21" customHeight="1" x14ac:dyDescent="0.4">
      <c r="E670" s="435"/>
      <c r="F670" s="435"/>
    </row>
    <row r="671" spans="5:6" ht="21" customHeight="1" x14ac:dyDescent="0.4">
      <c r="E671" s="435"/>
      <c r="F671" s="435"/>
    </row>
    <row r="672" spans="5:6" ht="21" customHeight="1" x14ac:dyDescent="0.4">
      <c r="E672" s="435"/>
      <c r="F672" s="435"/>
    </row>
    <row r="673" spans="5:6" ht="21" customHeight="1" x14ac:dyDescent="0.4">
      <c r="E673" s="435"/>
      <c r="F673" s="435"/>
    </row>
    <row r="674" spans="5:6" ht="21" customHeight="1" x14ac:dyDescent="0.4">
      <c r="E674" s="435"/>
      <c r="F674" s="435"/>
    </row>
    <row r="675" spans="5:6" ht="21" customHeight="1" x14ac:dyDescent="0.4">
      <c r="E675" s="435"/>
      <c r="F675" s="435"/>
    </row>
    <row r="676" spans="5:6" ht="21" customHeight="1" x14ac:dyDescent="0.4">
      <c r="E676" s="435"/>
      <c r="F676" s="435"/>
    </row>
    <row r="677" spans="5:6" ht="21" customHeight="1" x14ac:dyDescent="0.4">
      <c r="E677" s="435"/>
      <c r="F677" s="435"/>
    </row>
    <row r="678" spans="5:6" ht="21" customHeight="1" x14ac:dyDescent="0.4">
      <c r="E678" s="435"/>
      <c r="F678" s="435"/>
    </row>
    <row r="679" spans="5:6" ht="21" customHeight="1" x14ac:dyDescent="0.4">
      <c r="E679" s="435"/>
      <c r="F679" s="435"/>
    </row>
    <row r="680" spans="5:6" ht="21" customHeight="1" x14ac:dyDescent="0.4">
      <c r="E680" s="435"/>
      <c r="F680" s="435"/>
    </row>
    <row r="681" spans="5:6" ht="21" customHeight="1" x14ac:dyDescent="0.4">
      <c r="E681" s="435"/>
      <c r="F681" s="435"/>
    </row>
    <row r="682" spans="5:6" ht="21" customHeight="1" x14ac:dyDescent="0.4">
      <c r="E682" s="435"/>
      <c r="F682" s="435"/>
    </row>
    <row r="683" spans="5:6" ht="21" customHeight="1" x14ac:dyDescent="0.4">
      <c r="E683" s="435"/>
      <c r="F683" s="435"/>
    </row>
    <row r="684" spans="5:6" ht="21" customHeight="1" x14ac:dyDescent="0.4">
      <c r="E684" s="435"/>
      <c r="F684" s="435"/>
    </row>
    <row r="685" spans="5:6" ht="21" customHeight="1" x14ac:dyDescent="0.4">
      <c r="E685" s="435"/>
      <c r="F685" s="435"/>
    </row>
    <row r="686" spans="5:6" ht="21" customHeight="1" x14ac:dyDescent="0.4">
      <c r="E686" s="435"/>
      <c r="F686" s="435"/>
    </row>
    <row r="687" spans="5:6" ht="21" customHeight="1" x14ac:dyDescent="0.4">
      <c r="E687" s="435"/>
      <c r="F687" s="435"/>
    </row>
    <row r="688" spans="5:6" ht="21" customHeight="1" x14ac:dyDescent="0.4">
      <c r="E688" s="435"/>
      <c r="F688" s="435"/>
    </row>
    <row r="689" spans="5:6" ht="21" customHeight="1" x14ac:dyDescent="0.4">
      <c r="E689" s="435"/>
      <c r="F689" s="435"/>
    </row>
    <row r="690" spans="5:6" ht="21" customHeight="1" x14ac:dyDescent="0.4">
      <c r="E690" s="435"/>
      <c r="F690" s="435"/>
    </row>
    <row r="691" spans="5:6" ht="21" customHeight="1" x14ac:dyDescent="0.4">
      <c r="E691" s="435"/>
      <c r="F691" s="435"/>
    </row>
    <row r="692" spans="5:6" ht="21" customHeight="1" x14ac:dyDescent="0.4">
      <c r="E692" s="435"/>
      <c r="F692" s="435"/>
    </row>
    <row r="693" spans="5:6" ht="21" customHeight="1" x14ac:dyDescent="0.4">
      <c r="E693" s="435"/>
      <c r="F693" s="435"/>
    </row>
    <row r="694" spans="5:6" ht="21" customHeight="1" x14ac:dyDescent="0.4">
      <c r="E694" s="435"/>
      <c r="F694" s="435"/>
    </row>
    <row r="695" spans="5:6" ht="21" customHeight="1" x14ac:dyDescent="0.4">
      <c r="E695" s="435"/>
      <c r="F695" s="435"/>
    </row>
    <row r="696" spans="5:6" ht="21" customHeight="1" x14ac:dyDescent="0.4">
      <c r="E696" s="435"/>
      <c r="F696" s="435"/>
    </row>
    <row r="697" spans="5:6" ht="21" customHeight="1" x14ac:dyDescent="0.4">
      <c r="E697" s="435"/>
      <c r="F697" s="435"/>
    </row>
    <row r="698" spans="5:6" ht="21" customHeight="1" x14ac:dyDescent="0.4">
      <c r="E698" s="435"/>
      <c r="F698" s="435"/>
    </row>
    <row r="699" spans="5:6" ht="21" customHeight="1" x14ac:dyDescent="0.4">
      <c r="E699" s="435"/>
      <c r="F699" s="435"/>
    </row>
    <row r="700" spans="5:6" ht="21" customHeight="1" x14ac:dyDescent="0.4">
      <c r="E700" s="435"/>
      <c r="F700" s="435"/>
    </row>
    <row r="701" spans="5:6" ht="21" customHeight="1" x14ac:dyDescent="0.4">
      <c r="E701" s="435"/>
      <c r="F701" s="435"/>
    </row>
    <row r="702" spans="5:6" ht="21" customHeight="1" x14ac:dyDescent="0.4">
      <c r="E702" s="435"/>
      <c r="F702" s="435"/>
    </row>
    <row r="703" spans="5:6" ht="21" customHeight="1" x14ac:dyDescent="0.4">
      <c r="E703" s="435"/>
      <c r="F703" s="435"/>
    </row>
    <row r="704" spans="5:6" ht="21" customHeight="1" x14ac:dyDescent="0.4">
      <c r="E704" s="435"/>
      <c r="F704" s="435"/>
    </row>
    <row r="705" spans="5:6" ht="21" customHeight="1" x14ac:dyDescent="0.4">
      <c r="E705" s="435"/>
      <c r="F705" s="435"/>
    </row>
    <row r="706" spans="5:6" ht="21" customHeight="1" x14ac:dyDescent="0.4">
      <c r="E706" s="435"/>
      <c r="F706" s="435"/>
    </row>
    <row r="707" spans="5:6" ht="21" customHeight="1" x14ac:dyDescent="0.4">
      <c r="E707" s="435"/>
      <c r="F707" s="435"/>
    </row>
    <row r="708" spans="5:6" ht="21" customHeight="1" x14ac:dyDescent="0.4">
      <c r="E708" s="435"/>
      <c r="F708" s="435"/>
    </row>
    <row r="709" spans="5:6" ht="21" customHeight="1" x14ac:dyDescent="0.4">
      <c r="E709" s="435"/>
      <c r="F709" s="435"/>
    </row>
    <row r="710" spans="5:6" ht="21" customHeight="1" x14ac:dyDescent="0.4">
      <c r="E710" s="435"/>
      <c r="F710" s="435"/>
    </row>
    <row r="711" spans="5:6" ht="21" customHeight="1" x14ac:dyDescent="0.4">
      <c r="E711" s="435"/>
      <c r="F711" s="435"/>
    </row>
    <row r="712" spans="5:6" ht="21" customHeight="1" x14ac:dyDescent="0.4">
      <c r="E712" s="435"/>
      <c r="F712" s="435"/>
    </row>
    <row r="713" spans="5:6" ht="21" customHeight="1" x14ac:dyDescent="0.4">
      <c r="E713" s="435"/>
      <c r="F713" s="435"/>
    </row>
    <row r="714" spans="5:6" ht="21" customHeight="1" x14ac:dyDescent="0.4">
      <c r="E714" s="435"/>
      <c r="F714" s="435"/>
    </row>
    <row r="715" spans="5:6" ht="21" customHeight="1" x14ac:dyDescent="0.4">
      <c r="E715" s="435"/>
      <c r="F715" s="435"/>
    </row>
    <row r="716" spans="5:6" ht="21" customHeight="1" x14ac:dyDescent="0.4">
      <c r="E716" s="435"/>
      <c r="F716" s="435"/>
    </row>
    <row r="717" spans="5:6" ht="21" customHeight="1" x14ac:dyDescent="0.4">
      <c r="E717" s="435"/>
      <c r="F717" s="435"/>
    </row>
    <row r="718" spans="5:6" ht="21" customHeight="1" x14ac:dyDescent="0.4">
      <c r="E718" s="435"/>
      <c r="F718" s="435"/>
    </row>
    <row r="719" spans="5:6" ht="21" customHeight="1" x14ac:dyDescent="0.4">
      <c r="E719" s="435"/>
      <c r="F719" s="435"/>
    </row>
    <row r="720" spans="5:6" ht="21" customHeight="1" x14ac:dyDescent="0.4">
      <c r="E720" s="435"/>
      <c r="F720" s="435"/>
    </row>
    <row r="721" spans="5:6" ht="21" customHeight="1" x14ac:dyDescent="0.4">
      <c r="E721" s="435"/>
      <c r="F721" s="435"/>
    </row>
    <row r="722" spans="5:6" ht="21" customHeight="1" x14ac:dyDescent="0.4">
      <c r="E722" s="435"/>
      <c r="F722" s="435"/>
    </row>
    <row r="723" spans="5:6" ht="21" customHeight="1" x14ac:dyDescent="0.4">
      <c r="E723" s="435"/>
      <c r="F723" s="435"/>
    </row>
    <row r="724" spans="5:6" ht="21" customHeight="1" x14ac:dyDescent="0.4">
      <c r="E724" s="435"/>
      <c r="F724" s="435"/>
    </row>
    <row r="725" spans="5:6" ht="21" customHeight="1" x14ac:dyDescent="0.4">
      <c r="E725" s="435"/>
      <c r="F725" s="435"/>
    </row>
    <row r="726" spans="5:6" ht="21" customHeight="1" x14ac:dyDescent="0.4">
      <c r="E726" s="435"/>
      <c r="F726" s="435"/>
    </row>
    <row r="727" spans="5:6" ht="21" customHeight="1" x14ac:dyDescent="0.4">
      <c r="E727" s="435"/>
      <c r="F727" s="435"/>
    </row>
    <row r="728" spans="5:6" ht="21" customHeight="1" x14ac:dyDescent="0.4">
      <c r="E728" s="435"/>
      <c r="F728" s="435"/>
    </row>
    <row r="729" spans="5:6" ht="21" customHeight="1" x14ac:dyDescent="0.4">
      <c r="E729" s="435"/>
      <c r="F729" s="435"/>
    </row>
    <row r="730" spans="5:6" ht="21" customHeight="1" x14ac:dyDescent="0.4">
      <c r="E730" s="435"/>
      <c r="F730" s="435"/>
    </row>
    <row r="731" spans="5:6" ht="21" customHeight="1" x14ac:dyDescent="0.4">
      <c r="E731" s="435"/>
      <c r="F731" s="435"/>
    </row>
    <row r="732" spans="5:6" ht="21" customHeight="1" x14ac:dyDescent="0.4">
      <c r="E732" s="435"/>
      <c r="F732" s="435"/>
    </row>
    <row r="733" spans="5:6" ht="21" customHeight="1" x14ac:dyDescent="0.4">
      <c r="E733" s="435"/>
      <c r="F733" s="435"/>
    </row>
    <row r="734" spans="5:6" ht="21" customHeight="1" x14ac:dyDescent="0.4">
      <c r="E734" s="435"/>
      <c r="F734" s="435"/>
    </row>
    <row r="735" spans="5:6" ht="21" customHeight="1" x14ac:dyDescent="0.4">
      <c r="E735" s="435"/>
      <c r="F735" s="435"/>
    </row>
    <row r="736" spans="5:6" ht="21" customHeight="1" x14ac:dyDescent="0.4">
      <c r="E736" s="435"/>
      <c r="F736" s="435"/>
    </row>
    <row r="737" spans="5:6" ht="21" customHeight="1" x14ac:dyDescent="0.4">
      <c r="E737" s="435"/>
      <c r="F737" s="435"/>
    </row>
    <row r="738" spans="5:6" ht="21" customHeight="1" x14ac:dyDescent="0.4">
      <c r="E738" s="435"/>
      <c r="F738" s="435"/>
    </row>
    <row r="739" spans="5:6" ht="21" customHeight="1" x14ac:dyDescent="0.4">
      <c r="E739" s="435"/>
      <c r="F739" s="435"/>
    </row>
    <row r="740" spans="5:6" ht="21" customHeight="1" x14ac:dyDescent="0.4">
      <c r="E740" s="435"/>
      <c r="F740" s="435"/>
    </row>
    <row r="741" spans="5:6" ht="21" customHeight="1" x14ac:dyDescent="0.4">
      <c r="E741" s="435"/>
      <c r="F741" s="435"/>
    </row>
    <row r="742" spans="5:6" ht="21" customHeight="1" x14ac:dyDescent="0.4">
      <c r="E742" s="435"/>
      <c r="F742" s="435"/>
    </row>
    <row r="743" spans="5:6" ht="21" customHeight="1" x14ac:dyDescent="0.4">
      <c r="E743" s="435"/>
      <c r="F743" s="435"/>
    </row>
    <row r="744" spans="5:6" ht="21" customHeight="1" x14ac:dyDescent="0.4">
      <c r="E744" s="435"/>
      <c r="F744" s="435"/>
    </row>
    <row r="745" spans="5:6" ht="21" customHeight="1" x14ac:dyDescent="0.4">
      <c r="E745" s="435"/>
      <c r="F745" s="435"/>
    </row>
    <row r="746" spans="5:6" ht="21" customHeight="1" x14ac:dyDescent="0.4">
      <c r="E746" s="435"/>
      <c r="F746" s="435"/>
    </row>
    <row r="747" spans="5:6" ht="21" customHeight="1" x14ac:dyDescent="0.4">
      <c r="E747" s="435"/>
      <c r="F747" s="435"/>
    </row>
    <row r="748" spans="5:6" ht="21" customHeight="1" x14ac:dyDescent="0.4">
      <c r="E748" s="435"/>
      <c r="F748" s="435"/>
    </row>
    <row r="749" spans="5:6" ht="21" customHeight="1" x14ac:dyDescent="0.4">
      <c r="E749" s="435"/>
      <c r="F749" s="435"/>
    </row>
    <row r="750" spans="5:6" ht="21" customHeight="1" x14ac:dyDescent="0.4">
      <c r="E750" s="435"/>
      <c r="F750" s="435"/>
    </row>
    <row r="751" spans="5:6" ht="21" customHeight="1" x14ac:dyDescent="0.4">
      <c r="E751" s="435"/>
      <c r="F751" s="435"/>
    </row>
    <row r="752" spans="5:6" ht="21" customHeight="1" x14ac:dyDescent="0.4">
      <c r="E752" s="435"/>
      <c r="F752" s="435"/>
    </row>
    <row r="753" spans="5:6" ht="21" customHeight="1" x14ac:dyDescent="0.4">
      <c r="E753" s="435"/>
      <c r="F753" s="435"/>
    </row>
    <row r="754" spans="5:6" ht="21" customHeight="1" x14ac:dyDescent="0.4">
      <c r="E754" s="435"/>
      <c r="F754" s="435"/>
    </row>
    <row r="755" spans="5:6" ht="21" customHeight="1" x14ac:dyDescent="0.4">
      <c r="E755" s="435"/>
      <c r="F755" s="435"/>
    </row>
    <row r="756" spans="5:6" ht="21" customHeight="1" x14ac:dyDescent="0.4">
      <c r="E756" s="435"/>
      <c r="F756" s="435"/>
    </row>
    <row r="757" spans="5:6" ht="21" customHeight="1" x14ac:dyDescent="0.4">
      <c r="E757" s="435"/>
      <c r="F757" s="435"/>
    </row>
    <row r="758" spans="5:6" ht="21" customHeight="1" x14ac:dyDescent="0.4">
      <c r="E758" s="435"/>
      <c r="F758" s="435"/>
    </row>
    <row r="759" spans="5:6" ht="21" customHeight="1" x14ac:dyDescent="0.4">
      <c r="E759" s="435"/>
      <c r="F759" s="435"/>
    </row>
    <row r="760" spans="5:6" ht="21" customHeight="1" x14ac:dyDescent="0.4">
      <c r="E760" s="435"/>
      <c r="F760" s="435"/>
    </row>
    <row r="761" spans="5:6" ht="21" customHeight="1" x14ac:dyDescent="0.4">
      <c r="E761" s="435"/>
      <c r="F761" s="435"/>
    </row>
    <row r="762" spans="5:6" ht="21" customHeight="1" x14ac:dyDescent="0.4">
      <c r="E762" s="435"/>
      <c r="F762" s="435"/>
    </row>
    <row r="763" spans="5:6" ht="21" customHeight="1" x14ac:dyDescent="0.4">
      <c r="E763" s="435"/>
      <c r="F763" s="435"/>
    </row>
    <row r="764" spans="5:6" ht="21" customHeight="1" x14ac:dyDescent="0.4">
      <c r="E764" s="435"/>
      <c r="F764" s="435"/>
    </row>
    <row r="765" spans="5:6" ht="21" customHeight="1" x14ac:dyDescent="0.4">
      <c r="E765" s="435"/>
      <c r="F765" s="435"/>
    </row>
    <row r="766" spans="5:6" ht="21" customHeight="1" x14ac:dyDescent="0.4">
      <c r="E766" s="435"/>
      <c r="F766" s="435"/>
    </row>
    <row r="767" spans="5:6" ht="21" customHeight="1" x14ac:dyDescent="0.4">
      <c r="E767" s="435"/>
      <c r="F767" s="435"/>
    </row>
    <row r="768" spans="5:6" ht="21" customHeight="1" x14ac:dyDescent="0.4">
      <c r="E768" s="435"/>
      <c r="F768" s="435"/>
    </row>
    <row r="769" spans="5:6" ht="21" customHeight="1" x14ac:dyDescent="0.4">
      <c r="E769" s="435"/>
      <c r="F769" s="435"/>
    </row>
    <row r="770" spans="5:6" ht="21" customHeight="1" x14ac:dyDescent="0.4">
      <c r="E770" s="435"/>
      <c r="F770" s="435"/>
    </row>
    <row r="771" spans="5:6" ht="21" customHeight="1" x14ac:dyDescent="0.4">
      <c r="E771" s="435"/>
      <c r="F771" s="435"/>
    </row>
    <row r="772" spans="5:6" ht="21" customHeight="1" x14ac:dyDescent="0.4">
      <c r="E772" s="435"/>
      <c r="F772" s="435"/>
    </row>
    <row r="773" spans="5:6" ht="21" customHeight="1" x14ac:dyDescent="0.4">
      <c r="E773" s="435"/>
      <c r="F773" s="435"/>
    </row>
    <row r="774" spans="5:6" ht="21" customHeight="1" x14ac:dyDescent="0.4">
      <c r="E774" s="435"/>
      <c r="F774" s="435"/>
    </row>
    <row r="775" spans="5:6" ht="21" customHeight="1" x14ac:dyDescent="0.4">
      <c r="E775" s="435"/>
      <c r="F775" s="435"/>
    </row>
    <row r="776" spans="5:6" ht="21" customHeight="1" x14ac:dyDescent="0.4">
      <c r="E776" s="435"/>
      <c r="F776" s="435"/>
    </row>
    <row r="777" spans="5:6" ht="21" customHeight="1" x14ac:dyDescent="0.4">
      <c r="E777" s="435"/>
      <c r="F777" s="435"/>
    </row>
    <row r="778" spans="5:6" ht="21" customHeight="1" x14ac:dyDescent="0.4">
      <c r="E778" s="435"/>
      <c r="F778" s="435"/>
    </row>
    <row r="779" spans="5:6" ht="21" customHeight="1" x14ac:dyDescent="0.4">
      <c r="E779" s="435"/>
      <c r="F779" s="435"/>
    </row>
    <row r="780" spans="5:6" ht="21" customHeight="1" x14ac:dyDescent="0.4">
      <c r="E780" s="435"/>
      <c r="F780" s="435"/>
    </row>
    <row r="781" spans="5:6" ht="21" customHeight="1" x14ac:dyDescent="0.4">
      <c r="E781" s="435"/>
      <c r="F781" s="435"/>
    </row>
    <row r="782" spans="5:6" ht="21" customHeight="1" x14ac:dyDescent="0.4">
      <c r="E782" s="435"/>
      <c r="F782" s="435"/>
    </row>
    <row r="783" spans="5:6" ht="21" customHeight="1" x14ac:dyDescent="0.4">
      <c r="E783" s="435"/>
      <c r="F783" s="435"/>
    </row>
    <row r="784" spans="5:6" ht="21" customHeight="1" x14ac:dyDescent="0.4">
      <c r="E784" s="435"/>
      <c r="F784" s="435"/>
    </row>
    <row r="785" spans="5:6" ht="21" customHeight="1" x14ac:dyDescent="0.4">
      <c r="E785" s="435"/>
      <c r="F785" s="435"/>
    </row>
    <row r="786" spans="5:6" ht="21" customHeight="1" x14ac:dyDescent="0.4">
      <c r="E786" s="435"/>
      <c r="F786" s="435"/>
    </row>
    <row r="787" spans="5:6" ht="21" customHeight="1" x14ac:dyDescent="0.4">
      <c r="E787" s="435"/>
      <c r="F787" s="435"/>
    </row>
    <row r="788" spans="5:6" ht="21" customHeight="1" x14ac:dyDescent="0.4">
      <c r="E788" s="435"/>
      <c r="F788" s="435"/>
    </row>
    <row r="789" spans="5:6" ht="21" customHeight="1" x14ac:dyDescent="0.4">
      <c r="E789" s="435"/>
      <c r="F789" s="435"/>
    </row>
    <row r="790" spans="5:6" ht="21" customHeight="1" x14ac:dyDescent="0.4">
      <c r="E790" s="435"/>
      <c r="F790" s="435"/>
    </row>
    <row r="791" spans="5:6" ht="21" customHeight="1" x14ac:dyDescent="0.4">
      <c r="E791" s="435"/>
      <c r="F791" s="435"/>
    </row>
    <row r="792" spans="5:6" ht="21" customHeight="1" x14ac:dyDescent="0.4">
      <c r="E792" s="435"/>
      <c r="F792" s="435"/>
    </row>
    <row r="793" spans="5:6" ht="21" customHeight="1" x14ac:dyDescent="0.4">
      <c r="E793" s="435"/>
      <c r="F793" s="435"/>
    </row>
    <row r="794" spans="5:6" ht="21" customHeight="1" x14ac:dyDescent="0.4">
      <c r="E794" s="435"/>
      <c r="F794" s="435"/>
    </row>
    <row r="795" spans="5:6" ht="21" customHeight="1" x14ac:dyDescent="0.4">
      <c r="E795" s="435"/>
      <c r="F795" s="435"/>
    </row>
    <row r="796" spans="5:6" ht="21" customHeight="1" x14ac:dyDescent="0.4">
      <c r="E796" s="435"/>
      <c r="F796" s="435"/>
    </row>
    <row r="797" spans="5:6" ht="21" customHeight="1" x14ac:dyDescent="0.4">
      <c r="E797" s="435"/>
      <c r="F797" s="435"/>
    </row>
    <row r="798" spans="5:6" ht="21" customHeight="1" x14ac:dyDescent="0.4">
      <c r="E798" s="435"/>
      <c r="F798" s="435"/>
    </row>
    <row r="799" spans="5:6" ht="21" customHeight="1" x14ac:dyDescent="0.4">
      <c r="E799" s="435"/>
      <c r="F799" s="435"/>
    </row>
    <row r="800" spans="5:6" ht="21" customHeight="1" x14ac:dyDescent="0.4">
      <c r="E800" s="435"/>
      <c r="F800" s="435"/>
    </row>
    <row r="801" spans="5:6" ht="21" customHeight="1" x14ac:dyDescent="0.4">
      <c r="E801" s="435"/>
      <c r="F801" s="435"/>
    </row>
    <row r="802" spans="5:6" ht="21" customHeight="1" x14ac:dyDescent="0.4">
      <c r="E802" s="435"/>
      <c r="F802" s="435"/>
    </row>
    <row r="803" spans="5:6" ht="21" customHeight="1" x14ac:dyDescent="0.4">
      <c r="E803" s="435"/>
      <c r="F803" s="435"/>
    </row>
    <row r="804" spans="5:6" ht="21" customHeight="1" x14ac:dyDescent="0.4">
      <c r="E804" s="435"/>
      <c r="F804" s="435"/>
    </row>
    <row r="805" spans="5:6" ht="21" customHeight="1" x14ac:dyDescent="0.4">
      <c r="E805" s="435"/>
      <c r="F805" s="435"/>
    </row>
    <row r="806" spans="5:6" ht="21" customHeight="1" x14ac:dyDescent="0.4">
      <c r="E806" s="435"/>
      <c r="F806" s="435"/>
    </row>
    <row r="807" spans="5:6" ht="21" customHeight="1" x14ac:dyDescent="0.4">
      <c r="E807" s="435"/>
      <c r="F807" s="435"/>
    </row>
    <row r="808" spans="5:6" ht="21" customHeight="1" x14ac:dyDescent="0.4">
      <c r="E808" s="435"/>
      <c r="F808" s="435"/>
    </row>
    <row r="809" spans="5:6" ht="21" customHeight="1" x14ac:dyDescent="0.4">
      <c r="E809" s="435"/>
      <c r="F809" s="435"/>
    </row>
    <row r="810" spans="5:6" ht="21" customHeight="1" x14ac:dyDescent="0.4">
      <c r="E810" s="435"/>
      <c r="F810" s="435"/>
    </row>
    <row r="811" spans="5:6" ht="21" customHeight="1" x14ac:dyDescent="0.4">
      <c r="E811" s="435"/>
      <c r="F811" s="435"/>
    </row>
    <row r="812" spans="5:6" ht="21" customHeight="1" x14ac:dyDescent="0.4">
      <c r="E812" s="435"/>
      <c r="F812" s="435"/>
    </row>
    <row r="813" spans="5:6" ht="21" customHeight="1" x14ac:dyDescent="0.4">
      <c r="E813" s="435"/>
      <c r="F813" s="435"/>
    </row>
    <row r="814" spans="5:6" ht="21" customHeight="1" x14ac:dyDescent="0.4">
      <c r="E814" s="435"/>
      <c r="F814" s="435"/>
    </row>
    <row r="815" spans="5:6" ht="21" customHeight="1" x14ac:dyDescent="0.4">
      <c r="E815" s="435"/>
      <c r="F815" s="435"/>
    </row>
    <row r="816" spans="5:6" ht="21" customHeight="1" x14ac:dyDescent="0.4">
      <c r="E816" s="435"/>
      <c r="F816" s="435"/>
    </row>
    <row r="817" spans="5:6" ht="21" customHeight="1" x14ac:dyDescent="0.4">
      <c r="E817" s="435"/>
      <c r="F817" s="435"/>
    </row>
    <row r="818" spans="5:6" ht="21" customHeight="1" x14ac:dyDescent="0.4">
      <c r="E818" s="435"/>
      <c r="F818" s="435"/>
    </row>
    <row r="819" spans="5:6" ht="21" customHeight="1" x14ac:dyDescent="0.4">
      <c r="E819" s="435"/>
      <c r="F819" s="435"/>
    </row>
    <row r="820" spans="5:6" ht="21" customHeight="1" x14ac:dyDescent="0.4">
      <c r="E820" s="435"/>
      <c r="F820" s="435"/>
    </row>
    <row r="821" spans="5:6" ht="21" customHeight="1" x14ac:dyDescent="0.4">
      <c r="E821" s="435"/>
      <c r="F821" s="435"/>
    </row>
    <row r="822" spans="5:6" ht="21" customHeight="1" x14ac:dyDescent="0.4">
      <c r="E822" s="435"/>
      <c r="F822" s="435"/>
    </row>
    <row r="823" spans="5:6" ht="21" customHeight="1" x14ac:dyDescent="0.4">
      <c r="E823" s="435"/>
      <c r="F823" s="435"/>
    </row>
    <row r="824" spans="5:6" ht="21" customHeight="1" x14ac:dyDescent="0.4">
      <c r="E824" s="435"/>
      <c r="F824" s="435"/>
    </row>
    <row r="825" spans="5:6" ht="21" customHeight="1" x14ac:dyDescent="0.4">
      <c r="E825" s="435"/>
      <c r="F825" s="435"/>
    </row>
    <row r="826" spans="5:6" ht="21" customHeight="1" x14ac:dyDescent="0.4">
      <c r="E826" s="435"/>
      <c r="F826" s="435"/>
    </row>
    <row r="827" spans="5:6" ht="21" customHeight="1" x14ac:dyDescent="0.4">
      <c r="E827" s="435"/>
      <c r="F827" s="435"/>
    </row>
    <row r="828" spans="5:6" ht="21" customHeight="1" x14ac:dyDescent="0.4">
      <c r="E828" s="435"/>
      <c r="F828" s="435"/>
    </row>
    <row r="829" spans="5:6" ht="21" customHeight="1" x14ac:dyDescent="0.4">
      <c r="E829" s="435"/>
      <c r="F829" s="435"/>
    </row>
    <row r="830" spans="5:6" ht="21" customHeight="1" x14ac:dyDescent="0.4">
      <c r="E830" s="435"/>
      <c r="F830" s="435"/>
    </row>
    <row r="831" spans="5:6" ht="21" customHeight="1" x14ac:dyDescent="0.4">
      <c r="E831" s="435"/>
      <c r="F831" s="435"/>
    </row>
    <row r="832" spans="5:6" ht="21" customHeight="1" x14ac:dyDescent="0.4">
      <c r="E832" s="435"/>
      <c r="F832" s="435"/>
    </row>
    <row r="833" spans="5:6" ht="21" customHeight="1" x14ac:dyDescent="0.4">
      <c r="E833" s="435"/>
      <c r="F833" s="435"/>
    </row>
    <row r="834" spans="5:6" ht="21" customHeight="1" x14ac:dyDescent="0.4">
      <c r="E834" s="435"/>
      <c r="F834" s="435"/>
    </row>
    <row r="835" spans="5:6" ht="21" customHeight="1" x14ac:dyDescent="0.4">
      <c r="E835" s="435"/>
      <c r="F835" s="435"/>
    </row>
    <row r="836" spans="5:6" ht="21" customHeight="1" x14ac:dyDescent="0.4">
      <c r="E836" s="435"/>
      <c r="F836" s="435"/>
    </row>
    <row r="837" spans="5:6" ht="21" customHeight="1" x14ac:dyDescent="0.4">
      <c r="E837" s="435"/>
      <c r="F837" s="435"/>
    </row>
    <row r="838" spans="5:6" ht="21" customHeight="1" x14ac:dyDescent="0.4">
      <c r="E838" s="435"/>
      <c r="F838" s="435"/>
    </row>
    <row r="839" spans="5:6" ht="21" customHeight="1" x14ac:dyDescent="0.4">
      <c r="E839" s="435"/>
      <c r="F839" s="435"/>
    </row>
    <row r="840" spans="5:6" ht="21" customHeight="1" x14ac:dyDescent="0.4">
      <c r="E840" s="435"/>
      <c r="F840" s="435"/>
    </row>
    <row r="841" spans="5:6" ht="21" customHeight="1" x14ac:dyDescent="0.4">
      <c r="E841" s="435"/>
      <c r="F841" s="435"/>
    </row>
    <row r="842" spans="5:6" ht="21" customHeight="1" x14ac:dyDescent="0.4">
      <c r="E842" s="435"/>
      <c r="F842" s="435"/>
    </row>
    <row r="843" spans="5:6" ht="21" customHeight="1" x14ac:dyDescent="0.4">
      <c r="E843" s="435"/>
      <c r="F843" s="435"/>
    </row>
    <row r="844" spans="5:6" ht="21" customHeight="1" x14ac:dyDescent="0.4">
      <c r="E844" s="435"/>
      <c r="F844" s="435"/>
    </row>
    <row r="845" spans="5:6" ht="21" customHeight="1" x14ac:dyDescent="0.4">
      <c r="E845" s="435"/>
      <c r="F845" s="435"/>
    </row>
    <row r="846" spans="5:6" ht="21" customHeight="1" x14ac:dyDescent="0.4">
      <c r="E846" s="435"/>
      <c r="F846" s="435"/>
    </row>
    <row r="847" spans="5:6" ht="21" customHeight="1" x14ac:dyDescent="0.4">
      <c r="E847" s="435"/>
      <c r="F847" s="435"/>
    </row>
    <row r="848" spans="5:6" ht="21" customHeight="1" x14ac:dyDescent="0.4">
      <c r="E848" s="435"/>
      <c r="F848" s="435"/>
    </row>
    <row r="849" spans="5:6" ht="21" customHeight="1" x14ac:dyDescent="0.4">
      <c r="E849" s="435"/>
      <c r="F849" s="435"/>
    </row>
    <row r="850" spans="5:6" ht="21" customHeight="1" x14ac:dyDescent="0.4">
      <c r="E850" s="435"/>
      <c r="F850" s="435"/>
    </row>
    <row r="851" spans="5:6" ht="21" customHeight="1" x14ac:dyDescent="0.4">
      <c r="E851" s="435"/>
      <c r="F851" s="435"/>
    </row>
    <row r="852" spans="5:6" ht="21" customHeight="1" x14ac:dyDescent="0.4">
      <c r="E852" s="435"/>
      <c r="F852" s="435"/>
    </row>
    <row r="853" spans="5:6" ht="21" customHeight="1" x14ac:dyDescent="0.4">
      <c r="E853" s="435"/>
      <c r="F853" s="435"/>
    </row>
    <row r="854" spans="5:6" ht="21" customHeight="1" x14ac:dyDescent="0.4">
      <c r="E854" s="435"/>
      <c r="F854" s="435"/>
    </row>
    <row r="855" spans="5:6" ht="21" customHeight="1" x14ac:dyDescent="0.4">
      <c r="E855" s="435"/>
      <c r="F855" s="435"/>
    </row>
    <row r="856" spans="5:6" ht="21" customHeight="1" x14ac:dyDescent="0.4">
      <c r="E856" s="435"/>
      <c r="F856" s="435"/>
    </row>
    <row r="857" spans="5:6" ht="21" customHeight="1" x14ac:dyDescent="0.4">
      <c r="E857" s="435"/>
      <c r="F857" s="435"/>
    </row>
    <row r="858" spans="5:6" ht="21" customHeight="1" x14ac:dyDescent="0.4">
      <c r="E858" s="435"/>
      <c r="F858" s="435"/>
    </row>
    <row r="859" spans="5:6" ht="21" customHeight="1" x14ac:dyDescent="0.4">
      <c r="E859" s="435"/>
      <c r="F859" s="435"/>
    </row>
    <row r="860" spans="5:6" ht="21" customHeight="1" x14ac:dyDescent="0.4">
      <c r="E860" s="435"/>
      <c r="F860" s="435"/>
    </row>
    <row r="861" spans="5:6" ht="21" customHeight="1" x14ac:dyDescent="0.4">
      <c r="E861" s="435"/>
      <c r="F861" s="435"/>
    </row>
    <row r="862" spans="5:6" ht="21" customHeight="1" x14ac:dyDescent="0.4">
      <c r="E862" s="435"/>
      <c r="F862" s="435"/>
    </row>
    <row r="863" spans="5:6" ht="21" customHeight="1" x14ac:dyDescent="0.4">
      <c r="E863" s="435"/>
      <c r="F863" s="435"/>
    </row>
    <row r="864" spans="5:6" ht="21" customHeight="1" x14ac:dyDescent="0.4">
      <c r="E864" s="435"/>
      <c r="F864" s="435"/>
    </row>
    <row r="865" spans="5:6" ht="21" customHeight="1" x14ac:dyDescent="0.4">
      <c r="E865" s="435"/>
      <c r="F865" s="435"/>
    </row>
    <row r="866" spans="5:6" ht="21" customHeight="1" x14ac:dyDescent="0.4">
      <c r="E866" s="435"/>
      <c r="F866" s="435"/>
    </row>
    <row r="867" spans="5:6" ht="21" customHeight="1" x14ac:dyDescent="0.4">
      <c r="E867" s="435"/>
      <c r="F867" s="435"/>
    </row>
    <row r="868" spans="5:6" ht="21" customHeight="1" x14ac:dyDescent="0.4">
      <c r="E868" s="435"/>
      <c r="F868" s="435"/>
    </row>
    <row r="869" spans="5:6" ht="21" customHeight="1" x14ac:dyDescent="0.4">
      <c r="E869" s="435"/>
      <c r="F869" s="435"/>
    </row>
    <row r="870" spans="5:6" ht="21" customHeight="1" x14ac:dyDescent="0.4">
      <c r="E870" s="435"/>
      <c r="F870" s="435"/>
    </row>
    <row r="871" spans="5:6" ht="21" customHeight="1" x14ac:dyDescent="0.4">
      <c r="E871" s="435"/>
      <c r="F871" s="435"/>
    </row>
    <row r="872" spans="5:6" ht="21" customHeight="1" x14ac:dyDescent="0.4">
      <c r="E872" s="435"/>
      <c r="F872" s="435"/>
    </row>
    <row r="873" spans="5:6" ht="21" customHeight="1" x14ac:dyDescent="0.4">
      <c r="E873" s="435"/>
      <c r="F873" s="435"/>
    </row>
    <row r="874" spans="5:6" ht="21" customHeight="1" x14ac:dyDescent="0.4">
      <c r="E874" s="435"/>
      <c r="F874" s="435"/>
    </row>
    <row r="875" spans="5:6" ht="21" customHeight="1" x14ac:dyDescent="0.4">
      <c r="E875" s="435"/>
      <c r="F875" s="435"/>
    </row>
    <row r="876" spans="5:6" ht="21" customHeight="1" x14ac:dyDescent="0.4">
      <c r="E876" s="435"/>
      <c r="F876" s="435"/>
    </row>
    <row r="877" spans="5:6" ht="21" customHeight="1" x14ac:dyDescent="0.4">
      <c r="E877" s="435"/>
      <c r="F877" s="435"/>
    </row>
    <row r="878" spans="5:6" ht="21" customHeight="1" x14ac:dyDescent="0.4">
      <c r="E878" s="435"/>
      <c r="F878" s="435"/>
    </row>
    <row r="879" spans="5:6" ht="21" customHeight="1" x14ac:dyDescent="0.4">
      <c r="E879" s="435"/>
      <c r="F879" s="435"/>
    </row>
    <row r="880" spans="5:6" ht="21" customHeight="1" x14ac:dyDescent="0.4">
      <c r="E880" s="435"/>
      <c r="F880" s="435"/>
    </row>
    <row r="881" spans="5:6" ht="21" customHeight="1" x14ac:dyDescent="0.4">
      <c r="E881" s="435"/>
      <c r="F881" s="435"/>
    </row>
    <row r="882" spans="5:6" ht="21" customHeight="1" x14ac:dyDescent="0.4">
      <c r="E882" s="435"/>
      <c r="F882" s="435"/>
    </row>
    <row r="883" spans="5:6" ht="21" customHeight="1" x14ac:dyDescent="0.4">
      <c r="E883" s="435"/>
      <c r="F883" s="435"/>
    </row>
    <row r="884" spans="5:6" ht="21" customHeight="1" x14ac:dyDescent="0.4">
      <c r="E884" s="435"/>
      <c r="F884" s="435"/>
    </row>
    <row r="885" spans="5:6" ht="21" customHeight="1" x14ac:dyDescent="0.4">
      <c r="E885" s="435"/>
      <c r="F885" s="435"/>
    </row>
    <row r="886" spans="5:6" ht="21" customHeight="1" x14ac:dyDescent="0.4">
      <c r="E886" s="435"/>
      <c r="F886" s="435"/>
    </row>
    <row r="887" spans="5:6" ht="21" customHeight="1" x14ac:dyDescent="0.4">
      <c r="E887" s="435"/>
      <c r="F887" s="435"/>
    </row>
    <row r="888" spans="5:6" ht="21" customHeight="1" x14ac:dyDescent="0.4">
      <c r="E888" s="435"/>
      <c r="F888" s="435"/>
    </row>
    <row r="889" spans="5:6" ht="21" customHeight="1" x14ac:dyDescent="0.4">
      <c r="E889" s="435"/>
      <c r="F889" s="435"/>
    </row>
    <row r="890" spans="5:6" ht="21" customHeight="1" x14ac:dyDescent="0.4">
      <c r="E890" s="435"/>
      <c r="F890" s="435"/>
    </row>
    <row r="891" spans="5:6" ht="21" customHeight="1" x14ac:dyDescent="0.4">
      <c r="E891" s="435"/>
      <c r="F891" s="435"/>
    </row>
    <row r="892" spans="5:6" ht="21" customHeight="1" x14ac:dyDescent="0.4">
      <c r="E892" s="435"/>
      <c r="F892" s="435"/>
    </row>
    <row r="893" spans="5:6" ht="21" customHeight="1" x14ac:dyDescent="0.4">
      <c r="E893" s="435"/>
      <c r="F893" s="435"/>
    </row>
    <row r="894" spans="5:6" ht="21" customHeight="1" x14ac:dyDescent="0.4">
      <c r="E894" s="435"/>
      <c r="F894" s="435"/>
    </row>
    <row r="895" spans="5:6" ht="21" customHeight="1" x14ac:dyDescent="0.4">
      <c r="E895" s="435"/>
      <c r="F895" s="435"/>
    </row>
    <row r="896" spans="5:6" ht="21" customHeight="1" x14ac:dyDescent="0.4">
      <c r="E896" s="435"/>
      <c r="F896" s="435"/>
    </row>
    <row r="897" spans="5:6" ht="21" customHeight="1" x14ac:dyDescent="0.4">
      <c r="E897" s="435"/>
      <c r="F897" s="435"/>
    </row>
    <row r="898" spans="5:6" ht="21" customHeight="1" x14ac:dyDescent="0.4">
      <c r="E898" s="435"/>
      <c r="F898" s="435"/>
    </row>
    <row r="899" spans="5:6" ht="21" customHeight="1" x14ac:dyDescent="0.4">
      <c r="E899" s="435"/>
      <c r="F899" s="435"/>
    </row>
    <row r="900" spans="5:6" ht="21" customHeight="1" x14ac:dyDescent="0.4">
      <c r="E900" s="435"/>
      <c r="F900" s="435"/>
    </row>
    <row r="901" spans="5:6" ht="21" customHeight="1" x14ac:dyDescent="0.4">
      <c r="E901" s="435"/>
      <c r="F901" s="435"/>
    </row>
    <row r="902" spans="5:6" ht="21" customHeight="1" x14ac:dyDescent="0.4">
      <c r="E902" s="435"/>
      <c r="F902" s="435"/>
    </row>
    <row r="903" spans="5:6" ht="21" customHeight="1" x14ac:dyDescent="0.4">
      <c r="E903" s="435"/>
      <c r="F903" s="435"/>
    </row>
    <row r="904" spans="5:6" ht="21" customHeight="1" x14ac:dyDescent="0.4">
      <c r="E904" s="435"/>
      <c r="F904" s="435"/>
    </row>
    <row r="905" spans="5:6" ht="21" customHeight="1" x14ac:dyDescent="0.4">
      <c r="E905" s="435"/>
      <c r="F905" s="435"/>
    </row>
    <row r="906" spans="5:6" ht="21" customHeight="1" x14ac:dyDescent="0.4">
      <c r="E906" s="435"/>
      <c r="F906" s="435"/>
    </row>
    <row r="907" spans="5:6" ht="21" customHeight="1" x14ac:dyDescent="0.4">
      <c r="E907" s="435"/>
      <c r="F907" s="435"/>
    </row>
    <row r="908" spans="5:6" ht="21" customHeight="1" x14ac:dyDescent="0.4">
      <c r="E908" s="435"/>
      <c r="F908" s="435"/>
    </row>
    <row r="909" spans="5:6" ht="21" customHeight="1" x14ac:dyDescent="0.4">
      <c r="E909" s="435"/>
      <c r="F909" s="435"/>
    </row>
    <row r="910" spans="5:6" ht="21" customHeight="1" x14ac:dyDescent="0.4">
      <c r="E910" s="435"/>
      <c r="F910" s="435"/>
    </row>
    <row r="911" spans="5:6" ht="21" customHeight="1" x14ac:dyDescent="0.4">
      <c r="E911" s="435"/>
      <c r="F911" s="435"/>
    </row>
    <row r="912" spans="5:6" ht="21" customHeight="1" x14ac:dyDescent="0.4">
      <c r="E912" s="435"/>
      <c r="F912" s="435"/>
    </row>
    <row r="913" spans="5:6" ht="21" customHeight="1" x14ac:dyDescent="0.4">
      <c r="E913" s="435"/>
      <c r="F913" s="435"/>
    </row>
    <row r="914" spans="5:6" ht="21" customHeight="1" x14ac:dyDescent="0.4">
      <c r="E914" s="435"/>
      <c r="F914" s="435"/>
    </row>
    <row r="915" spans="5:6" ht="21" customHeight="1" x14ac:dyDescent="0.4">
      <c r="E915" s="435"/>
      <c r="F915" s="435"/>
    </row>
    <row r="916" spans="5:6" ht="21" customHeight="1" x14ac:dyDescent="0.4">
      <c r="E916" s="435"/>
      <c r="F916" s="435"/>
    </row>
    <row r="917" spans="5:6" ht="21" customHeight="1" x14ac:dyDescent="0.4">
      <c r="E917" s="435"/>
      <c r="F917" s="435"/>
    </row>
    <row r="918" spans="5:6" ht="21" customHeight="1" x14ac:dyDescent="0.4">
      <c r="E918" s="435"/>
      <c r="F918" s="435"/>
    </row>
    <row r="919" spans="5:6" ht="21" customHeight="1" x14ac:dyDescent="0.4">
      <c r="E919" s="435"/>
      <c r="F919" s="435"/>
    </row>
    <row r="920" spans="5:6" ht="21" customHeight="1" x14ac:dyDescent="0.4">
      <c r="E920" s="435"/>
      <c r="F920" s="435"/>
    </row>
    <row r="921" spans="5:6" ht="21" customHeight="1" x14ac:dyDescent="0.4">
      <c r="E921" s="435"/>
      <c r="F921" s="435"/>
    </row>
    <row r="922" spans="5:6" ht="21" customHeight="1" x14ac:dyDescent="0.4">
      <c r="E922" s="435"/>
      <c r="F922" s="435"/>
    </row>
    <row r="923" spans="5:6" ht="21" customHeight="1" x14ac:dyDescent="0.4">
      <c r="E923" s="435"/>
      <c r="F923" s="435"/>
    </row>
    <row r="924" spans="5:6" ht="21" customHeight="1" x14ac:dyDescent="0.4">
      <c r="E924" s="435"/>
      <c r="F924" s="435"/>
    </row>
    <row r="925" spans="5:6" ht="21" customHeight="1" x14ac:dyDescent="0.4">
      <c r="E925" s="435"/>
      <c r="F925" s="435"/>
    </row>
    <row r="926" spans="5:6" ht="21" customHeight="1" x14ac:dyDescent="0.4">
      <c r="E926" s="435"/>
      <c r="F926" s="435"/>
    </row>
    <row r="927" spans="5:6" ht="21" customHeight="1" x14ac:dyDescent="0.4">
      <c r="E927" s="435"/>
      <c r="F927" s="435"/>
    </row>
    <row r="928" spans="5:6" ht="21" customHeight="1" x14ac:dyDescent="0.4">
      <c r="E928" s="435"/>
      <c r="F928" s="435"/>
    </row>
    <row r="929" spans="5:6" ht="21" customHeight="1" x14ac:dyDescent="0.4">
      <c r="E929" s="435"/>
      <c r="F929" s="435"/>
    </row>
    <row r="930" spans="5:6" ht="21" customHeight="1" x14ac:dyDescent="0.4">
      <c r="E930" s="435"/>
      <c r="F930" s="435"/>
    </row>
    <row r="931" spans="5:6" ht="21" customHeight="1" x14ac:dyDescent="0.4">
      <c r="E931" s="435"/>
      <c r="F931" s="435"/>
    </row>
    <row r="932" spans="5:6" ht="21" customHeight="1" x14ac:dyDescent="0.4">
      <c r="E932" s="435"/>
      <c r="F932" s="435"/>
    </row>
    <row r="933" spans="5:6" ht="21" customHeight="1" x14ac:dyDescent="0.4">
      <c r="E933" s="435"/>
      <c r="F933" s="435"/>
    </row>
    <row r="934" spans="5:6" ht="21" customHeight="1" x14ac:dyDescent="0.4">
      <c r="E934" s="435"/>
      <c r="F934" s="435"/>
    </row>
    <row r="935" spans="5:6" ht="21" customHeight="1" x14ac:dyDescent="0.4">
      <c r="E935" s="435"/>
      <c r="F935" s="435"/>
    </row>
    <row r="936" spans="5:6" ht="21" customHeight="1" x14ac:dyDescent="0.4">
      <c r="E936" s="435"/>
      <c r="F936" s="435"/>
    </row>
    <row r="937" spans="5:6" ht="21" customHeight="1" x14ac:dyDescent="0.4">
      <c r="E937" s="435"/>
      <c r="F937" s="435"/>
    </row>
    <row r="938" spans="5:6" ht="21" customHeight="1" x14ac:dyDescent="0.4">
      <c r="E938" s="435"/>
      <c r="F938" s="435"/>
    </row>
    <row r="939" spans="5:6" ht="21" customHeight="1" x14ac:dyDescent="0.4">
      <c r="E939" s="435"/>
      <c r="F939" s="435"/>
    </row>
    <row r="940" spans="5:6" ht="21" customHeight="1" x14ac:dyDescent="0.4">
      <c r="E940" s="435"/>
      <c r="F940" s="435"/>
    </row>
    <row r="941" spans="5:6" ht="21" customHeight="1" x14ac:dyDescent="0.4">
      <c r="E941" s="435"/>
      <c r="F941" s="435"/>
    </row>
    <row r="942" spans="5:6" ht="21" customHeight="1" x14ac:dyDescent="0.4">
      <c r="E942" s="435"/>
      <c r="F942" s="435"/>
    </row>
    <row r="943" spans="5:6" ht="21" customHeight="1" x14ac:dyDescent="0.4">
      <c r="E943" s="435"/>
      <c r="F943" s="435"/>
    </row>
    <row r="944" spans="5:6" ht="21" customHeight="1" x14ac:dyDescent="0.4">
      <c r="E944" s="435"/>
      <c r="F944" s="435"/>
    </row>
    <row r="945" spans="5:6" ht="21" customHeight="1" x14ac:dyDescent="0.4">
      <c r="E945" s="435"/>
      <c r="F945" s="435"/>
    </row>
    <row r="946" spans="5:6" ht="21" customHeight="1" x14ac:dyDescent="0.4">
      <c r="E946" s="435"/>
      <c r="F946" s="435"/>
    </row>
    <row r="947" spans="5:6" ht="21" customHeight="1" x14ac:dyDescent="0.4">
      <c r="E947" s="435"/>
      <c r="F947" s="435"/>
    </row>
    <row r="948" spans="5:6" ht="21" customHeight="1" x14ac:dyDescent="0.4">
      <c r="E948" s="435"/>
      <c r="F948" s="435"/>
    </row>
    <row r="949" spans="5:6" ht="21" customHeight="1" x14ac:dyDescent="0.4">
      <c r="E949" s="435"/>
      <c r="F949" s="435"/>
    </row>
    <row r="950" spans="5:6" ht="21" customHeight="1" x14ac:dyDescent="0.4">
      <c r="E950" s="435"/>
      <c r="F950" s="435"/>
    </row>
    <row r="951" spans="5:6" ht="21" customHeight="1" x14ac:dyDescent="0.4">
      <c r="E951" s="435"/>
      <c r="F951" s="435"/>
    </row>
    <row r="952" spans="5:6" ht="21" customHeight="1" x14ac:dyDescent="0.4">
      <c r="E952" s="435"/>
      <c r="F952" s="435"/>
    </row>
    <row r="953" spans="5:6" ht="21" customHeight="1" x14ac:dyDescent="0.4">
      <c r="E953" s="435"/>
      <c r="F953" s="435"/>
    </row>
    <row r="954" spans="5:6" ht="21" customHeight="1" x14ac:dyDescent="0.4">
      <c r="E954" s="435"/>
      <c r="F954" s="435"/>
    </row>
    <row r="955" spans="5:6" ht="21" customHeight="1" x14ac:dyDescent="0.4">
      <c r="E955" s="435"/>
      <c r="F955" s="435"/>
    </row>
    <row r="956" spans="5:6" ht="21" customHeight="1" x14ac:dyDescent="0.4">
      <c r="E956" s="435"/>
      <c r="F956" s="435"/>
    </row>
    <row r="957" spans="5:6" ht="21" customHeight="1" x14ac:dyDescent="0.4">
      <c r="E957" s="435"/>
      <c r="F957" s="435"/>
    </row>
    <row r="958" spans="5:6" ht="21" customHeight="1" x14ac:dyDescent="0.4">
      <c r="E958" s="435"/>
      <c r="F958" s="435"/>
    </row>
    <row r="959" spans="5:6" ht="21" customHeight="1" x14ac:dyDescent="0.4">
      <c r="E959" s="435"/>
      <c r="F959" s="435"/>
    </row>
    <row r="960" spans="5:6" ht="21" customHeight="1" x14ac:dyDescent="0.4">
      <c r="E960" s="435"/>
      <c r="F960" s="435"/>
    </row>
    <row r="961" spans="5:6" ht="21" customHeight="1" x14ac:dyDescent="0.4">
      <c r="E961" s="435"/>
      <c r="F961" s="435"/>
    </row>
    <row r="962" spans="5:6" ht="21" customHeight="1" x14ac:dyDescent="0.4">
      <c r="E962" s="435"/>
      <c r="F962" s="435"/>
    </row>
    <row r="963" spans="5:6" ht="21" customHeight="1" x14ac:dyDescent="0.4">
      <c r="E963" s="435"/>
      <c r="F963" s="435"/>
    </row>
    <row r="964" spans="5:6" ht="21" customHeight="1" x14ac:dyDescent="0.4">
      <c r="E964" s="435"/>
      <c r="F964" s="435"/>
    </row>
    <row r="965" spans="5:6" ht="21" customHeight="1" x14ac:dyDescent="0.4">
      <c r="E965" s="435"/>
      <c r="F965" s="435"/>
    </row>
    <row r="966" spans="5:6" ht="21" customHeight="1" x14ac:dyDescent="0.4">
      <c r="E966" s="435"/>
      <c r="F966" s="435"/>
    </row>
    <row r="967" spans="5:6" ht="21" customHeight="1" x14ac:dyDescent="0.4">
      <c r="E967" s="435"/>
      <c r="F967" s="435"/>
    </row>
    <row r="968" spans="5:6" ht="21" customHeight="1" x14ac:dyDescent="0.4">
      <c r="E968" s="435"/>
      <c r="F968" s="435"/>
    </row>
    <row r="969" spans="5:6" ht="21" customHeight="1" x14ac:dyDescent="0.4">
      <c r="E969" s="435"/>
      <c r="F969" s="435"/>
    </row>
    <row r="970" spans="5:6" ht="21" customHeight="1" x14ac:dyDescent="0.4">
      <c r="E970" s="435"/>
      <c r="F970" s="435"/>
    </row>
    <row r="971" spans="5:6" ht="21" customHeight="1" x14ac:dyDescent="0.4">
      <c r="E971" s="435"/>
      <c r="F971" s="435"/>
    </row>
    <row r="972" spans="5:6" ht="21" customHeight="1" x14ac:dyDescent="0.4">
      <c r="E972" s="435"/>
      <c r="F972" s="435"/>
    </row>
    <row r="973" spans="5:6" ht="21" customHeight="1" x14ac:dyDescent="0.4">
      <c r="E973" s="435"/>
      <c r="F973" s="435"/>
    </row>
    <row r="974" spans="5:6" ht="21" customHeight="1" x14ac:dyDescent="0.4">
      <c r="E974" s="435"/>
      <c r="F974" s="435"/>
    </row>
    <row r="975" spans="5:6" ht="21" customHeight="1" x14ac:dyDescent="0.4">
      <c r="E975" s="435"/>
      <c r="F975" s="435"/>
    </row>
    <row r="976" spans="5:6" ht="21" customHeight="1" x14ac:dyDescent="0.4">
      <c r="E976" s="435"/>
      <c r="F976" s="435"/>
    </row>
    <row r="977" spans="5:6" ht="21" customHeight="1" x14ac:dyDescent="0.4">
      <c r="E977" s="435"/>
      <c r="F977" s="435"/>
    </row>
    <row r="978" spans="5:6" ht="21" customHeight="1" x14ac:dyDescent="0.4">
      <c r="E978" s="435"/>
      <c r="F978" s="435"/>
    </row>
    <row r="979" spans="5:6" ht="21" customHeight="1" x14ac:dyDescent="0.4">
      <c r="E979" s="435"/>
      <c r="F979" s="435"/>
    </row>
    <row r="980" spans="5:6" ht="21" customHeight="1" x14ac:dyDescent="0.4">
      <c r="E980" s="435"/>
      <c r="F980" s="435"/>
    </row>
    <row r="981" spans="5:6" ht="21" customHeight="1" x14ac:dyDescent="0.4">
      <c r="E981" s="435"/>
      <c r="F981" s="435"/>
    </row>
    <row r="982" spans="5:6" ht="21" customHeight="1" x14ac:dyDescent="0.4">
      <c r="E982" s="435"/>
      <c r="F982" s="435"/>
    </row>
    <row r="983" spans="5:6" ht="21" customHeight="1" x14ac:dyDescent="0.4">
      <c r="E983" s="435"/>
      <c r="F983" s="435"/>
    </row>
    <row r="984" spans="5:6" ht="21" customHeight="1" x14ac:dyDescent="0.4">
      <c r="E984" s="435"/>
      <c r="F984" s="435"/>
    </row>
    <row r="985" spans="5:6" ht="21" customHeight="1" x14ac:dyDescent="0.4">
      <c r="E985" s="435"/>
      <c r="F985" s="435"/>
    </row>
    <row r="986" spans="5:6" ht="21" customHeight="1" x14ac:dyDescent="0.4">
      <c r="E986" s="435"/>
      <c r="F986" s="435"/>
    </row>
    <row r="987" spans="5:6" ht="21" customHeight="1" x14ac:dyDescent="0.4">
      <c r="E987" s="435"/>
      <c r="F987" s="435"/>
    </row>
    <row r="988" spans="5:6" ht="21" customHeight="1" x14ac:dyDescent="0.4">
      <c r="E988" s="435"/>
      <c r="F988" s="435"/>
    </row>
    <row r="989" spans="5:6" ht="21" customHeight="1" x14ac:dyDescent="0.4">
      <c r="E989" s="435"/>
      <c r="F989" s="435"/>
    </row>
    <row r="990" spans="5:6" ht="21" customHeight="1" x14ac:dyDescent="0.4">
      <c r="E990" s="435"/>
      <c r="F990" s="435"/>
    </row>
    <row r="991" spans="5:6" ht="21" customHeight="1" x14ac:dyDescent="0.4">
      <c r="E991" s="435"/>
      <c r="F991" s="435"/>
    </row>
    <row r="992" spans="5:6" ht="21" customHeight="1" x14ac:dyDescent="0.4">
      <c r="E992" s="435"/>
      <c r="F992" s="435"/>
    </row>
    <row r="993" spans="5:6" ht="21" customHeight="1" x14ac:dyDescent="0.4">
      <c r="E993" s="435"/>
      <c r="F993" s="435"/>
    </row>
    <row r="994" spans="5:6" ht="21" customHeight="1" x14ac:dyDescent="0.4">
      <c r="E994" s="435"/>
      <c r="F994" s="435"/>
    </row>
    <row r="995" spans="5:6" ht="21" customHeight="1" x14ac:dyDescent="0.4">
      <c r="E995" s="435"/>
      <c r="F995" s="435"/>
    </row>
    <row r="996" spans="5:6" ht="21" customHeight="1" x14ac:dyDescent="0.4">
      <c r="E996" s="435"/>
      <c r="F996" s="435"/>
    </row>
    <row r="997" spans="5:6" ht="21" customHeight="1" x14ac:dyDescent="0.4">
      <c r="E997" s="435"/>
      <c r="F997" s="435"/>
    </row>
    <row r="998" spans="5:6" ht="21" customHeight="1" x14ac:dyDescent="0.4">
      <c r="E998" s="435"/>
      <c r="F998" s="435"/>
    </row>
    <row r="999" spans="5:6" ht="21" customHeight="1" x14ac:dyDescent="0.4">
      <c r="E999" s="435"/>
      <c r="F999" s="435"/>
    </row>
    <row r="1000" spans="5:6" ht="21" customHeight="1" x14ac:dyDescent="0.4">
      <c r="E1000" s="435"/>
      <c r="F1000" s="435"/>
    </row>
    <row r="1001" spans="5:6" ht="21" customHeight="1" x14ac:dyDescent="0.4">
      <c r="E1001" s="435"/>
      <c r="F1001" s="435"/>
    </row>
  </sheetData>
  <sheetProtection password="DF7C" sheet="1" objects="1" scenarios="1"/>
  <autoFilter ref="A2:BC211"/>
  <mergeCells count="42">
    <mergeCell ref="B195:C195"/>
    <mergeCell ref="B199:C199"/>
    <mergeCell ref="B203:C203"/>
    <mergeCell ref="B206:C206"/>
    <mergeCell ref="B209:C209"/>
    <mergeCell ref="B143:C143"/>
    <mergeCell ref="B148:C148"/>
    <mergeCell ref="B153:C153"/>
    <mergeCell ref="B186:C186"/>
    <mergeCell ref="B192:C192"/>
    <mergeCell ref="B160:C160"/>
    <mergeCell ref="B166:C166"/>
    <mergeCell ref="B171:C171"/>
    <mergeCell ref="B172:C172"/>
    <mergeCell ref="B175:C175"/>
    <mergeCell ref="B179:C179"/>
    <mergeCell ref="B184:C184"/>
    <mergeCell ref="B105:C105"/>
    <mergeCell ref="B125:C125"/>
    <mergeCell ref="B130:C130"/>
    <mergeCell ref="B131:C131"/>
    <mergeCell ref="B140:C140"/>
    <mergeCell ref="B87:C87"/>
    <mergeCell ref="B91:C91"/>
    <mergeCell ref="B92:C92"/>
    <mergeCell ref="B99:C99"/>
    <mergeCell ref="B102:C102"/>
    <mergeCell ref="B39:C39"/>
    <mergeCell ref="B44:C44"/>
    <mergeCell ref="B52:C52"/>
    <mergeCell ref="B57:C57"/>
    <mergeCell ref="B77:C77"/>
    <mergeCell ref="B23:C23"/>
    <mergeCell ref="B26:C26"/>
    <mergeCell ref="B31:C31"/>
    <mergeCell ref="B32:C32"/>
    <mergeCell ref="B36:C36"/>
    <mergeCell ref="B2:C2"/>
    <mergeCell ref="B3:C3"/>
    <mergeCell ref="B4:C4"/>
    <mergeCell ref="B12:C12"/>
    <mergeCell ref="B16:C16"/>
  </mergeCells>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U405"/>
  <sheetViews>
    <sheetView zoomScale="30" zoomScaleNormal="30" workbookViewId="0">
      <pane xSplit="3" ySplit="2" topLeftCell="D3" activePane="bottomRight" state="frozen"/>
      <selection pane="topRight" activeCell="D1" sqref="D1"/>
      <selection pane="bottomLeft" activeCell="A3" sqref="A3"/>
      <selection pane="bottomRight" activeCell="G9" sqref="G9"/>
    </sheetView>
  </sheetViews>
  <sheetFormatPr baseColWidth="10" defaultColWidth="14.44140625" defaultRowHeight="122.4" customHeight="1" x14ac:dyDescent="0.4"/>
  <cols>
    <col min="1" max="1" width="0.33203125" style="252" customWidth="1"/>
    <col min="2" max="2" width="59.5546875" style="1300" customWidth="1"/>
    <col min="3" max="3" width="59.21875" style="1300" customWidth="1"/>
    <col min="4" max="4" width="38" style="595" customWidth="1"/>
    <col min="5" max="5" width="41.6640625" style="252" customWidth="1"/>
    <col min="6" max="6" width="36.5546875" style="352" customWidth="1"/>
    <col min="7" max="7" width="38.88671875" style="252" customWidth="1"/>
    <col min="8" max="9" width="33" style="252" customWidth="1"/>
    <col min="10" max="10" width="41.88671875" style="252" customWidth="1"/>
    <col min="11" max="12" width="40.6640625" style="252" customWidth="1"/>
    <col min="13" max="13" width="45.88671875" style="252" customWidth="1"/>
    <col min="14" max="14" width="49.21875" style="252" customWidth="1"/>
    <col min="15" max="15" width="40.88671875" style="252" customWidth="1"/>
    <col min="16" max="16" width="33.109375" style="475" customWidth="1"/>
    <col min="17" max="17" width="36" style="252" hidden="1" customWidth="1"/>
    <col min="18" max="18" width="38.21875" style="252" hidden="1" customWidth="1"/>
    <col min="19" max="19" width="35.6640625" style="252" hidden="1" customWidth="1"/>
    <col min="20" max="20" width="41.44140625" style="252" customWidth="1"/>
    <col min="21" max="21" width="42.5546875" style="252" customWidth="1"/>
    <col min="22" max="22" width="29.77734375" style="252" customWidth="1"/>
    <col min="23" max="24" width="31.6640625" style="252" customWidth="1"/>
    <col min="25" max="25" width="40" style="252" customWidth="1"/>
    <col min="26" max="26" width="39.33203125" style="252" hidden="1" customWidth="1"/>
    <col min="27" max="27" width="55.88671875" style="252" hidden="1" customWidth="1"/>
    <col min="28" max="28" width="30.77734375" style="252" customWidth="1"/>
    <col min="29" max="29" width="44.6640625" style="252" customWidth="1"/>
    <col min="30" max="30" width="38.44140625" style="252" customWidth="1"/>
    <col min="31" max="31" width="38" style="252" customWidth="1"/>
    <col min="32" max="32" width="37.33203125" style="252" hidden="1" customWidth="1"/>
    <col min="33" max="34" width="40.109375" style="252" hidden="1" customWidth="1"/>
    <col min="35" max="35" width="43.88671875" style="252" customWidth="1"/>
    <col min="36" max="36" width="41.33203125" style="252" customWidth="1"/>
    <col min="37" max="37" width="46.88671875" style="252" customWidth="1"/>
    <col min="38" max="38" width="47.44140625" style="252" customWidth="1"/>
    <col min="39" max="39" width="63" style="252" customWidth="1"/>
    <col min="40" max="40" width="41.6640625" style="252" customWidth="1"/>
    <col min="41" max="41" width="51.44140625" style="252" hidden="1" customWidth="1"/>
    <col min="42" max="42" width="66.5546875" style="252" hidden="1" customWidth="1"/>
    <col min="43" max="43" width="48.5546875" style="252" hidden="1" customWidth="1"/>
    <col min="44" max="44" width="51.5546875" style="252" hidden="1" customWidth="1"/>
    <col min="45" max="45" width="64.21875" style="252" hidden="1" customWidth="1"/>
    <col min="46" max="46" width="71.109375" style="252" hidden="1" customWidth="1"/>
    <col min="47" max="47" width="76.6640625" style="252" hidden="1" customWidth="1"/>
    <col min="48" max="48" width="63.6640625" style="252" hidden="1" customWidth="1"/>
    <col min="49" max="49" width="60.6640625" style="252" hidden="1" customWidth="1"/>
    <col min="50" max="53" width="10.6640625" style="252" customWidth="1"/>
    <col min="54" max="16384" width="14.44140625" style="252"/>
  </cols>
  <sheetData>
    <row r="1" spans="1:125" ht="12.6" customHeight="1" thickBot="1" x14ac:dyDescent="0.45">
      <c r="A1" s="250"/>
      <c r="B1" s="1286"/>
      <c r="C1" s="1286"/>
      <c r="D1" s="566"/>
      <c r="E1" s="250"/>
      <c r="F1" s="251"/>
      <c r="G1" s="250"/>
      <c r="H1" s="250"/>
      <c r="I1" s="250"/>
      <c r="J1" s="250"/>
      <c r="K1" s="250"/>
      <c r="L1" s="250"/>
      <c r="M1" s="250"/>
      <c r="N1" s="250"/>
      <c r="O1" s="250"/>
      <c r="P1" s="469"/>
      <c r="Q1" s="250"/>
      <c r="R1" s="250"/>
      <c r="S1" s="250"/>
      <c r="T1" s="250"/>
      <c r="U1" s="250"/>
      <c r="V1" s="250"/>
      <c r="W1" s="250"/>
      <c r="X1" s="250"/>
      <c r="Y1" s="250"/>
      <c r="Z1" s="250"/>
      <c r="AA1" s="250"/>
      <c r="AB1" s="250"/>
      <c r="AC1" s="250"/>
      <c r="AD1" s="250"/>
      <c r="AE1" s="250"/>
      <c r="AF1" s="250"/>
      <c r="AG1" s="250"/>
      <c r="AH1" s="250"/>
      <c r="AI1" s="250"/>
      <c r="AJ1" s="250"/>
      <c r="AK1" s="250"/>
      <c r="AL1" s="250"/>
      <c r="AM1" s="250"/>
      <c r="AN1" s="250"/>
      <c r="AO1" s="250"/>
      <c r="AP1" s="250"/>
      <c r="AQ1" s="250"/>
      <c r="AR1" s="250"/>
      <c r="AS1" s="250"/>
    </row>
    <row r="2" spans="1:125" s="259" customFormat="1" ht="222.6" customHeight="1" thickBot="1" x14ac:dyDescent="0.45">
      <c r="A2" s="253"/>
      <c r="B2" s="1287" t="s">
        <v>0</v>
      </c>
      <c r="C2" s="1288"/>
      <c r="D2" s="254" t="s">
        <v>1</v>
      </c>
      <c r="E2" s="255" t="s">
        <v>2</v>
      </c>
      <c r="F2" s="256" t="s">
        <v>3</v>
      </c>
      <c r="G2" s="256" t="s">
        <v>4</v>
      </c>
      <c r="H2" s="256" t="s">
        <v>1867</v>
      </c>
      <c r="I2" s="859" t="s">
        <v>2230</v>
      </c>
      <c r="J2" s="930" t="s">
        <v>5</v>
      </c>
      <c r="K2" s="256" t="s">
        <v>1868</v>
      </c>
      <c r="L2" s="859" t="s">
        <v>2229</v>
      </c>
      <c r="M2" s="865" t="s">
        <v>6</v>
      </c>
      <c r="N2" s="865" t="s">
        <v>1869</v>
      </c>
      <c r="O2" s="1304" t="s">
        <v>2249</v>
      </c>
      <c r="P2" s="866" t="s">
        <v>1841</v>
      </c>
      <c r="Q2" s="867" t="s">
        <v>1870</v>
      </c>
      <c r="R2" s="867" t="s">
        <v>1872</v>
      </c>
      <c r="S2" s="867" t="s">
        <v>1871</v>
      </c>
      <c r="T2" s="867" t="s">
        <v>2134</v>
      </c>
      <c r="U2" s="867" t="s">
        <v>2248</v>
      </c>
      <c r="V2" s="867" t="s">
        <v>1873</v>
      </c>
      <c r="W2" s="1305" t="s">
        <v>2232</v>
      </c>
      <c r="X2" s="859" t="s">
        <v>2231</v>
      </c>
      <c r="Y2" s="859" t="s">
        <v>2233</v>
      </c>
      <c r="Z2" s="859" t="s">
        <v>2234</v>
      </c>
      <c r="AA2" s="868" t="s">
        <v>2235</v>
      </c>
      <c r="AB2" s="1306" t="s">
        <v>2236</v>
      </c>
      <c r="AC2" s="437" t="s">
        <v>7</v>
      </c>
      <c r="AD2" s="857" t="s">
        <v>2237</v>
      </c>
      <c r="AE2" s="1306" t="s">
        <v>2299</v>
      </c>
      <c r="AF2" s="811" t="s">
        <v>8</v>
      </c>
      <c r="AG2" s="871" t="s">
        <v>2238</v>
      </c>
      <c r="AH2" s="1304" t="s">
        <v>2247</v>
      </c>
      <c r="AI2" s="368" t="s">
        <v>1875</v>
      </c>
      <c r="AJ2" s="368" t="s">
        <v>2239</v>
      </c>
      <c r="AK2" s="1307" t="s">
        <v>2300</v>
      </c>
      <c r="AL2" s="871" t="s">
        <v>1843</v>
      </c>
      <c r="AM2" s="811" t="s">
        <v>2250</v>
      </c>
      <c r="AN2" s="1304" t="s">
        <v>2301</v>
      </c>
      <c r="AO2" s="257" t="s">
        <v>2177</v>
      </c>
      <c r="AP2" s="488" t="s">
        <v>1876</v>
      </c>
      <c r="AQ2" s="489" t="s">
        <v>2012</v>
      </c>
      <c r="AR2" s="749" t="s">
        <v>2013</v>
      </c>
      <c r="AS2" s="750" t="s">
        <v>2059</v>
      </c>
      <c r="AT2" s="750" t="s">
        <v>2135</v>
      </c>
      <c r="AU2" s="750" t="s">
        <v>1874</v>
      </c>
      <c r="AV2" s="944" t="s">
        <v>2242</v>
      </c>
      <c r="AW2" s="944" t="s">
        <v>2293</v>
      </c>
      <c r="AX2" s="258"/>
      <c r="AY2" s="258"/>
      <c r="AZ2" s="258"/>
      <c r="BA2" s="258"/>
      <c r="BB2" s="258"/>
      <c r="BC2" s="258"/>
      <c r="BD2" s="258"/>
      <c r="BE2" s="258"/>
      <c r="BF2" s="258"/>
      <c r="BG2" s="258"/>
      <c r="BH2" s="258"/>
      <c r="BI2" s="258"/>
      <c r="BJ2" s="258"/>
      <c r="BK2" s="258"/>
      <c r="BL2" s="258"/>
      <c r="BM2" s="258"/>
      <c r="BN2" s="258"/>
      <c r="BO2" s="258"/>
      <c r="BP2" s="258"/>
      <c r="BQ2" s="258"/>
      <c r="BR2" s="258"/>
      <c r="BS2" s="258"/>
      <c r="BT2" s="258"/>
      <c r="BU2" s="258"/>
      <c r="BV2" s="258"/>
      <c r="BW2" s="258"/>
      <c r="BX2" s="258"/>
      <c r="BY2" s="258"/>
      <c r="BZ2" s="258"/>
      <c r="CA2" s="258"/>
      <c r="CB2" s="258"/>
      <c r="CC2" s="258"/>
      <c r="CD2" s="258"/>
      <c r="CE2" s="258"/>
      <c r="CF2" s="258"/>
      <c r="CG2" s="258"/>
      <c r="CH2" s="258"/>
      <c r="CI2" s="258"/>
      <c r="CJ2" s="258"/>
      <c r="CK2" s="258"/>
      <c r="CL2" s="258"/>
      <c r="CM2" s="258"/>
      <c r="CN2" s="258"/>
      <c r="CO2" s="258"/>
      <c r="CP2" s="258"/>
      <c r="CQ2" s="258"/>
      <c r="CR2" s="258"/>
      <c r="CS2" s="258"/>
      <c r="CT2" s="258"/>
      <c r="CU2" s="258"/>
      <c r="CV2" s="258"/>
      <c r="CW2" s="258"/>
      <c r="CX2" s="258"/>
      <c r="CY2" s="258"/>
      <c r="CZ2" s="258"/>
      <c r="DA2" s="258"/>
      <c r="DB2" s="258"/>
      <c r="DC2" s="258"/>
      <c r="DD2" s="258"/>
      <c r="DE2" s="258"/>
      <c r="DF2" s="258"/>
      <c r="DG2" s="258"/>
      <c r="DH2" s="258"/>
      <c r="DI2" s="258"/>
      <c r="DJ2" s="258"/>
      <c r="DK2" s="258"/>
      <c r="DL2" s="258"/>
      <c r="DM2" s="258"/>
      <c r="DN2" s="258"/>
      <c r="DO2" s="258"/>
      <c r="DP2" s="258"/>
      <c r="DQ2" s="258"/>
      <c r="DR2" s="258"/>
      <c r="DS2" s="258"/>
      <c r="DT2" s="258"/>
      <c r="DU2" s="258"/>
    </row>
    <row r="3" spans="1:125" s="673" customFormat="1" ht="122.4" customHeight="1" thickBot="1" x14ac:dyDescent="0.55000000000000004">
      <c r="A3" s="666"/>
      <c r="B3" s="1329" t="s">
        <v>1636</v>
      </c>
      <c r="C3" s="1330"/>
      <c r="D3" s="920"/>
      <c r="E3" s="921">
        <v>0.2</v>
      </c>
      <c r="F3" s="922"/>
      <c r="G3" s="923"/>
      <c r="H3" s="924"/>
      <c r="I3" s="929"/>
      <c r="J3" s="931">
        <f>+(J4+J91+J119+J130+J164+J192)/6</f>
        <v>0.25323854832043019</v>
      </c>
      <c r="K3" s="667">
        <f>+(K4+K91+K119+K130+K164+K192)/6</f>
        <v>0.29872026705958277</v>
      </c>
      <c r="L3" s="667">
        <f>+(L4+L91+L119+L130+L164+L192)/6</f>
        <v>0.31001232315895783</v>
      </c>
      <c r="M3" s="668">
        <f>+(M4+M91+M119+M130+M164+M192)/6</f>
        <v>0.20215522261646302</v>
      </c>
      <c r="N3" s="669">
        <f>+(N4+N91+N119+N130+N164+N192)/6</f>
        <v>0.26377249543649056</v>
      </c>
      <c r="O3" s="669"/>
      <c r="P3" s="670"/>
      <c r="Q3" s="671"/>
      <c r="R3" s="672"/>
      <c r="S3" s="671"/>
      <c r="T3" s="671"/>
      <c r="U3" s="671"/>
      <c r="V3" s="942"/>
      <c r="W3" s="671"/>
      <c r="X3" s="672"/>
      <c r="Y3" s="671"/>
      <c r="Z3" s="671"/>
      <c r="AA3" s="672"/>
      <c r="AB3" s="671"/>
      <c r="AC3" s="943">
        <f>+(AC4+AC91+AC119+AC130+AC164+AC192)/6</f>
        <v>0.8644187717729529</v>
      </c>
      <c r="AD3" s="707">
        <f>+(AD4+AD1+AD119+AD130+AD164+AD192)/6</f>
        <v>0.71907447715303718</v>
      </c>
      <c r="AE3" s="707">
        <f>+(AE4+AE91+AE119+AE130+AE164+AE192)/6</f>
        <v>0.53094458900377417</v>
      </c>
      <c r="AF3" s="708">
        <f>F4+F91+F119+F130+F164+F192</f>
        <v>0.69716842348257646</v>
      </c>
      <c r="AG3" s="708">
        <f>H4+H91+H119+H130+H164+H192</f>
        <v>0.77555895729814739</v>
      </c>
      <c r="AH3" s="708">
        <f>I4+I91+I119+I130+I164+I192</f>
        <v>0.4574953596408477</v>
      </c>
      <c r="AI3" s="709">
        <f>+(AI4+AI91+AI119+AI130+AI164+AI192)/6</f>
        <v>0.21807289507744496</v>
      </c>
      <c r="AJ3" s="715">
        <v>0.5127485650474547</v>
      </c>
      <c r="AK3" s="715">
        <f>+(AK4+AK91+AK119+AK130+AK164+AK192)/6</f>
        <v>0.63168445247603899</v>
      </c>
      <c r="AL3" s="708">
        <f>+(AL4+AL91+AL119+AL130+AL164+AL192)/6</f>
        <v>0.17961900387690335</v>
      </c>
      <c r="AM3" s="708">
        <f>+(AM4*E4)+(AM91*E91)+(AM119*E119)+(AM130*E130)+(AM164*E164)+(AM192*E192)</f>
        <v>0.48090129462939524</v>
      </c>
      <c r="AN3" s="708">
        <f>+(AN4*E4)+(AN91*E91)+(AN119*E119)+(AN130*E130)+(AN164*E164)+(AN192*E192)</f>
        <v>0.58988272717320955</v>
      </c>
      <c r="AO3" s="743"/>
      <c r="AP3" s="751"/>
      <c r="AQ3" s="751"/>
      <c r="AR3" s="751"/>
      <c r="AS3" s="751"/>
      <c r="AT3" s="752"/>
      <c r="AU3" s="752"/>
      <c r="AV3" s="752"/>
    </row>
    <row r="4" spans="1:125" s="607" customFormat="1" ht="76.2" customHeight="1" thickBot="1" x14ac:dyDescent="0.55000000000000004">
      <c r="A4" s="608"/>
      <c r="B4" s="1331" t="s">
        <v>1635</v>
      </c>
      <c r="C4" s="1332"/>
      <c r="D4" s="915"/>
      <c r="E4" s="916">
        <v>0.3</v>
      </c>
      <c r="F4" s="917">
        <f>+E4*AF4</f>
        <v>0.19700364635079345</v>
      </c>
      <c r="G4" s="918"/>
      <c r="H4" s="925">
        <f>E4*AG4</f>
        <v>0.22922680579883903</v>
      </c>
      <c r="I4" s="925">
        <f>E4*AH4</f>
        <v>0.13246971689385542</v>
      </c>
      <c r="J4" s="919">
        <f>+(J5+J12+J15+J21+J29+J34+J39+J43+J49+J52+J56+J60+J68+J73+J77+J85)/15</f>
        <v>0.26981900399515463</v>
      </c>
      <c r="K4" s="610">
        <f>+(K5+K12+K15+K21+K29+K34+K39+K43+K49+K52+K56+K60+K68+K73+K77+K85)/16</f>
        <v>0.26016382169667063</v>
      </c>
      <c r="L4" s="610">
        <f>+(L5+L12+L15+L21+L29+L34+L39+L43+L49+L52+L56+L60+L68+L73+L77+L85)/16</f>
        <v>0.26864479781308737</v>
      </c>
      <c r="M4" s="611">
        <f>+(M5+M12+M15+M21+M29+M34+M39+M43+M49+M52+M56+M60+M68+M73+M77+M85)/15</f>
        <v>0.25378937395993473</v>
      </c>
      <c r="N4" s="611">
        <f>+(N5+N12+N15+N21+N29+N34+N39+N43+N49+N52+N56+N60+N68+N73+N77+N85)/16</f>
        <v>0.3123638200568663</v>
      </c>
      <c r="O4" s="956"/>
      <c r="P4" s="612"/>
      <c r="Q4" s="613"/>
      <c r="R4" s="613"/>
      <c r="S4" s="613"/>
      <c r="T4" s="613"/>
      <c r="U4" s="613"/>
      <c r="V4" s="613"/>
      <c r="W4" s="613"/>
      <c r="X4" s="934"/>
      <c r="Y4" s="934"/>
      <c r="Z4" s="934"/>
      <c r="AA4" s="934"/>
      <c r="AB4" s="934"/>
      <c r="AC4" s="614">
        <f>+(AC5+AC12+AC15+AC21+AC29+AC34+AC39+AC43+AC49+AC52+AC56+AC60+AC68+AC73+AC77+AC85)/15</f>
        <v>0.68051329970379359</v>
      </c>
      <c r="AD4" s="614">
        <f>+(AD5+AD12+AD15+AD21+AD29+AD34+AD39+AD43+AD49+AD52+AD56+AD60+AD68+AD73+AD77+AD85)/16</f>
        <v>0.85063192848151603</v>
      </c>
      <c r="AE4" s="614">
        <f>+(AE5+AE12+AE15+AE21+AE29+AE34+AE39+AE43+AE49+AE52+AE56+AE60+AE68+AE73+AE77+AE85)/16</f>
        <v>0.53873890382188561</v>
      </c>
      <c r="AF4" s="615">
        <f>+AF5+AF12+AF15+AF21+AF29+AF34+AF39+AF43+AF49+AF52+AF56+AF60+AF68+AF73+AF77+AF85</f>
        <v>0.65667882116931153</v>
      </c>
      <c r="AG4" s="615">
        <f>+AG5+AG12+AG15+AG21+AG29+AG34+AG39+AG43+AG49+AG52+AG56+AG60+AG68+AG73+AG77+AG85</f>
        <v>0.76408935266279676</v>
      </c>
      <c r="AH4" s="615">
        <f>+AH5+AH12+AH15+AH21+AH29+AH34+AH39+AH43+AH49+AH52+AH56+AH60+AH68+AH73+AH77+AH85</f>
        <v>0.44156572297951813</v>
      </c>
      <c r="AI4" s="616">
        <f>(AI5+AI12+AI15+AI21+AI29+AI34+AI39+AI43+AI49+AI52+AI56+AI60+AI68+AI73+AI77+AI85)/15</f>
        <v>0.21333072171641188</v>
      </c>
      <c r="AJ4" s="616">
        <v>0.50550379134463475</v>
      </c>
      <c r="AK4" s="616">
        <f>(AK5+AK12+AK15+AK21+AK29+AK34+AK39+AK43+AK49+AK52+AK56+AK60+AK68+AK73+AK77+AK85)/16</f>
        <v>0.60716308793220919</v>
      </c>
      <c r="AL4" s="615">
        <f>+AL5+AL12+AL15+AL21+AL29+AL34+AL39+AL43+AL49+AL52+AL56+AL60+AL68+AL73+AL77+AL85</f>
        <v>0.19538897473062464</v>
      </c>
      <c r="AM4" s="615">
        <f>+(AM5*E5)+(AM12*E12)+(AM15*E15)+(AM21*E21)+(AM29*E29)+(AM34*E34)+(AM39*E39)+(AM43*E43)+(AM49*E49)+(AM52*E52)+(AM56*E56)+(AM60*E60)+(AM68*E68)+(AM73*E73)+(AM77*E77)+(AM85*E85)</f>
        <v>0.44645446238331843</v>
      </c>
      <c r="AN4" s="615">
        <f>+(AN5*E5)+(AN12*E12)+(AN15*E15)+(AN21*E21)+(AN29*E29)+(AN34*E34)+(AN39*E39)+(AN43*E43)+(AN49*E49)+(AN52*E52)+(AN56*E56)+(AN60*E60)+(AN68*E68)+(AN73*E73)+(AN77*E77)+(AN85*E85)</f>
        <v>0.5386949104853106</v>
      </c>
      <c r="AO4" s="744"/>
      <c r="AP4" s="620"/>
      <c r="AQ4" s="620"/>
      <c r="AR4" s="620"/>
      <c r="AS4" s="620"/>
      <c r="AT4" s="753"/>
      <c r="AU4" s="752"/>
      <c r="AV4" s="753"/>
    </row>
    <row r="5" spans="1:125" s="607" customFormat="1" ht="122.4" customHeight="1" thickBot="1" x14ac:dyDescent="0.55000000000000004">
      <c r="A5" s="608"/>
      <c r="B5" s="1333" t="s">
        <v>1637</v>
      </c>
      <c r="C5" s="1334"/>
      <c r="D5" s="609"/>
      <c r="E5" s="617">
        <v>0.25</v>
      </c>
      <c r="F5" s="618"/>
      <c r="G5" s="619"/>
      <c r="H5" s="780"/>
      <c r="I5" s="620"/>
      <c r="J5" s="621">
        <f>+AVERAGE(J6:J11)</f>
        <v>0.13533333333333333</v>
      </c>
      <c r="K5" s="621">
        <f>+AVERAGE(K6:K11)</f>
        <v>0.26333333333333325</v>
      </c>
      <c r="L5" s="621">
        <f>+AVERAGE(L6:L11)</f>
        <v>0.36180555555555549</v>
      </c>
      <c r="M5" s="622">
        <f>+M6+M7+M8+M9+M10+M11</f>
        <v>0.12433333333333335</v>
      </c>
      <c r="N5" s="622">
        <f>+N6+N7+N8+N9+N10+N11</f>
        <v>1.2288333333333334</v>
      </c>
      <c r="O5" s="622"/>
      <c r="P5" s="623"/>
      <c r="Q5" s="624"/>
      <c r="R5" s="624"/>
      <c r="S5" s="624"/>
      <c r="T5" s="624"/>
      <c r="U5" s="624"/>
      <c r="V5" s="624"/>
      <c r="W5" s="624"/>
      <c r="X5" s="935"/>
      <c r="Y5" s="935"/>
      <c r="Z5" s="935"/>
      <c r="AA5" s="935"/>
      <c r="AB5" s="935"/>
      <c r="AC5" s="625">
        <f>+AVERAGE(AC6:AC11)</f>
        <v>0.73124999999999996</v>
      </c>
      <c r="AD5" s="625">
        <f>+AVERAGE(AD6:AD11)</f>
        <v>0.70866013071895428</v>
      </c>
      <c r="AE5" s="625">
        <f>+AVERAGE(AE6:AE11)</f>
        <v>0.2656690746474028</v>
      </c>
      <c r="AF5" s="626">
        <f>+(AF6+AF7+AF8+AF9+AF10+AF11)*E5</f>
        <v>0.16640625000000003</v>
      </c>
      <c r="AG5" s="626">
        <f>+(AG6+AG7+AG8+AG9+AG10+AG11)*E5</f>
        <v>0.20504901960784314</v>
      </c>
      <c r="AH5" s="626">
        <f>+(AH6+AH7+AH8+AH9+AH10+AH11)*E5</f>
        <v>5.8146100545481354E-2</v>
      </c>
      <c r="AI5" s="627">
        <f>+AVERAGE(AI6:AI11)</f>
        <v>0.10613333333333333</v>
      </c>
      <c r="AJ5" s="691">
        <v>0.29002777777777777</v>
      </c>
      <c r="AK5" s="691">
        <f>+AVERAGE(AK6:AK11)</f>
        <v>0.39311111111111113</v>
      </c>
      <c r="AL5" s="627">
        <f>+(AL6+AL7+AL8+AL9+AL10+AL11)*E5</f>
        <v>2.4725000000000007E-2</v>
      </c>
      <c r="AM5" s="627">
        <f>+(AM6+AM7+AM8+AM9+AM10+AM11)</f>
        <v>0.34426666666666667</v>
      </c>
      <c r="AN5" s="627">
        <f>+(AN6+AN7+AN8+AN9+AN10+AN11)</f>
        <v>0.42336666666666672</v>
      </c>
      <c r="AO5" s="745"/>
      <c r="AP5" s="620"/>
      <c r="AQ5" s="620"/>
      <c r="AR5" s="620"/>
      <c r="AS5" s="620"/>
      <c r="AT5" s="753"/>
      <c r="AU5" s="752"/>
      <c r="AV5" s="753"/>
    </row>
    <row r="6" spans="1:125" ht="122.4" customHeight="1" thickBot="1" x14ac:dyDescent="0.45">
      <c r="A6" s="261"/>
      <c r="B6" s="1342" t="s">
        <v>355</v>
      </c>
      <c r="C6" s="1147" t="s">
        <v>356</v>
      </c>
      <c r="D6" s="309" t="s">
        <v>357</v>
      </c>
      <c r="E6" s="269">
        <v>0.1</v>
      </c>
      <c r="F6" s="270">
        <v>1</v>
      </c>
      <c r="G6" s="271"/>
      <c r="H6" s="271">
        <v>0.3</v>
      </c>
      <c r="I6" s="272">
        <v>0.7</v>
      </c>
      <c r="J6" s="273"/>
      <c r="K6" s="273">
        <f>+H6/F6</f>
        <v>0.3</v>
      </c>
      <c r="L6" s="1363">
        <f t="shared" ref="L6:L11" si="0">+I6/F6</f>
        <v>0.7</v>
      </c>
      <c r="M6" s="1363"/>
      <c r="N6" s="1363">
        <f t="shared" ref="N6" si="1">+K6/H6</f>
        <v>1</v>
      </c>
      <c r="O6" s="1363"/>
      <c r="P6" s="275"/>
      <c r="Q6" s="276">
        <v>0.1</v>
      </c>
      <c r="R6" s="535">
        <v>0</v>
      </c>
      <c r="S6" s="535">
        <v>0</v>
      </c>
      <c r="T6" s="531">
        <v>0</v>
      </c>
      <c r="U6" s="531">
        <v>0</v>
      </c>
      <c r="V6" s="601">
        <f>+Q6+R6+S6+T6+U6</f>
        <v>0.1</v>
      </c>
      <c r="W6" s="281">
        <f>+V6+P6+AB6</f>
        <v>0.30000000000000004</v>
      </c>
      <c r="X6" s="1032">
        <v>0</v>
      </c>
      <c r="Y6" s="1032">
        <v>0.2</v>
      </c>
      <c r="Z6" s="289"/>
      <c r="AA6" s="289"/>
      <c r="AB6" s="289">
        <f>+X6+Y6+Z6+AA6</f>
        <v>0.2</v>
      </c>
      <c r="AC6" s="277"/>
      <c r="AD6" s="278">
        <f>+V6/H6</f>
        <v>0.33333333333333337</v>
      </c>
      <c r="AE6" s="278">
        <f>+AB6/I6</f>
        <v>0.28571428571428575</v>
      </c>
      <c r="AF6" s="278"/>
      <c r="AG6" s="278">
        <f t="shared" ref="AG6:AG11" si="2">+AD6*E6</f>
        <v>3.333333333333334E-2</v>
      </c>
      <c r="AH6" s="278">
        <f t="shared" ref="AH6:AH11" si="3">+AE6*E6</f>
        <v>2.8571428571428577E-2</v>
      </c>
      <c r="AI6" s="278"/>
      <c r="AJ6" s="278">
        <v>0.1</v>
      </c>
      <c r="AK6" s="278">
        <f>+W6/F6</f>
        <v>0.30000000000000004</v>
      </c>
      <c r="AL6" s="278"/>
      <c r="AM6" s="278">
        <f t="shared" ref="AM6:AM11" si="4">+AJ6*E6</f>
        <v>1.0000000000000002E-2</v>
      </c>
      <c r="AN6" s="278">
        <f>+AK6*E6</f>
        <v>3.0000000000000006E-2</v>
      </c>
      <c r="AO6" s="532" t="s">
        <v>1886</v>
      </c>
      <c r="AP6" s="534" t="s">
        <v>1900</v>
      </c>
      <c r="AQ6" s="534" t="s">
        <v>1986</v>
      </c>
      <c r="AR6" s="754" t="s">
        <v>2011</v>
      </c>
      <c r="AS6" s="754" t="s">
        <v>2107</v>
      </c>
      <c r="AT6" s="754" t="s">
        <v>2139</v>
      </c>
      <c r="AU6" s="558" t="s">
        <v>2196</v>
      </c>
      <c r="AV6" s="558" t="s">
        <v>1887</v>
      </c>
      <c r="AW6" s="558" t="s">
        <v>2294</v>
      </c>
    </row>
    <row r="7" spans="1:125" ht="122.4" customHeight="1" thickBot="1" x14ac:dyDescent="0.45">
      <c r="A7" s="261"/>
      <c r="B7" s="1342" t="s">
        <v>358</v>
      </c>
      <c r="C7" s="1147" t="s">
        <v>359</v>
      </c>
      <c r="D7" s="309" t="s">
        <v>357</v>
      </c>
      <c r="E7" s="269">
        <v>0.1</v>
      </c>
      <c r="F7" s="270">
        <v>60</v>
      </c>
      <c r="G7" s="271">
        <v>5</v>
      </c>
      <c r="H7" s="271">
        <v>17</v>
      </c>
      <c r="I7" s="272">
        <v>21</v>
      </c>
      <c r="J7" s="279">
        <f>+G7/F7</f>
        <v>8.3333333333333329E-2</v>
      </c>
      <c r="K7" s="273">
        <f>+H7/F7</f>
        <v>0.28333333333333333</v>
      </c>
      <c r="L7" s="1363">
        <f t="shared" si="0"/>
        <v>0.35</v>
      </c>
      <c r="M7" s="280">
        <f>+(G7/F7)*E7</f>
        <v>8.3333333333333332E-3</v>
      </c>
      <c r="N7" s="280">
        <f>+(H7/F7)*E7</f>
        <v>2.8333333333333335E-2</v>
      </c>
      <c r="O7" s="280"/>
      <c r="P7" s="601">
        <v>3</v>
      </c>
      <c r="Q7" s="535">
        <v>0</v>
      </c>
      <c r="R7" s="535">
        <v>0</v>
      </c>
      <c r="S7" s="535">
        <v>0</v>
      </c>
      <c r="T7" s="531">
        <v>0</v>
      </c>
      <c r="U7" s="531">
        <v>1</v>
      </c>
      <c r="V7" s="601">
        <f t="shared" ref="V7:V13" si="5">+Q7+R7+S7+T7+U7</f>
        <v>1</v>
      </c>
      <c r="W7" s="601">
        <f t="shared" ref="W7:W11" si="6">+V7+P7+AB7</f>
        <v>4</v>
      </c>
      <c r="X7" s="1032">
        <v>0</v>
      </c>
      <c r="Y7" s="1032">
        <v>0</v>
      </c>
      <c r="Z7" s="289"/>
      <c r="AA7" s="289"/>
      <c r="AB7" s="289">
        <f t="shared" ref="AB7:AB70" si="7">+X7+Y7+Z7+AA7</f>
        <v>0</v>
      </c>
      <c r="AC7" s="277">
        <f>+(P7/G7)</f>
        <v>0.6</v>
      </c>
      <c r="AD7" s="278">
        <f>+V7/H7</f>
        <v>5.8823529411764705E-2</v>
      </c>
      <c r="AE7" s="278">
        <f t="shared" ref="AE7:AE70" si="8">+AB7/I7</f>
        <v>0</v>
      </c>
      <c r="AF7" s="278">
        <f>+AC7*E7</f>
        <v>0.06</v>
      </c>
      <c r="AG7" s="278">
        <f t="shared" si="2"/>
        <v>5.8823529411764705E-3</v>
      </c>
      <c r="AH7" s="278">
        <f t="shared" si="3"/>
        <v>0</v>
      </c>
      <c r="AI7" s="278">
        <f>+P7/F7</f>
        <v>0.05</v>
      </c>
      <c r="AJ7" s="283">
        <v>1.6666666666666666E-2</v>
      </c>
      <c r="AK7" s="278">
        <f t="shared" ref="AK7:AK70" si="9">+W7/F7</f>
        <v>6.6666666666666666E-2</v>
      </c>
      <c r="AL7" s="283">
        <f>+AI7*E7</f>
        <v>5.000000000000001E-3</v>
      </c>
      <c r="AM7" s="283">
        <f t="shared" si="4"/>
        <v>1.6666666666666668E-3</v>
      </c>
      <c r="AN7" s="278">
        <f>+AK7*E7</f>
        <v>6.6666666666666671E-3</v>
      </c>
      <c r="AO7" s="532" t="s">
        <v>1844</v>
      </c>
      <c r="AP7" s="534" t="s">
        <v>1900</v>
      </c>
      <c r="AQ7" s="534" t="s">
        <v>1986</v>
      </c>
      <c r="AR7" s="754" t="s">
        <v>2011</v>
      </c>
      <c r="AS7" s="754" t="s">
        <v>2107</v>
      </c>
      <c r="AT7" s="754" t="s">
        <v>2139</v>
      </c>
      <c r="AU7" s="558" t="s">
        <v>2196</v>
      </c>
      <c r="AV7" s="558" t="s">
        <v>1887</v>
      </c>
      <c r="AW7" s="558" t="s">
        <v>2294</v>
      </c>
    </row>
    <row r="8" spans="1:125" ht="122.4" customHeight="1" thickBot="1" x14ac:dyDescent="0.45">
      <c r="A8" s="261"/>
      <c r="B8" s="1342" t="s">
        <v>360</v>
      </c>
      <c r="C8" s="1147" t="s">
        <v>361</v>
      </c>
      <c r="D8" s="309" t="s">
        <v>357</v>
      </c>
      <c r="E8" s="269">
        <v>0.2</v>
      </c>
      <c r="F8" s="270">
        <v>5</v>
      </c>
      <c r="G8" s="271">
        <v>1</v>
      </c>
      <c r="H8" s="271">
        <v>1</v>
      </c>
      <c r="I8" s="272">
        <v>1.05</v>
      </c>
      <c r="J8" s="279">
        <f>+G8/F8</f>
        <v>0.2</v>
      </c>
      <c r="K8" s="273">
        <f t="shared" ref="K8:K48" si="10">+H8/F8</f>
        <v>0.2</v>
      </c>
      <c r="L8" s="1363">
        <f t="shared" si="0"/>
        <v>0.21000000000000002</v>
      </c>
      <c r="M8" s="280">
        <f>+(G8/F8)*E8</f>
        <v>4.0000000000000008E-2</v>
      </c>
      <c r="N8" s="280">
        <f>+(H8/F8)*E8</f>
        <v>4.0000000000000008E-2</v>
      </c>
      <c r="O8" s="280"/>
      <c r="P8" s="719">
        <v>1</v>
      </c>
      <c r="Q8" s="531">
        <v>0</v>
      </c>
      <c r="R8" s="531">
        <v>0.4</v>
      </c>
      <c r="S8" s="282">
        <v>0.12</v>
      </c>
      <c r="T8" s="531">
        <v>0</v>
      </c>
      <c r="U8" s="531">
        <v>0.43</v>
      </c>
      <c r="V8" s="601">
        <f t="shared" si="5"/>
        <v>0.95</v>
      </c>
      <c r="W8" s="281">
        <f t="shared" si="6"/>
        <v>2</v>
      </c>
      <c r="X8" s="1032">
        <v>0.04</v>
      </c>
      <c r="Y8" s="1032">
        <v>0.01</v>
      </c>
      <c r="Z8" s="289"/>
      <c r="AA8" s="289"/>
      <c r="AB8" s="289">
        <f t="shared" si="7"/>
        <v>0.05</v>
      </c>
      <c r="AC8" s="277">
        <f>+(P8/G8)</f>
        <v>1</v>
      </c>
      <c r="AD8" s="278">
        <f>+V8/H8</f>
        <v>0.95</v>
      </c>
      <c r="AE8" s="278">
        <f t="shared" si="8"/>
        <v>4.7619047619047616E-2</v>
      </c>
      <c r="AF8" s="278">
        <f>+AC8*E8</f>
        <v>0.2</v>
      </c>
      <c r="AG8" s="278">
        <f t="shared" si="2"/>
        <v>0.19</v>
      </c>
      <c r="AH8" s="278">
        <f>+AE8*E8</f>
        <v>9.5238095238095247E-3</v>
      </c>
      <c r="AI8" s="278">
        <f>+P8/F8</f>
        <v>0.2</v>
      </c>
      <c r="AJ8" s="278">
        <v>0.39</v>
      </c>
      <c r="AK8" s="278">
        <f t="shared" si="9"/>
        <v>0.4</v>
      </c>
      <c r="AL8" s="278">
        <f>+AI8*E8</f>
        <v>4.0000000000000008E-2</v>
      </c>
      <c r="AM8" s="278">
        <f t="shared" si="4"/>
        <v>7.8000000000000014E-2</v>
      </c>
      <c r="AN8" s="278">
        <f t="shared" ref="AN8:AN70" si="11">+AK8*E8</f>
        <v>8.0000000000000016E-2</v>
      </c>
      <c r="AO8" s="532" t="s">
        <v>1844</v>
      </c>
      <c r="AP8" s="534" t="s">
        <v>1900</v>
      </c>
      <c r="AQ8" s="534" t="s">
        <v>1986</v>
      </c>
      <c r="AR8" s="754" t="s">
        <v>2011</v>
      </c>
      <c r="AS8" s="754" t="s">
        <v>2107</v>
      </c>
      <c r="AT8" s="754" t="s">
        <v>2139</v>
      </c>
      <c r="AU8" s="558" t="s">
        <v>2196</v>
      </c>
      <c r="AV8" s="558" t="s">
        <v>1887</v>
      </c>
      <c r="AW8" s="558" t="s">
        <v>2294</v>
      </c>
    </row>
    <row r="9" spans="1:125" ht="122.4" customHeight="1" thickBot="1" x14ac:dyDescent="0.45">
      <c r="A9" s="261"/>
      <c r="B9" s="1342" t="s">
        <v>362</v>
      </c>
      <c r="C9" s="1147" t="s">
        <v>363</v>
      </c>
      <c r="D9" s="309" t="s">
        <v>357</v>
      </c>
      <c r="E9" s="269">
        <v>0.3</v>
      </c>
      <c r="F9" s="270">
        <v>15</v>
      </c>
      <c r="G9" s="271">
        <v>2</v>
      </c>
      <c r="H9" s="271">
        <v>4</v>
      </c>
      <c r="I9" s="272">
        <v>5</v>
      </c>
      <c r="J9" s="279">
        <f>+G9/F9</f>
        <v>0.13333333333333333</v>
      </c>
      <c r="K9" s="273">
        <f t="shared" si="10"/>
        <v>0.26666666666666666</v>
      </c>
      <c r="L9" s="1363">
        <f t="shared" si="0"/>
        <v>0.33333333333333331</v>
      </c>
      <c r="M9" s="280">
        <f>+(G9/F9)*E9</f>
        <v>0.04</v>
      </c>
      <c r="N9" s="280">
        <f t="shared" ref="N9:N11" si="12">+(H9/F9)*E9</f>
        <v>0.08</v>
      </c>
      <c r="O9" s="280"/>
      <c r="P9" s="601">
        <v>1</v>
      </c>
      <c r="Q9" s="535">
        <v>1</v>
      </c>
      <c r="R9" s="535">
        <v>1</v>
      </c>
      <c r="S9" s="535">
        <v>3</v>
      </c>
      <c r="T9" s="531">
        <v>0</v>
      </c>
      <c r="U9" s="531">
        <v>0</v>
      </c>
      <c r="V9" s="601">
        <f t="shared" si="5"/>
        <v>5</v>
      </c>
      <c r="W9" s="601">
        <f t="shared" si="6"/>
        <v>6</v>
      </c>
      <c r="X9" s="1032">
        <v>0</v>
      </c>
      <c r="Y9" s="1032">
        <v>0</v>
      </c>
      <c r="Z9" s="289"/>
      <c r="AA9" s="289"/>
      <c r="AB9" s="289">
        <f t="shared" si="7"/>
        <v>0</v>
      </c>
      <c r="AC9" s="277">
        <f>+(P9/G9)</f>
        <v>0.5</v>
      </c>
      <c r="AD9" s="278">
        <v>1</v>
      </c>
      <c r="AE9" s="278">
        <f t="shared" si="8"/>
        <v>0</v>
      </c>
      <c r="AF9" s="278">
        <f>+AC9*E9</f>
        <v>0.15</v>
      </c>
      <c r="AG9" s="278">
        <f t="shared" si="2"/>
        <v>0.3</v>
      </c>
      <c r="AH9" s="278">
        <f t="shared" si="3"/>
        <v>0</v>
      </c>
      <c r="AI9" s="278">
        <f>+P9/F9</f>
        <v>6.6666666666666666E-2</v>
      </c>
      <c r="AJ9" s="278">
        <v>0.4</v>
      </c>
      <c r="AK9" s="278">
        <f t="shared" si="9"/>
        <v>0.4</v>
      </c>
      <c r="AL9" s="278">
        <f>+AI9*E9</f>
        <v>0.02</v>
      </c>
      <c r="AM9" s="278">
        <f t="shared" si="4"/>
        <v>0.12</v>
      </c>
      <c r="AN9" s="278">
        <f t="shared" si="11"/>
        <v>0.12</v>
      </c>
      <c r="AO9" s="532" t="s">
        <v>1844</v>
      </c>
      <c r="AP9" s="534" t="s">
        <v>1900</v>
      </c>
      <c r="AQ9" s="534" t="s">
        <v>1986</v>
      </c>
      <c r="AR9" s="754" t="s">
        <v>2011</v>
      </c>
      <c r="AS9" s="754" t="s">
        <v>2107</v>
      </c>
      <c r="AT9" s="754" t="s">
        <v>2139</v>
      </c>
      <c r="AU9" s="558" t="s">
        <v>2196</v>
      </c>
      <c r="AV9" s="558" t="s">
        <v>1887</v>
      </c>
      <c r="AW9" s="558" t="s">
        <v>2294</v>
      </c>
    </row>
    <row r="10" spans="1:125" ht="122.4" customHeight="1" thickBot="1" x14ac:dyDescent="0.45">
      <c r="A10" s="261"/>
      <c r="B10" s="1342" t="s">
        <v>364</v>
      </c>
      <c r="C10" s="1147" t="s">
        <v>365</v>
      </c>
      <c r="D10" s="309" t="s">
        <v>357</v>
      </c>
      <c r="E10" s="269">
        <v>0.2</v>
      </c>
      <c r="F10" s="270">
        <v>80</v>
      </c>
      <c r="G10" s="271">
        <v>8</v>
      </c>
      <c r="H10" s="271">
        <v>22</v>
      </c>
      <c r="I10" s="272">
        <v>19</v>
      </c>
      <c r="J10" s="279">
        <f>+G10/F10</f>
        <v>0.1</v>
      </c>
      <c r="K10" s="273">
        <f>+H10/F10</f>
        <v>0.27500000000000002</v>
      </c>
      <c r="L10" s="1363">
        <f t="shared" si="0"/>
        <v>0.23749999999999999</v>
      </c>
      <c r="M10" s="280">
        <f>+(G10/F10)*E10</f>
        <v>2.0000000000000004E-2</v>
      </c>
      <c r="N10" s="280">
        <f t="shared" si="12"/>
        <v>5.5000000000000007E-2</v>
      </c>
      <c r="O10" s="280"/>
      <c r="P10" s="601">
        <v>10</v>
      </c>
      <c r="Q10" s="535">
        <v>10</v>
      </c>
      <c r="R10" s="535">
        <v>0</v>
      </c>
      <c r="S10" s="535">
        <v>21</v>
      </c>
      <c r="T10" s="531">
        <v>0</v>
      </c>
      <c r="U10" s="531">
        <v>0</v>
      </c>
      <c r="V10" s="601">
        <f t="shared" si="5"/>
        <v>31</v>
      </c>
      <c r="W10" s="601">
        <f>+V10+P10+AB10</f>
        <v>54</v>
      </c>
      <c r="X10" s="1032">
        <v>9</v>
      </c>
      <c r="Y10" s="1032">
        <v>4</v>
      </c>
      <c r="Z10" s="289"/>
      <c r="AA10" s="289"/>
      <c r="AB10" s="289">
        <f t="shared" si="7"/>
        <v>13</v>
      </c>
      <c r="AC10" s="277">
        <v>1</v>
      </c>
      <c r="AD10" s="278">
        <v>1</v>
      </c>
      <c r="AE10" s="278">
        <f>+AB10/I10</f>
        <v>0.68421052631578949</v>
      </c>
      <c r="AF10" s="278">
        <f>+AC10*E10</f>
        <v>0.2</v>
      </c>
      <c r="AG10" s="278">
        <f t="shared" si="2"/>
        <v>0.2</v>
      </c>
      <c r="AH10" s="278">
        <f t="shared" si="3"/>
        <v>0.1368421052631579</v>
      </c>
      <c r="AI10" s="278">
        <f>+P10/F10</f>
        <v>0.125</v>
      </c>
      <c r="AJ10" s="278">
        <v>0.51249999999999996</v>
      </c>
      <c r="AK10" s="278">
        <f t="shared" si="9"/>
        <v>0.67500000000000004</v>
      </c>
      <c r="AL10" s="278">
        <f>+AI10*E10</f>
        <v>2.5000000000000001E-2</v>
      </c>
      <c r="AM10" s="278">
        <f t="shared" si="4"/>
        <v>0.10249999999999999</v>
      </c>
      <c r="AN10" s="278">
        <f t="shared" si="11"/>
        <v>0.13500000000000001</v>
      </c>
      <c r="AO10" s="532" t="s">
        <v>1844</v>
      </c>
      <c r="AP10" s="534" t="s">
        <v>1900</v>
      </c>
      <c r="AQ10" s="534" t="s">
        <v>1986</v>
      </c>
      <c r="AR10" s="754" t="s">
        <v>2011</v>
      </c>
      <c r="AS10" s="754" t="s">
        <v>2107</v>
      </c>
      <c r="AT10" s="754" t="s">
        <v>2139</v>
      </c>
      <c r="AU10" s="558" t="s">
        <v>2196</v>
      </c>
      <c r="AV10" s="558" t="s">
        <v>1887</v>
      </c>
      <c r="AW10" s="558" t="s">
        <v>2294</v>
      </c>
    </row>
    <row r="11" spans="1:125" ht="122.4" customHeight="1" thickBot="1" x14ac:dyDescent="0.45">
      <c r="A11" s="261"/>
      <c r="B11" s="1342" t="s">
        <v>366</v>
      </c>
      <c r="C11" s="1147" t="s">
        <v>367</v>
      </c>
      <c r="D11" s="309" t="s">
        <v>357</v>
      </c>
      <c r="E11" s="269">
        <v>0.1</v>
      </c>
      <c r="F11" s="270">
        <v>1000</v>
      </c>
      <c r="G11" s="271">
        <v>160</v>
      </c>
      <c r="H11" s="271">
        <v>255</v>
      </c>
      <c r="I11" s="272">
        <v>340</v>
      </c>
      <c r="J11" s="279">
        <f>+G11/F11</f>
        <v>0.16</v>
      </c>
      <c r="K11" s="273">
        <f t="shared" si="10"/>
        <v>0.255</v>
      </c>
      <c r="L11" s="1363">
        <f t="shared" si="0"/>
        <v>0.34</v>
      </c>
      <c r="M11" s="280">
        <f>+(G11/F11)*E11</f>
        <v>1.6E-2</v>
      </c>
      <c r="N11" s="280">
        <f t="shared" si="12"/>
        <v>2.5500000000000002E-2</v>
      </c>
      <c r="O11" s="280"/>
      <c r="P11" s="601">
        <v>89</v>
      </c>
      <c r="Q11" s="535">
        <v>111</v>
      </c>
      <c r="R11" s="535">
        <v>75</v>
      </c>
      <c r="S11" s="535">
        <v>17</v>
      </c>
      <c r="T11" s="531">
        <v>0</v>
      </c>
      <c r="U11" s="531">
        <v>29</v>
      </c>
      <c r="V11" s="601">
        <f t="shared" si="5"/>
        <v>232</v>
      </c>
      <c r="W11" s="601">
        <f t="shared" si="6"/>
        <v>517</v>
      </c>
      <c r="X11" s="1032">
        <v>95</v>
      </c>
      <c r="Y11" s="1032">
        <v>101</v>
      </c>
      <c r="Z11" s="289"/>
      <c r="AA11" s="289"/>
      <c r="AB11" s="289">
        <f t="shared" si="7"/>
        <v>196</v>
      </c>
      <c r="AC11" s="277">
        <f>+(P11/G11)</f>
        <v>0.55625000000000002</v>
      </c>
      <c r="AD11" s="278">
        <f>+V11/H11</f>
        <v>0.90980392156862744</v>
      </c>
      <c r="AE11" s="278">
        <f t="shared" si="8"/>
        <v>0.57647058823529407</v>
      </c>
      <c r="AF11" s="278">
        <f>+AC11*E11</f>
        <v>5.5625000000000008E-2</v>
      </c>
      <c r="AG11" s="278">
        <f t="shared" si="2"/>
        <v>9.0980392156862752E-2</v>
      </c>
      <c r="AH11" s="278">
        <f t="shared" si="3"/>
        <v>5.7647058823529412E-2</v>
      </c>
      <c r="AI11" s="278">
        <f>+P11/F11</f>
        <v>8.8999999999999996E-2</v>
      </c>
      <c r="AJ11" s="278">
        <v>0.32100000000000001</v>
      </c>
      <c r="AK11" s="278">
        <f t="shared" si="9"/>
        <v>0.51700000000000002</v>
      </c>
      <c r="AL11" s="278">
        <f>+AI11*E11</f>
        <v>8.8999999999999999E-3</v>
      </c>
      <c r="AM11" s="278">
        <f t="shared" si="4"/>
        <v>3.2100000000000004E-2</v>
      </c>
      <c r="AN11" s="278">
        <f t="shared" si="11"/>
        <v>5.1700000000000003E-2</v>
      </c>
      <c r="AO11" s="532" t="s">
        <v>1844</v>
      </c>
      <c r="AP11" s="534" t="s">
        <v>1900</v>
      </c>
      <c r="AQ11" s="534" t="s">
        <v>1986</v>
      </c>
      <c r="AR11" s="754" t="s">
        <v>2011</v>
      </c>
      <c r="AS11" s="754" t="s">
        <v>2107</v>
      </c>
      <c r="AT11" s="754" t="s">
        <v>2139</v>
      </c>
      <c r="AU11" s="558" t="s">
        <v>2196</v>
      </c>
      <c r="AV11" s="558" t="s">
        <v>1887</v>
      </c>
      <c r="AW11" s="558" t="s">
        <v>2294</v>
      </c>
    </row>
    <row r="12" spans="1:125" ht="122.4" customHeight="1" thickBot="1" x14ac:dyDescent="0.55000000000000004">
      <c r="A12" s="261"/>
      <c r="B12" s="1333" t="s">
        <v>1638</v>
      </c>
      <c r="C12" s="1334"/>
      <c r="D12" s="262"/>
      <c r="E12" s="266">
        <v>0.02</v>
      </c>
      <c r="F12" s="284"/>
      <c r="G12" s="285"/>
      <c r="H12" s="926"/>
      <c r="I12" s="267"/>
      <c r="J12" s="286">
        <f>+AVERAGE(J13:J14)</f>
        <v>0.33035714285714285</v>
      </c>
      <c r="K12" s="286">
        <f>+AVERAGE(K13:K14)</f>
        <v>0.43154761904761907</v>
      </c>
      <c r="L12" s="286">
        <f>+AVERAGE(L13:L14)</f>
        <v>0.24404761904761904</v>
      </c>
      <c r="M12" s="287">
        <f>+M13+M14</f>
        <v>0.33928571428571425</v>
      </c>
      <c r="N12" s="287">
        <f>+N13+N14</f>
        <v>0.47023809523809523</v>
      </c>
      <c r="O12" s="287"/>
      <c r="P12" s="275"/>
      <c r="Q12" s="288"/>
      <c r="R12" s="288"/>
      <c r="S12" s="288"/>
      <c r="T12" s="288"/>
      <c r="U12" s="816"/>
      <c r="V12" s="288"/>
      <c r="W12" s="288"/>
      <c r="X12" s="936"/>
      <c r="Y12" s="936"/>
      <c r="Z12" s="936"/>
      <c r="AA12" s="936"/>
      <c r="AB12" s="936"/>
      <c r="AC12" s="476">
        <f>+AVERAGE(AC13:AC15)</f>
        <v>0.76545415896074187</v>
      </c>
      <c r="AD12" s="476">
        <f>+AVERAGE(AD13:AD14)</f>
        <v>1</v>
      </c>
      <c r="AE12" s="307">
        <f>+AVERAGE(AE13:AE14)</f>
        <v>0.5</v>
      </c>
      <c r="AF12" s="307">
        <f>+(AF13+AF14)*E12</f>
        <v>1.4666666666666666E-2</v>
      </c>
      <c r="AG12" s="307">
        <f>+(AG13+AG14)*E12</f>
        <v>0.02</v>
      </c>
      <c r="AH12" s="307">
        <f>+(AH13+AH14)*E12</f>
        <v>1.2E-2</v>
      </c>
      <c r="AI12" s="268">
        <f>+AVERAGE(AI13:AI14)</f>
        <v>0.23511904761904762</v>
      </c>
      <c r="AJ12" s="268">
        <v>0.57440476190476186</v>
      </c>
      <c r="AK12" s="268">
        <f>+AVERAGE(AK13:AK14)</f>
        <v>0.69940476190476186</v>
      </c>
      <c r="AL12" s="268">
        <f>+(AL13+AL14)*E12</f>
        <v>5.261904761904761E-3</v>
      </c>
      <c r="AM12" s="268">
        <f>+(AM13+AM14)</f>
        <v>0.58452380952380956</v>
      </c>
      <c r="AN12" s="268">
        <f>+(AN13+AN14)</f>
        <v>0.73452380952380958</v>
      </c>
      <c r="AO12" s="639"/>
      <c r="AP12" s="267"/>
      <c r="AQ12" s="267"/>
      <c r="AR12" s="267"/>
      <c r="AS12" s="267"/>
      <c r="AT12" s="755"/>
      <c r="AU12" s="752"/>
      <c r="AV12" s="755"/>
    </row>
    <row r="13" spans="1:125" ht="122.4" customHeight="1" thickBot="1" x14ac:dyDescent="0.45">
      <c r="A13" s="261"/>
      <c r="B13" s="1342" t="s">
        <v>368</v>
      </c>
      <c r="C13" s="1147" t="s">
        <v>369</v>
      </c>
      <c r="D13" s="309" t="s">
        <v>357</v>
      </c>
      <c r="E13" s="269">
        <v>0.6</v>
      </c>
      <c r="F13" s="270">
        <v>40</v>
      </c>
      <c r="G13" s="289">
        <v>15</v>
      </c>
      <c r="H13" s="704">
        <v>25</v>
      </c>
      <c r="I13" s="290">
        <v>10</v>
      </c>
      <c r="J13" s="279">
        <f>+G13/F13</f>
        <v>0.375</v>
      </c>
      <c r="K13" s="279">
        <f t="shared" si="10"/>
        <v>0.625</v>
      </c>
      <c r="L13" s="279">
        <f>+I13/F13</f>
        <v>0.25</v>
      </c>
      <c r="M13" s="280">
        <f>+(G13/F13)*E13</f>
        <v>0.22499999999999998</v>
      </c>
      <c r="N13" s="280">
        <f>+(H13/F13)*E13</f>
        <v>0.375</v>
      </c>
      <c r="O13" s="280"/>
      <c r="P13" s="275">
        <v>15</v>
      </c>
      <c r="Q13" s="535">
        <v>10</v>
      </c>
      <c r="R13" s="276">
        <v>0</v>
      </c>
      <c r="S13" s="276">
        <v>0</v>
      </c>
      <c r="T13" s="276">
        <v>0</v>
      </c>
      <c r="U13" s="276">
        <v>0</v>
      </c>
      <c r="V13" s="275">
        <f t="shared" si="5"/>
        <v>10</v>
      </c>
      <c r="W13" s="601">
        <f>+V13+P13+AB13</f>
        <v>35</v>
      </c>
      <c r="X13" s="1032">
        <v>10</v>
      </c>
      <c r="Y13" s="1032">
        <v>0</v>
      </c>
      <c r="Z13" s="289"/>
      <c r="AA13" s="289"/>
      <c r="AB13" s="939">
        <f t="shared" si="7"/>
        <v>10</v>
      </c>
      <c r="AC13" s="277">
        <f>+(P13/G13)</f>
        <v>1</v>
      </c>
      <c r="AD13" s="278">
        <f>+V13/10</f>
        <v>1</v>
      </c>
      <c r="AE13" s="278">
        <f>+AB13/I13</f>
        <v>1</v>
      </c>
      <c r="AF13" s="278">
        <f>+AC13*E13</f>
        <v>0.6</v>
      </c>
      <c r="AG13" s="278">
        <f>+AD13*E13</f>
        <v>0.6</v>
      </c>
      <c r="AH13" s="278">
        <f t="shared" ref="AH13:AH76" si="13">+AE13*E13</f>
        <v>0.6</v>
      </c>
      <c r="AI13" s="278">
        <f>+P13/F13</f>
        <v>0.375</v>
      </c>
      <c r="AJ13" s="278">
        <v>0.625</v>
      </c>
      <c r="AK13" s="278">
        <f t="shared" si="9"/>
        <v>0.875</v>
      </c>
      <c r="AL13" s="278">
        <f>+AI13*E13</f>
        <v>0.22499999999999998</v>
      </c>
      <c r="AM13" s="278">
        <f>+AJ13*E13</f>
        <v>0.375</v>
      </c>
      <c r="AN13" s="278">
        <f t="shared" si="11"/>
        <v>0.52500000000000002</v>
      </c>
      <c r="AO13" s="532" t="s">
        <v>1844</v>
      </c>
      <c r="AP13" s="534" t="s">
        <v>1901</v>
      </c>
      <c r="AQ13" s="534" t="s">
        <v>1986</v>
      </c>
      <c r="AR13" s="754" t="s">
        <v>2011</v>
      </c>
      <c r="AS13" s="754" t="s">
        <v>2107</v>
      </c>
      <c r="AT13" s="754" t="s">
        <v>2139</v>
      </c>
      <c r="AU13" s="558" t="s">
        <v>2196</v>
      </c>
      <c r="AV13" s="558" t="s">
        <v>1887</v>
      </c>
      <c r="AW13" s="558" t="s">
        <v>2294</v>
      </c>
    </row>
    <row r="14" spans="1:125" ht="172.2" customHeight="1" thickBot="1" x14ac:dyDescent="0.45">
      <c r="A14" s="261"/>
      <c r="B14" s="1342" t="s">
        <v>370</v>
      </c>
      <c r="C14" s="1147" t="s">
        <v>371</v>
      </c>
      <c r="D14" s="309" t="s">
        <v>357</v>
      </c>
      <c r="E14" s="269">
        <v>0.4</v>
      </c>
      <c r="F14" s="270">
        <v>105</v>
      </c>
      <c r="G14" s="289">
        <v>30</v>
      </c>
      <c r="H14" s="704">
        <v>25</v>
      </c>
      <c r="I14" s="290">
        <v>25</v>
      </c>
      <c r="J14" s="279">
        <f>+G14/F14</f>
        <v>0.2857142857142857</v>
      </c>
      <c r="K14" s="279">
        <f t="shared" si="10"/>
        <v>0.23809523809523808</v>
      </c>
      <c r="L14" s="279">
        <f t="shared" ref="L14:L78" si="14">+I14/F14</f>
        <v>0.23809523809523808</v>
      </c>
      <c r="M14" s="280">
        <f>+(G14/F14)*E14</f>
        <v>0.11428571428571428</v>
      </c>
      <c r="N14" s="280">
        <f>+(H14/F14)*E14</f>
        <v>9.5238095238095233E-2</v>
      </c>
      <c r="O14" s="280"/>
      <c r="P14" s="275">
        <v>10</v>
      </c>
      <c r="Q14" s="535">
        <v>20</v>
      </c>
      <c r="R14" s="276">
        <v>6</v>
      </c>
      <c r="S14" s="276">
        <v>19</v>
      </c>
      <c r="T14" s="276">
        <v>0</v>
      </c>
      <c r="U14" s="276">
        <v>0</v>
      </c>
      <c r="V14" s="281">
        <f>+Q14+R14+S14+T14+U14</f>
        <v>45</v>
      </c>
      <c r="W14" s="601">
        <f>+V14+P14+AB14</f>
        <v>55</v>
      </c>
      <c r="X14" s="1041">
        <v>0</v>
      </c>
      <c r="Y14" s="1032">
        <v>0</v>
      </c>
      <c r="Z14" s="937"/>
      <c r="AA14" s="937"/>
      <c r="AB14" s="939">
        <f t="shared" si="7"/>
        <v>0</v>
      </c>
      <c r="AC14" s="277">
        <f>+(P14/G14)</f>
        <v>0.33333333333333331</v>
      </c>
      <c r="AD14" s="278">
        <v>1</v>
      </c>
      <c r="AE14" s="278">
        <f t="shared" si="8"/>
        <v>0</v>
      </c>
      <c r="AF14" s="278">
        <f>+AC14*E14</f>
        <v>0.13333333333333333</v>
      </c>
      <c r="AG14" s="278">
        <f>+AD14*E14</f>
        <v>0.4</v>
      </c>
      <c r="AH14" s="278">
        <f t="shared" si="13"/>
        <v>0</v>
      </c>
      <c r="AI14" s="278">
        <f>+P14/F14</f>
        <v>9.5238095238095233E-2</v>
      </c>
      <c r="AJ14" s="278">
        <v>0.52380952380952384</v>
      </c>
      <c r="AK14" s="278">
        <f t="shared" si="9"/>
        <v>0.52380952380952384</v>
      </c>
      <c r="AL14" s="278">
        <f>+AI14*E14</f>
        <v>3.8095238095238099E-2</v>
      </c>
      <c r="AM14" s="278">
        <f>+AJ14*E14</f>
        <v>0.20952380952380956</v>
      </c>
      <c r="AN14" s="278">
        <f t="shared" si="11"/>
        <v>0.20952380952380956</v>
      </c>
      <c r="AO14" s="532" t="s">
        <v>1844</v>
      </c>
      <c r="AP14" s="534" t="s">
        <v>1895</v>
      </c>
      <c r="AQ14" s="534" t="s">
        <v>1986</v>
      </c>
      <c r="AR14" s="754" t="s">
        <v>2011</v>
      </c>
      <c r="AS14" s="754" t="s">
        <v>2107</v>
      </c>
      <c r="AT14" s="754" t="s">
        <v>2139</v>
      </c>
      <c r="AU14" s="558" t="s">
        <v>2196</v>
      </c>
      <c r="AV14" s="558" t="s">
        <v>1887</v>
      </c>
      <c r="AW14" s="558" t="s">
        <v>2294</v>
      </c>
    </row>
    <row r="15" spans="1:125" ht="122.4" customHeight="1" thickBot="1" x14ac:dyDescent="0.55000000000000004">
      <c r="A15" s="261"/>
      <c r="B15" s="1333" t="s">
        <v>1639</v>
      </c>
      <c r="C15" s="1334"/>
      <c r="D15" s="262"/>
      <c r="E15" s="266">
        <v>0.1</v>
      </c>
      <c r="F15" s="270"/>
      <c r="G15" s="285"/>
      <c r="H15" s="926"/>
      <c r="I15" s="267"/>
      <c r="J15" s="286">
        <f>+AVERAGE(J16:J20)</f>
        <v>0.24305555555555555</v>
      </c>
      <c r="K15" s="286">
        <f>+AVERAGE(K16:K20)</f>
        <v>0.26562064156206416</v>
      </c>
      <c r="L15" s="286">
        <f>+AVERAGE(L16:L20)</f>
        <v>0.29013947001394697</v>
      </c>
      <c r="M15" s="287">
        <f>+M16+M17+M18+M19+M20</f>
        <v>0.22361111111111112</v>
      </c>
      <c r="N15" s="287">
        <f>+N16+N17+N18+N19+N20</f>
        <v>0.2536436541143654</v>
      </c>
      <c r="O15" s="287"/>
      <c r="P15" s="275"/>
      <c r="Q15" s="288"/>
      <c r="R15" s="288"/>
      <c r="S15" s="288"/>
      <c r="T15" s="288"/>
      <c r="U15" s="816"/>
      <c r="V15" s="288"/>
      <c r="W15" s="288"/>
      <c r="X15" s="936"/>
      <c r="Y15" s="936"/>
      <c r="Z15" s="936"/>
      <c r="AA15" s="936"/>
      <c r="AB15" s="936"/>
      <c r="AC15" s="476">
        <f>+AVERAGE(AC16:AC20)</f>
        <v>0.96302914354889246</v>
      </c>
      <c r="AD15" s="476">
        <f>+AVERAGE(AD16:AD20)</f>
        <v>0.74378181818181821</v>
      </c>
      <c r="AE15" s="476">
        <f>+AVERAGE(AE16:AE20)</f>
        <v>0.49806060606060604</v>
      </c>
      <c r="AF15" s="307">
        <f>+(AF16+AF17+AF18+AF19+AF20)*E15</f>
        <v>8.5862844786004616E-2</v>
      </c>
      <c r="AG15" s="307">
        <f>+(AG16+AG17+AG18+AG19+AG20)*E15</f>
        <v>8.4378181818181838E-2</v>
      </c>
      <c r="AH15" s="307">
        <f>+(AH16+AH17+AH18+AH19+AH20)*E15</f>
        <v>5.7806060606060611E-2</v>
      </c>
      <c r="AI15" s="268">
        <f>+AVERAGE(AI16:AI20)</f>
        <v>0.24497534144277869</v>
      </c>
      <c r="AJ15" s="268">
        <v>0.39804672808783126</v>
      </c>
      <c r="AK15" s="268">
        <f>+AVERAGE(AK16:AK20)</f>
        <v>0.5303396573807605</v>
      </c>
      <c r="AL15" s="268">
        <f>+(AL16+AL17+AL18+AL19+AL20)*E15</f>
        <v>2.2443072307612263E-2</v>
      </c>
      <c r="AM15" s="268">
        <f>+(AM16+AM17+AM18+AM19+AM20)</f>
        <v>0.43835776173121815</v>
      </c>
      <c r="AN15" s="268">
        <f>+(AN16+AN17+AN18+AN19+AN20)</f>
        <v>0.584817357690814</v>
      </c>
      <c r="AO15" s="639"/>
      <c r="AP15" s="267"/>
      <c r="AQ15" s="267"/>
      <c r="AR15" s="267"/>
      <c r="AS15" s="267"/>
      <c r="AT15" s="755"/>
      <c r="AU15" s="752"/>
      <c r="AV15" s="755"/>
    </row>
    <row r="16" spans="1:125" ht="122.4" customHeight="1" thickBot="1" x14ac:dyDescent="0.45">
      <c r="A16" s="261"/>
      <c r="B16" s="1342" t="s">
        <v>372</v>
      </c>
      <c r="C16" s="1147" t="s">
        <v>373</v>
      </c>
      <c r="D16" s="309" t="s">
        <v>357</v>
      </c>
      <c r="E16" s="269">
        <v>0.1</v>
      </c>
      <c r="F16" s="270">
        <v>2390</v>
      </c>
      <c r="G16" s="289">
        <v>0</v>
      </c>
      <c r="H16" s="704">
        <v>585</v>
      </c>
      <c r="I16" s="290">
        <v>878</v>
      </c>
      <c r="J16" s="279"/>
      <c r="K16" s="279">
        <f t="shared" si="10"/>
        <v>0.24476987447698745</v>
      </c>
      <c r="L16" s="279">
        <f t="shared" si="14"/>
        <v>0.36736401673640168</v>
      </c>
      <c r="M16" s="280"/>
      <c r="N16" s="280">
        <f>+(H16/F16)*E16</f>
        <v>2.4476987447698745E-2</v>
      </c>
      <c r="O16" s="280"/>
      <c r="P16" s="275"/>
      <c r="Q16" s="535">
        <v>0</v>
      </c>
      <c r="R16" s="276">
        <v>0</v>
      </c>
      <c r="S16" s="276">
        <v>0</v>
      </c>
      <c r="T16" s="276">
        <v>0</v>
      </c>
      <c r="U16" s="276">
        <v>0</v>
      </c>
      <c r="V16" s="535">
        <f>+Q16+R16+S16+T16+U16</f>
        <v>0</v>
      </c>
      <c r="W16" s="601">
        <f>+V16+P16+AB16</f>
        <v>0</v>
      </c>
      <c r="X16" s="1040">
        <v>0</v>
      </c>
      <c r="Y16" s="1040">
        <v>0</v>
      </c>
      <c r="Z16" s="937"/>
      <c r="AA16" s="937"/>
      <c r="AB16" s="939">
        <f t="shared" si="7"/>
        <v>0</v>
      </c>
      <c r="AC16" s="291"/>
      <c r="AD16" s="278">
        <v>0</v>
      </c>
      <c r="AE16" s="278">
        <f t="shared" si="8"/>
        <v>0</v>
      </c>
      <c r="AF16" s="278"/>
      <c r="AG16" s="278">
        <f>+AD16*E16</f>
        <v>0</v>
      </c>
      <c r="AH16" s="278">
        <f>+AE16*E16</f>
        <v>0</v>
      </c>
      <c r="AI16" s="278"/>
      <c r="AJ16" s="278">
        <v>0</v>
      </c>
      <c r="AK16" s="278">
        <f t="shared" si="9"/>
        <v>0</v>
      </c>
      <c r="AL16" s="278"/>
      <c r="AM16" s="278">
        <f>+AJ16*E16</f>
        <v>0</v>
      </c>
      <c r="AN16" s="278">
        <f t="shared" si="11"/>
        <v>0</v>
      </c>
      <c r="AO16" s="532" t="s">
        <v>1844</v>
      </c>
      <c r="AP16" s="533" t="s">
        <v>1980</v>
      </c>
      <c r="AQ16" s="533" t="s">
        <v>1980</v>
      </c>
      <c r="AR16" s="754" t="s">
        <v>2011</v>
      </c>
      <c r="AS16" s="754" t="s">
        <v>2107</v>
      </c>
      <c r="AT16" s="754" t="s">
        <v>2139</v>
      </c>
      <c r="AU16" s="558" t="s">
        <v>2196</v>
      </c>
      <c r="AV16" s="558" t="s">
        <v>1887</v>
      </c>
      <c r="AW16" s="558" t="s">
        <v>2294</v>
      </c>
    </row>
    <row r="17" spans="1:49" ht="122.4" customHeight="1" thickBot="1" x14ac:dyDescent="0.45">
      <c r="A17" s="261"/>
      <c r="B17" s="1342" t="s">
        <v>374</v>
      </c>
      <c r="C17" s="1147" t="s">
        <v>375</v>
      </c>
      <c r="D17" s="568" t="s">
        <v>357</v>
      </c>
      <c r="E17" s="269">
        <v>0.4</v>
      </c>
      <c r="F17" s="270">
        <f>106487*4</f>
        <v>425948</v>
      </c>
      <c r="G17" s="292">
        <v>106487</v>
      </c>
      <c r="H17" s="927">
        <v>106487</v>
      </c>
      <c r="I17" s="1062">
        <v>106487</v>
      </c>
      <c r="J17" s="279">
        <f>+G17/F17</f>
        <v>0.25</v>
      </c>
      <c r="K17" s="279">
        <f t="shared" si="10"/>
        <v>0.25</v>
      </c>
      <c r="L17" s="279">
        <f>+I17/F17</f>
        <v>0.25</v>
      </c>
      <c r="M17" s="280">
        <f>+(G17/F17)*E17</f>
        <v>0.1</v>
      </c>
      <c r="N17" s="280">
        <f t="shared" ref="N17:N48" si="15">+(H17/F17)*E17</f>
        <v>0.1</v>
      </c>
      <c r="O17" s="280"/>
      <c r="P17" s="293">
        <v>100207</v>
      </c>
      <c r="Q17" s="720">
        <v>101017</v>
      </c>
      <c r="R17" s="720">
        <v>106414</v>
      </c>
      <c r="S17" s="720">
        <v>106487</v>
      </c>
      <c r="T17" s="801">
        <v>106487</v>
      </c>
      <c r="U17" s="801">
        <v>106487</v>
      </c>
      <c r="V17" s="535">
        <f>+Q17+R17+S17+T17+U17</f>
        <v>526892</v>
      </c>
      <c r="W17" s="601">
        <f t="shared" ref="W17:W20" si="16">+V17+P17+AB17</f>
        <v>840073</v>
      </c>
      <c r="X17" s="1155">
        <v>106487</v>
      </c>
      <c r="Y17" s="1155">
        <v>106487</v>
      </c>
      <c r="Z17" s="292"/>
      <c r="AA17" s="292"/>
      <c r="AB17" s="1364">
        <f t="shared" si="7"/>
        <v>212974</v>
      </c>
      <c r="AC17" s="277">
        <f>+(P17/G17)</f>
        <v>0.94102566510466068</v>
      </c>
      <c r="AD17" s="283">
        <f>+(S17/H17)*(0.75+0.125+0.125)</f>
        <v>1</v>
      </c>
      <c r="AE17" s="283">
        <v>0.5</v>
      </c>
      <c r="AF17" s="278">
        <f>+AC17*E17</f>
        <v>0.37641026604186428</v>
      </c>
      <c r="AG17" s="278">
        <f>+AD17*E17</f>
        <v>0.4</v>
      </c>
      <c r="AH17" s="278">
        <f t="shared" si="13"/>
        <v>0.2</v>
      </c>
      <c r="AI17" s="278">
        <f>+P17/F17</f>
        <v>0.23525641627616517</v>
      </c>
      <c r="AJ17" s="692">
        <v>0.48190308488360084</v>
      </c>
      <c r="AK17" s="278">
        <f>+AJ17+0.0625+0.0625</f>
        <v>0.60690308488360079</v>
      </c>
      <c r="AL17" s="278">
        <f>+AI17*E17</f>
        <v>9.4102566510466071E-2</v>
      </c>
      <c r="AM17" s="278">
        <f>+AJ17*E17</f>
        <v>0.19276123395344036</v>
      </c>
      <c r="AN17" s="278">
        <f t="shared" si="11"/>
        <v>0.24276123395344032</v>
      </c>
      <c r="AO17" s="532" t="s">
        <v>1844</v>
      </c>
      <c r="AP17" s="533" t="s">
        <v>1902</v>
      </c>
      <c r="AQ17" s="533" t="s">
        <v>1980</v>
      </c>
      <c r="AR17" s="754" t="s">
        <v>2011</v>
      </c>
      <c r="AS17" s="754" t="s">
        <v>2107</v>
      </c>
      <c r="AT17" s="754" t="s">
        <v>2139</v>
      </c>
      <c r="AU17" s="558" t="s">
        <v>2196</v>
      </c>
      <c r="AV17" s="558" t="s">
        <v>1887</v>
      </c>
      <c r="AW17" s="558" t="s">
        <v>2294</v>
      </c>
    </row>
    <row r="18" spans="1:49" ht="122.4" customHeight="1" thickBot="1" x14ac:dyDescent="0.45">
      <c r="A18" s="261"/>
      <c r="B18" s="1342" t="s">
        <v>376</v>
      </c>
      <c r="C18" s="1302" t="s">
        <v>377</v>
      </c>
      <c r="D18" s="569" t="s">
        <v>357</v>
      </c>
      <c r="E18" s="269">
        <v>0.2</v>
      </c>
      <c r="F18" s="270">
        <v>22000</v>
      </c>
      <c r="G18" s="292">
        <v>5500</v>
      </c>
      <c r="H18" s="927">
        <v>5500</v>
      </c>
      <c r="I18" s="1062">
        <v>5500</v>
      </c>
      <c r="J18" s="279">
        <f>+G18/F18</f>
        <v>0.25</v>
      </c>
      <c r="K18" s="279">
        <f t="shared" si="10"/>
        <v>0.25</v>
      </c>
      <c r="L18" s="279">
        <f t="shared" si="14"/>
        <v>0.25</v>
      </c>
      <c r="M18" s="280">
        <f>+(G18/F18)*E18</f>
        <v>0.05</v>
      </c>
      <c r="N18" s="280">
        <f t="shared" si="15"/>
        <v>0.05</v>
      </c>
      <c r="O18" s="280"/>
      <c r="P18" s="293">
        <v>5011</v>
      </c>
      <c r="Q18" s="720">
        <v>1787</v>
      </c>
      <c r="R18" s="720">
        <v>1100</v>
      </c>
      <c r="S18" s="720">
        <v>0</v>
      </c>
      <c r="T18" s="802">
        <v>1067</v>
      </c>
      <c r="U18" s="802">
        <v>0</v>
      </c>
      <c r="V18" s="535">
        <f>+Q18+R18+T18</f>
        <v>3954</v>
      </c>
      <c r="W18" s="601">
        <f t="shared" si="16"/>
        <v>11845</v>
      </c>
      <c r="X18" s="1155">
        <v>2880</v>
      </c>
      <c r="Y18" s="1155">
        <v>0</v>
      </c>
      <c r="Z18" s="292"/>
      <c r="AA18" s="292"/>
      <c r="AB18" s="1364">
        <f t="shared" si="7"/>
        <v>2880</v>
      </c>
      <c r="AC18" s="277">
        <f>+(P18/G18)</f>
        <v>0.91109090909090906</v>
      </c>
      <c r="AD18" s="278">
        <f>+V18/H18</f>
        <v>0.71890909090909094</v>
      </c>
      <c r="AE18" s="278">
        <f t="shared" si="8"/>
        <v>0.52363636363636368</v>
      </c>
      <c r="AF18" s="278">
        <f>+AC18*E18</f>
        <v>0.18221818181818183</v>
      </c>
      <c r="AG18" s="278">
        <f>+AD18*E18</f>
        <v>0.14378181818181821</v>
      </c>
      <c r="AH18" s="278">
        <f t="shared" si="13"/>
        <v>0.10472727272727274</v>
      </c>
      <c r="AI18" s="278">
        <f>+P18/F18</f>
        <v>0.22777272727272727</v>
      </c>
      <c r="AJ18" s="278">
        <v>0.40749999999999997</v>
      </c>
      <c r="AK18" s="278">
        <f t="shared" si="9"/>
        <v>0.53840909090909095</v>
      </c>
      <c r="AL18" s="278">
        <f>+AI18*E18</f>
        <v>4.5554545454545459E-2</v>
      </c>
      <c r="AM18" s="278">
        <f>+AJ18*E18</f>
        <v>8.1500000000000003E-2</v>
      </c>
      <c r="AN18" s="278">
        <f t="shared" si="11"/>
        <v>0.1076818181818182</v>
      </c>
      <c r="AO18" s="532" t="s">
        <v>1844</v>
      </c>
      <c r="AP18" s="534" t="s">
        <v>1895</v>
      </c>
      <c r="AQ18" s="267"/>
      <c r="AR18" s="754" t="s">
        <v>2011</v>
      </c>
      <c r="AS18" s="754" t="s">
        <v>2107</v>
      </c>
      <c r="AT18" s="754" t="s">
        <v>2139</v>
      </c>
      <c r="AU18" s="558" t="s">
        <v>2196</v>
      </c>
      <c r="AV18" s="558" t="s">
        <v>1887</v>
      </c>
      <c r="AW18" s="558" t="s">
        <v>2294</v>
      </c>
    </row>
    <row r="19" spans="1:49" ht="162.6" customHeight="1" thickBot="1" x14ac:dyDescent="0.45">
      <c r="A19" s="261"/>
      <c r="B19" s="1342" t="s">
        <v>378</v>
      </c>
      <c r="C19" s="1302" t="s">
        <v>379</v>
      </c>
      <c r="D19" s="570" t="s">
        <v>357</v>
      </c>
      <c r="E19" s="269">
        <v>0.25</v>
      </c>
      <c r="F19" s="270">
        <v>40000</v>
      </c>
      <c r="G19" s="292">
        <v>10000</v>
      </c>
      <c r="H19" s="927">
        <v>10000</v>
      </c>
      <c r="I19" s="1062">
        <v>10000</v>
      </c>
      <c r="J19" s="279">
        <f>+G19/F19</f>
        <v>0.25</v>
      </c>
      <c r="K19" s="279">
        <f t="shared" si="10"/>
        <v>0.25</v>
      </c>
      <c r="L19" s="279">
        <f t="shared" si="14"/>
        <v>0.25</v>
      </c>
      <c r="M19" s="280">
        <f>+(G19/F19)*E19</f>
        <v>6.25E-2</v>
      </c>
      <c r="N19" s="280">
        <f t="shared" si="15"/>
        <v>6.25E-2</v>
      </c>
      <c r="O19" s="280"/>
      <c r="P19" s="293">
        <v>11786</v>
      </c>
      <c r="Q19" s="720">
        <v>6000</v>
      </c>
      <c r="R19" s="720">
        <v>1400</v>
      </c>
      <c r="S19" s="720">
        <v>2125</v>
      </c>
      <c r="T19" s="802">
        <v>500</v>
      </c>
      <c r="U19" s="802">
        <v>0</v>
      </c>
      <c r="V19" s="801">
        <f>+Q19+R19+S19+T19+U19</f>
        <v>10025</v>
      </c>
      <c r="W19" s="601">
        <f t="shared" si="16"/>
        <v>31811</v>
      </c>
      <c r="X19" s="1155">
        <v>7000</v>
      </c>
      <c r="Y19" s="1155">
        <v>3000</v>
      </c>
      <c r="Z19" s="292"/>
      <c r="AA19" s="292"/>
      <c r="AB19" s="1364">
        <f t="shared" si="7"/>
        <v>10000</v>
      </c>
      <c r="AC19" s="277">
        <v>1</v>
      </c>
      <c r="AD19" s="278">
        <v>1</v>
      </c>
      <c r="AE19" s="278">
        <f t="shared" si="8"/>
        <v>1</v>
      </c>
      <c r="AF19" s="278">
        <f>+AC19*E19</f>
        <v>0.25</v>
      </c>
      <c r="AG19" s="278">
        <f>+AD19*E19</f>
        <v>0.25</v>
      </c>
      <c r="AH19" s="278">
        <f t="shared" si="13"/>
        <v>0.25</v>
      </c>
      <c r="AI19" s="278">
        <f>+P19/F19</f>
        <v>0.29465000000000002</v>
      </c>
      <c r="AJ19" s="278">
        <v>0.54527499999999995</v>
      </c>
      <c r="AK19" s="278">
        <f t="shared" si="9"/>
        <v>0.79527499999999995</v>
      </c>
      <c r="AL19" s="278">
        <f>+AI19*E19</f>
        <v>7.3662500000000006E-2</v>
      </c>
      <c r="AM19" s="278">
        <f>+AJ19*E19</f>
        <v>0.13631874999999999</v>
      </c>
      <c r="AN19" s="278">
        <f t="shared" si="11"/>
        <v>0.19881874999999999</v>
      </c>
      <c r="AO19" s="532" t="s">
        <v>1844</v>
      </c>
      <c r="AP19" s="534" t="s">
        <v>1895</v>
      </c>
      <c r="AQ19" s="267"/>
      <c r="AR19" s="754" t="s">
        <v>2011</v>
      </c>
      <c r="AS19" s="754" t="s">
        <v>2107</v>
      </c>
      <c r="AT19" s="754" t="s">
        <v>2139</v>
      </c>
      <c r="AU19" s="558" t="s">
        <v>2196</v>
      </c>
      <c r="AV19" s="558" t="s">
        <v>1887</v>
      </c>
      <c r="AW19" s="558" t="s">
        <v>2294</v>
      </c>
    </row>
    <row r="20" spans="1:49" ht="122.4" customHeight="1" thickBot="1" x14ac:dyDescent="0.45">
      <c r="A20" s="261"/>
      <c r="B20" s="1342" t="s">
        <v>380</v>
      </c>
      <c r="C20" s="1302" t="s">
        <v>381</v>
      </c>
      <c r="D20" s="570" t="s">
        <v>357</v>
      </c>
      <c r="E20" s="269">
        <v>0.05</v>
      </c>
      <c r="F20" s="270">
        <v>45</v>
      </c>
      <c r="G20" s="289">
        <v>10</v>
      </c>
      <c r="H20" s="704">
        <v>15</v>
      </c>
      <c r="I20" s="290">
        <v>15</v>
      </c>
      <c r="J20" s="279">
        <f>+G20/F20</f>
        <v>0.22222222222222221</v>
      </c>
      <c r="K20" s="279">
        <f t="shared" si="10"/>
        <v>0.33333333333333331</v>
      </c>
      <c r="L20" s="279">
        <f t="shared" si="14"/>
        <v>0.33333333333333331</v>
      </c>
      <c r="M20" s="280">
        <f>+(G20/F20)*E20</f>
        <v>1.1111111111111112E-2</v>
      </c>
      <c r="N20" s="280">
        <f t="shared" si="15"/>
        <v>1.6666666666666666E-2</v>
      </c>
      <c r="O20" s="280"/>
      <c r="P20" s="294">
        <v>10</v>
      </c>
      <c r="Q20" s="535">
        <v>0</v>
      </c>
      <c r="R20" s="276">
        <v>0</v>
      </c>
      <c r="S20" s="276">
        <v>10</v>
      </c>
      <c r="T20" s="276">
        <v>4</v>
      </c>
      <c r="U20" s="276">
        <v>1</v>
      </c>
      <c r="V20" s="535">
        <f>+S20+T20+U20+Q20+R20</f>
        <v>15</v>
      </c>
      <c r="W20" s="601">
        <f t="shared" si="16"/>
        <v>32</v>
      </c>
      <c r="X20" s="1032">
        <v>0</v>
      </c>
      <c r="Y20" s="1032">
        <v>7</v>
      </c>
      <c r="Z20" s="938"/>
      <c r="AA20" s="938"/>
      <c r="AB20" s="1365">
        <f t="shared" si="7"/>
        <v>7</v>
      </c>
      <c r="AC20" s="277">
        <v>1</v>
      </c>
      <c r="AD20" s="278">
        <f>+V20/H20</f>
        <v>1</v>
      </c>
      <c r="AE20" s="278">
        <f t="shared" si="8"/>
        <v>0.46666666666666667</v>
      </c>
      <c r="AF20" s="278">
        <f>+AC20*E20</f>
        <v>0.05</v>
      </c>
      <c r="AG20" s="278">
        <f>+AD20*E20</f>
        <v>0.05</v>
      </c>
      <c r="AH20" s="278">
        <f t="shared" si="13"/>
        <v>2.3333333333333334E-2</v>
      </c>
      <c r="AI20" s="278">
        <f>+P20/F20</f>
        <v>0.22222222222222221</v>
      </c>
      <c r="AJ20" s="278">
        <v>0.55555555555555558</v>
      </c>
      <c r="AK20" s="278">
        <f t="shared" si="9"/>
        <v>0.71111111111111114</v>
      </c>
      <c r="AL20" s="278">
        <f>+AI20*E20</f>
        <v>1.1111111111111112E-2</v>
      </c>
      <c r="AM20" s="278">
        <f>+AJ20*E20</f>
        <v>2.777777777777778E-2</v>
      </c>
      <c r="AN20" s="278">
        <f t="shared" si="11"/>
        <v>3.5555555555555556E-2</v>
      </c>
      <c r="AO20" s="532" t="s">
        <v>1844</v>
      </c>
      <c r="AP20" s="534" t="s">
        <v>1895</v>
      </c>
      <c r="AQ20" s="267"/>
      <c r="AR20" s="754" t="s">
        <v>2011</v>
      </c>
      <c r="AS20" s="754" t="s">
        <v>2107</v>
      </c>
      <c r="AT20" s="754" t="s">
        <v>2139</v>
      </c>
      <c r="AU20" s="558" t="s">
        <v>2196</v>
      </c>
      <c r="AV20" s="558" t="s">
        <v>1887</v>
      </c>
      <c r="AW20" s="558" t="s">
        <v>2294</v>
      </c>
    </row>
    <row r="21" spans="1:49" ht="122.4" customHeight="1" thickBot="1" x14ac:dyDescent="0.55000000000000004">
      <c r="A21" s="261"/>
      <c r="B21" s="1333" t="s">
        <v>1640</v>
      </c>
      <c r="C21" s="1334"/>
      <c r="D21" s="571"/>
      <c r="E21" s="266">
        <v>0.1</v>
      </c>
      <c r="F21" s="270"/>
      <c r="G21" s="285"/>
      <c r="H21" s="926"/>
      <c r="I21" s="267"/>
      <c r="J21" s="286">
        <f>+AVERAGE(J22:J28)</f>
        <v>0.28974632671496775</v>
      </c>
      <c r="K21" s="286">
        <f>+AVERAGE(K22:K28)</f>
        <v>0.22570672713529855</v>
      </c>
      <c r="L21" s="286">
        <f>+AVERAGE(L22:L28)</f>
        <v>0.21716221447928766</v>
      </c>
      <c r="M21" s="287">
        <f>+M22+M23+M24+M25+M26+M27+M28</f>
        <v>0.28333533359143115</v>
      </c>
      <c r="N21" s="287">
        <f>+N22+N23+N24+N25+N26+N27+N28</f>
        <v>0.22066402116402117</v>
      </c>
      <c r="O21" s="287"/>
      <c r="P21" s="275"/>
      <c r="Q21" s="288"/>
      <c r="R21" s="288"/>
      <c r="S21" s="288"/>
      <c r="T21" s="288"/>
      <c r="U21" s="288"/>
      <c r="V21" s="288"/>
      <c r="W21" s="288"/>
      <c r="X21" s="936"/>
      <c r="Y21" s="936"/>
      <c r="Z21" s="936"/>
      <c r="AA21" s="936"/>
      <c r="AB21" s="936"/>
      <c r="AC21" s="476">
        <f>+AVERAGE(AC22:AC28)</f>
        <v>0.8571428571428571</v>
      </c>
      <c r="AD21" s="476">
        <f>+AVERAGE(AD22:AD28)</f>
        <v>0.75412917795844614</v>
      </c>
      <c r="AE21" s="476">
        <f>+AVERAGE(AE22:AE28)</f>
        <v>0.6380292155509546</v>
      </c>
      <c r="AF21" s="307">
        <f>+(AF22+AF23+AF24+AF25+AF26+AF27+AF28)*E21</f>
        <v>7.5000000000000011E-2</v>
      </c>
      <c r="AG21" s="307">
        <f>+(AG22+AG23+AG24+AG25+AG26+AG27+AG28)*E21</f>
        <v>7.7960862691960259E-2</v>
      </c>
      <c r="AH21" s="307">
        <f>+(AH22+AH23+AH24+AH25+AH26+AH27+AH28)*E21</f>
        <v>6.2102979066022551E-2</v>
      </c>
      <c r="AI21" s="268">
        <f>+AVERAGE(AI22:AI28)</f>
        <v>0.38444241653300881</v>
      </c>
      <c r="AJ21" s="268">
        <v>0.54770158822336523</v>
      </c>
      <c r="AK21" s="268">
        <f>+AVERAGE(AK22:AK28)</f>
        <v>0.67018090352672233</v>
      </c>
      <c r="AL21" s="268">
        <f>+(AL22+AL23+AL24+AL25+AL26+AL27+AL28)*E21</f>
        <v>3.9090985933668859E-2</v>
      </c>
      <c r="AM21" s="268">
        <f>+(AM22+AM23+AM24+AM25+AM26+AM27+AM28)</f>
        <v>0.56458837430636211</v>
      </c>
      <c r="AN21" s="268">
        <f>+(AN22+AN23+AN24+AN25+AN26+AN27+AN28)</f>
        <v>0.68045505065169709</v>
      </c>
      <c r="AO21" s="639"/>
      <c r="AP21" s="267"/>
      <c r="AQ21" s="267"/>
      <c r="AR21" s="267"/>
      <c r="AS21" s="267"/>
      <c r="AT21" s="755"/>
      <c r="AU21" s="752"/>
      <c r="AV21" s="755"/>
    </row>
    <row r="22" spans="1:49" ht="122.4" customHeight="1" thickBot="1" x14ac:dyDescent="0.45">
      <c r="A22" s="261"/>
      <c r="B22" s="1342" t="s">
        <v>382</v>
      </c>
      <c r="C22" s="1302" t="s">
        <v>383</v>
      </c>
      <c r="D22" s="445" t="s">
        <v>357</v>
      </c>
      <c r="E22" s="269">
        <v>0.1</v>
      </c>
      <c r="F22" s="270">
        <v>72</v>
      </c>
      <c r="G22" s="289">
        <v>48</v>
      </c>
      <c r="H22" s="704">
        <v>8</v>
      </c>
      <c r="I22" s="290">
        <v>8</v>
      </c>
      <c r="J22" s="279">
        <f t="shared" ref="J22:J28" si="17">+G22/F22</f>
        <v>0.66666666666666663</v>
      </c>
      <c r="K22" s="279">
        <f t="shared" si="10"/>
        <v>0.1111111111111111</v>
      </c>
      <c r="L22" s="279">
        <f t="shared" si="14"/>
        <v>0.1111111111111111</v>
      </c>
      <c r="M22" s="280">
        <f t="shared" ref="M22:M28" si="18">+(G22/F22)*E22</f>
        <v>6.6666666666666666E-2</v>
      </c>
      <c r="N22" s="280">
        <f t="shared" si="15"/>
        <v>1.1111111111111112E-2</v>
      </c>
      <c r="O22" s="280"/>
      <c r="P22" s="275">
        <v>48</v>
      </c>
      <c r="Q22" s="535">
        <v>0</v>
      </c>
      <c r="R22" s="276">
        <v>8</v>
      </c>
      <c r="S22" s="276">
        <v>0</v>
      </c>
      <c r="T22" s="276">
        <v>0</v>
      </c>
      <c r="U22" s="276">
        <v>0</v>
      </c>
      <c r="V22" s="601">
        <f>+Q22+R22+S22+T22+U22</f>
        <v>8</v>
      </c>
      <c r="W22" s="601">
        <f>+V22+P22+AB22</f>
        <v>184</v>
      </c>
      <c r="X22" s="1032">
        <v>64</v>
      </c>
      <c r="Y22" s="1032">
        <v>64</v>
      </c>
      <c r="Z22" s="289"/>
      <c r="AA22" s="289"/>
      <c r="AB22" s="289">
        <f>+X22+Y22+Z22+AA22</f>
        <v>128</v>
      </c>
      <c r="AC22" s="277">
        <v>1</v>
      </c>
      <c r="AD22" s="278">
        <f>+V22/H22</f>
        <v>1</v>
      </c>
      <c r="AE22" s="278">
        <v>1</v>
      </c>
      <c r="AF22" s="278">
        <f t="shared" ref="AF22:AF28" si="19">+AC22*E22</f>
        <v>0.1</v>
      </c>
      <c r="AG22" s="278">
        <f t="shared" ref="AG22:AG28" si="20">+AD22*E22</f>
        <v>0.1</v>
      </c>
      <c r="AH22" s="278">
        <f t="shared" si="13"/>
        <v>0.1</v>
      </c>
      <c r="AI22" s="278">
        <f t="shared" ref="AI22:AI28" si="21">+P22/F22</f>
        <v>0.66666666666666663</v>
      </c>
      <c r="AJ22" s="278">
        <v>0.77777777777777779</v>
      </c>
      <c r="AK22" s="278">
        <v>1</v>
      </c>
      <c r="AL22" s="278">
        <f t="shared" ref="AL22:AL28" si="22">+AI22*E22</f>
        <v>6.6666666666666666E-2</v>
      </c>
      <c r="AM22" s="278">
        <f t="shared" ref="AM22:AM28" si="23">+AJ22*E22</f>
        <v>7.7777777777777779E-2</v>
      </c>
      <c r="AN22" s="278">
        <f t="shared" si="11"/>
        <v>0.1</v>
      </c>
      <c r="AO22" s="532" t="s">
        <v>1844</v>
      </c>
      <c r="AP22" s="558" t="s">
        <v>1895</v>
      </c>
      <c r="AQ22" s="267"/>
      <c r="AR22" s="754" t="s">
        <v>2011</v>
      </c>
      <c r="AS22" s="754" t="s">
        <v>2107</v>
      </c>
      <c r="AT22" s="754" t="s">
        <v>2139</v>
      </c>
      <c r="AU22" s="558" t="s">
        <v>2196</v>
      </c>
      <c r="AV22" s="558" t="s">
        <v>1887</v>
      </c>
      <c r="AW22" s="558" t="s">
        <v>2294</v>
      </c>
    </row>
    <row r="23" spans="1:49" ht="122.4" customHeight="1" thickBot="1" x14ac:dyDescent="0.45">
      <c r="A23" s="261"/>
      <c r="B23" s="1343" t="s">
        <v>384</v>
      </c>
      <c r="C23" s="1344" t="s">
        <v>385</v>
      </c>
      <c r="D23" s="445" t="s">
        <v>357</v>
      </c>
      <c r="E23" s="269">
        <v>0.15</v>
      </c>
      <c r="F23" s="270">
        <v>4</v>
      </c>
      <c r="G23" s="289">
        <v>2</v>
      </c>
      <c r="H23" s="704">
        <v>1</v>
      </c>
      <c r="I23" s="290">
        <v>1</v>
      </c>
      <c r="J23" s="279">
        <f t="shared" si="17"/>
        <v>0.5</v>
      </c>
      <c r="K23" s="279">
        <f t="shared" si="10"/>
        <v>0.25</v>
      </c>
      <c r="L23" s="279"/>
      <c r="M23" s="280">
        <f t="shared" si="18"/>
        <v>7.4999999999999997E-2</v>
      </c>
      <c r="N23" s="280">
        <f t="shared" si="15"/>
        <v>3.7499999999999999E-2</v>
      </c>
      <c r="O23" s="280"/>
      <c r="P23" s="275">
        <v>3</v>
      </c>
      <c r="Q23" s="535">
        <v>0</v>
      </c>
      <c r="R23" s="276">
        <v>0</v>
      </c>
      <c r="S23" s="276">
        <v>1</v>
      </c>
      <c r="T23" s="276">
        <v>0</v>
      </c>
      <c r="U23" s="276">
        <v>0</v>
      </c>
      <c r="V23" s="601">
        <f t="shared" ref="V23:V28" si="24">+Q23+R23+S23+T23+U23</f>
        <v>1</v>
      </c>
      <c r="W23" s="601">
        <f t="shared" ref="W23:W28" si="25">+V23+P23+AB23</f>
        <v>6</v>
      </c>
      <c r="X23" s="1032">
        <v>1</v>
      </c>
      <c r="Y23" s="1032">
        <v>1</v>
      </c>
      <c r="Z23" s="289"/>
      <c r="AA23" s="289"/>
      <c r="AB23" s="289">
        <f t="shared" si="7"/>
        <v>2</v>
      </c>
      <c r="AC23" s="277">
        <v>1</v>
      </c>
      <c r="AD23" s="278">
        <f>+V23/H23</f>
        <v>1</v>
      </c>
      <c r="AE23" s="278">
        <v>1</v>
      </c>
      <c r="AF23" s="278">
        <f t="shared" si="19"/>
        <v>0.15</v>
      </c>
      <c r="AG23" s="278">
        <f t="shared" si="20"/>
        <v>0.15</v>
      </c>
      <c r="AH23" s="278">
        <f t="shared" si="13"/>
        <v>0.15</v>
      </c>
      <c r="AI23" s="278">
        <f t="shared" si="21"/>
        <v>0.75</v>
      </c>
      <c r="AJ23" s="278">
        <v>1</v>
      </c>
      <c r="AK23" s="278">
        <v>1</v>
      </c>
      <c r="AL23" s="278">
        <f t="shared" si="22"/>
        <v>0.11249999999999999</v>
      </c>
      <c r="AM23" s="278">
        <f t="shared" si="23"/>
        <v>0.15</v>
      </c>
      <c r="AN23" s="278">
        <f t="shared" si="11"/>
        <v>0.15</v>
      </c>
      <c r="AO23" s="532" t="s">
        <v>1844</v>
      </c>
      <c r="AP23" s="533" t="s">
        <v>1903</v>
      </c>
      <c r="AQ23" s="267"/>
      <c r="AR23" s="754" t="s">
        <v>2011</v>
      </c>
      <c r="AS23" s="754" t="s">
        <v>2107</v>
      </c>
      <c r="AT23" s="754" t="s">
        <v>2139</v>
      </c>
      <c r="AU23" s="558" t="s">
        <v>2196</v>
      </c>
      <c r="AV23" s="558" t="s">
        <v>1887</v>
      </c>
      <c r="AW23" s="558" t="s">
        <v>2294</v>
      </c>
    </row>
    <row r="24" spans="1:49" ht="122.4" customHeight="1" thickBot="1" x14ac:dyDescent="0.45">
      <c r="A24" s="261"/>
      <c r="B24" s="1345" t="s">
        <v>386</v>
      </c>
      <c r="C24" s="1354" t="s">
        <v>387</v>
      </c>
      <c r="D24" s="572" t="s">
        <v>357</v>
      </c>
      <c r="E24" s="269">
        <v>0.2</v>
      </c>
      <c r="F24" s="270">
        <v>27</v>
      </c>
      <c r="G24" s="289">
        <v>2</v>
      </c>
      <c r="H24" s="704">
        <v>2</v>
      </c>
      <c r="I24" s="290">
        <v>3</v>
      </c>
      <c r="J24" s="279">
        <f t="shared" si="17"/>
        <v>7.407407407407407E-2</v>
      </c>
      <c r="K24" s="279">
        <f t="shared" si="10"/>
        <v>7.407407407407407E-2</v>
      </c>
      <c r="L24" s="279">
        <f t="shared" si="14"/>
        <v>0.1111111111111111</v>
      </c>
      <c r="M24" s="280">
        <f t="shared" si="18"/>
        <v>1.4814814814814815E-2</v>
      </c>
      <c r="N24" s="280">
        <f t="shared" si="15"/>
        <v>1.4814814814814815E-2</v>
      </c>
      <c r="O24" s="280"/>
      <c r="P24" s="275">
        <v>20</v>
      </c>
      <c r="Q24" s="535">
        <v>5</v>
      </c>
      <c r="R24" s="276">
        <v>0</v>
      </c>
      <c r="S24" s="276">
        <v>0</v>
      </c>
      <c r="T24" s="276">
        <v>0</v>
      </c>
      <c r="U24" s="276">
        <v>0</v>
      </c>
      <c r="V24" s="601">
        <f t="shared" si="24"/>
        <v>5</v>
      </c>
      <c r="W24" s="601">
        <f t="shared" si="25"/>
        <v>25</v>
      </c>
      <c r="X24" s="1032">
        <v>0</v>
      </c>
      <c r="Y24" s="1032">
        <v>0</v>
      </c>
      <c r="Z24" s="289"/>
      <c r="AA24" s="289"/>
      <c r="AB24" s="289">
        <f t="shared" si="7"/>
        <v>0</v>
      </c>
      <c r="AC24" s="277">
        <v>1</v>
      </c>
      <c r="AD24" s="278">
        <v>1</v>
      </c>
      <c r="AE24" s="278">
        <f t="shared" si="8"/>
        <v>0</v>
      </c>
      <c r="AF24" s="278">
        <f t="shared" si="19"/>
        <v>0.2</v>
      </c>
      <c r="AG24" s="278">
        <f t="shared" si="20"/>
        <v>0.2</v>
      </c>
      <c r="AH24" s="278">
        <f t="shared" si="13"/>
        <v>0</v>
      </c>
      <c r="AI24" s="278">
        <f t="shared" si="21"/>
        <v>0.7407407407407407</v>
      </c>
      <c r="AJ24" s="278">
        <v>0.92592592592592593</v>
      </c>
      <c r="AK24" s="278">
        <f t="shared" si="9"/>
        <v>0.92592592592592593</v>
      </c>
      <c r="AL24" s="278">
        <f t="shared" si="22"/>
        <v>0.14814814814814814</v>
      </c>
      <c r="AM24" s="278">
        <f t="shared" si="23"/>
        <v>0.1851851851851852</v>
      </c>
      <c r="AN24" s="278">
        <f t="shared" si="11"/>
        <v>0.1851851851851852</v>
      </c>
      <c r="AO24" s="532" t="s">
        <v>1844</v>
      </c>
      <c r="AP24" s="534" t="s">
        <v>1895</v>
      </c>
      <c r="AQ24" s="267"/>
      <c r="AR24" s="754" t="s">
        <v>2011</v>
      </c>
      <c r="AS24" s="754" t="s">
        <v>2107</v>
      </c>
      <c r="AT24" s="754" t="s">
        <v>2139</v>
      </c>
      <c r="AU24" s="558" t="s">
        <v>2196</v>
      </c>
      <c r="AV24" s="558" t="s">
        <v>1887</v>
      </c>
      <c r="AW24" s="558" t="s">
        <v>2294</v>
      </c>
    </row>
    <row r="25" spans="1:49" ht="145.19999999999999" customHeight="1" thickBot="1" x14ac:dyDescent="0.45">
      <c r="A25" s="261"/>
      <c r="B25" s="1355" t="s">
        <v>388</v>
      </c>
      <c r="C25" s="1356" t="s">
        <v>389</v>
      </c>
      <c r="D25" s="445" t="s">
        <v>357</v>
      </c>
      <c r="E25" s="269">
        <v>0.25</v>
      </c>
      <c r="F25" s="270">
        <v>4000</v>
      </c>
      <c r="G25" s="289">
        <v>1000</v>
      </c>
      <c r="H25" s="704">
        <v>1000</v>
      </c>
      <c r="I25" s="290">
        <v>1000</v>
      </c>
      <c r="J25" s="279">
        <f t="shared" si="17"/>
        <v>0.25</v>
      </c>
      <c r="K25" s="279">
        <f t="shared" si="10"/>
        <v>0.25</v>
      </c>
      <c r="L25" s="279">
        <f t="shared" si="14"/>
        <v>0.25</v>
      </c>
      <c r="M25" s="280">
        <f t="shared" si="18"/>
        <v>6.25E-2</v>
      </c>
      <c r="N25" s="280">
        <f t="shared" si="15"/>
        <v>6.25E-2</v>
      </c>
      <c r="O25" s="280"/>
      <c r="P25" s="275">
        <v>0</v>
      </c>
      <c r="Q25" s="535">
        <v>481</v>
      </c>
      <c r="R25" s="276">
        <v>171</v>
      </c>
      <c r="S25" s="276">
        <v>169</v>
      </c>
      <c r="T25" s="276">
        <v>0</v>
      </c>
      <c r="U25" s="276">
        <v>0</v>
      </c>
      <c r="V25" s="601">
        <f t="shared" si="24"/>
        <v>821</v>
      </c>
      <c r="W25" s="601">
        <f t="shared" si="25"/>
        <v>1749</v>
      </c>
      <c r="X25" s="1032">
        <v>928</v>
      </c>
      <c r="Y25" s="1032">
        <v>0</v>
      </c>
      <c r="Z25" s="289"/>
      <c r="AA25" s="289"/>
      <c r="AB25" s="289">
        <f t="shared" si="7"/>
        <v>928</v>
      </c>
      <c r="AC25" s="277">
        <f>+(P25/G25)</f>
        <v>0</v>
      </c>
      <c r="AD25" s="278">
        <f>+V25/H25</f>
        <v>0.82099999999999995</v>
      </c>
      <c r="AE25" s="278">
        <f t="shared" si="8"/>
        <v>0.92800000000000005</v>
      </c>
      <c r="AF25" s="278">
        <f t="shared" si="19"/>
        <v>0</v>
      </c>
      <c r="AG25" s="278">
        <f t="shared" si="20"/>
        <v>0.20524999999999999</v>
      </c>
      <c r="AH25" s="278">
        <f t="shared" si="13"/>
        <v>0.23200000000000001</v>
      </c>
      <c r="AI25" s="278">
        <f t="shared" si="21"/>
        <v>0</v>
      </c>
      <c r="AJ25" s="278">
        <v>0.20524999999999999</v>
      </c>
      <c r="AK25" s="278">
        <f t="shared" si="9"/>
        <v>0.43725000000000003</v>
      </c>
      <c r="AL25" s="278">
        <f t="shared" si="22"/>
        <v>0</v>
      </c>
      <c r="AM25" s="278">
        <f t="shared" si="23"/>
        <v>5.1312499999999997E-2</v>
      </c>
      <c r="AN25" s="278">
        <f t="shared" si="11"/>
        <v>0.10931250000000001</v>
      </c>
      <c r="AO25" s="532" t="s">
        <v>1844</v>
      </c>
      <c r="AP25" s="534" t="s">
        <v>1895</v>
      </c>
      <c r="AQ25" s="534" t="s">
        <v>1986</v>
      </c>
      <c r="AR25" s="533" t="s">
        <v>2020</v>
      </c>
      <c r="AS25" s="754" t="s">
        <v>2107</v>
      </c>
      <c r="AT25" s="754" t="s">
        <v>2139</v>
      </c>
      <c r="AU25" s="533" t="s">
        <v>1969</v>
      </c>
      <c r="AV25" s="558" t="s">
        <v>1887</v>
      </c>
      <c r="AW25" s="558" t="s">
        <v>2294</v>
      </c>
    </row>
    <row r="26" spans="1:49" ht="160.19999999999999" customHeight="1" thickBot="1" x14ac:dyDescent="0.45">
      <c r="A26" s="261"/>
      <c r="B26" s="1345" t="s">
        <v>390</v>
      </c>
      <c r="C26" s="1354" t="s">
        <v>391</v>
      </c>
      <c r="D26" s="445" t="s">
        <v>357</v>
      </c>
      <c r="E26" s="269">
        <v>0.2</v>
      </c>
      <c r="F26" s="270">
        <v>3690</v>
      </c>
      <c r="G26" s="289">
        <v>922</v>
      </c>
      <c r="H26" s="704">
        <v>1230</v>
      </c>
      <c r="I26" s="290">
        <v>920</v>
      </c>
      <c r="J26" s="279">
        <f t="shared" si="17"/>
        <v>0.24986449864498644</v>
      </c>
      <c r="K26" s="279">
        <f t="shared" si="10"/>
        <v>0.33333333333333331</v>
      </c>
      <c r="L26" s="279">
        <f t="shared" si="14"/>
        <v>0.24932249322493225</v>
      </c>
      <c r="M26" s="280">
        <f t="shared" si="18"/>
        <v>4.9972899728997294E-2</v>
      </c>
      <c r="N26" s="280">
        <f t="shared" si="15"/>
        <v>6.6666666666666666E-2</v>
      </c>
      <c r="O26" s="280"/>
      <c r="P26" s="275">
        <v>908</v>
      </c>
      <c r="Q26" s="535">
        <v>50</v>
      </c>
      <c r="R26" s="276">
        <v>372</v>
      </c>
      <c r="S26" s="276">
        <v>0</v>
      </c>
      <c r="T26" s="276">
        <v>0</v>
      </c>
      <c r="U26" s="276">
        <v>0</v>
      </c>
      <c r="V26" s="601">
        <f t="shared" si="24"/>
        <v>422</v>
      </c>
      <c r="W26" s="601">
        <f t="shared" si="25"/>
        <v>1711</v>
      </c>
      <c r="X26" s="1032">
        <v>317</v>
      </c>
      <c r="Y26" s="1032">
        <v>64</v>
      </c>
      <c r="Z26" s="289"/>
      <c r="AA26" s="289"/>
      <c r="AB26" s="289">
        <f t="shared" si="7"/>
        <v>381</v>
      </c>
      <c r="AC26" s="277">
        <v>1</v>
      </c>
      <c r="AD26" s="278">
        <f t="shared" ref="AD26:AD27" si="26">+V26/H26</f>
        <v>0.34308943089430893</v>
      </c>
      <c r="AE26" s="278">
        <f t="shared" si="8"/>
        <v>0.41413043478260869</v>
      </c>
      <c r="AF26" s="278">
        <f t="shared" si="19"/>
        <v>0.2</v>
      </c>
      <c r="AG26" s="278">
        <f t="shared" si="20"/>
        <v>6.8617886178861789E-2</v>
      </c>
      <c r="AH26" s="278">
        <f t="shared" si="13"/>
        <v>8.2826086956521744E-2</v>
      </c>
      <c r="AI26" s="278">
        <f t="shared" si="21"/>
        <v>0.24607046070460706</v>
      </c>
      <c r="AJ26" s="278">
        <v>0.36043360433604338</v>
      </c>
      <c r="AK26" s="278">
        <f t="shared" si="9"/>
        <v>0.46368563685636854</v>
      </c>
      <c r="AL26" s="278">
        <f t="shared" si="22"/>
        <v>4.9214092140921414E-2</v>
      </c>
      <c r="AM26" s="278">
        <f t="shared" si="23"/>
        <v>7.2086720867208673E-2</v>
      </c>
      <c r="AN26" s="278">
        <f t="shared" si="11"/>
        <v>9.2737127371273709E-2</v>
      </c>
      <c r="AO26" s="532" t="s">
        <v>1844</v>
      </c>
      <c r="AP26" s="534" t="s">
        <v>1895</v>
      </c>
      <c r="AQ26" s="534" t="s">
        <v>1986</v>
      </c>
      <c r="AR26" s="533" t="s">
        <v>2021</v>
      </c>
      <c r="AS26" s="754" t="s">
        <v>2107</v>
      </c>
      <c r="AT26" s="754" t="s">
        <v>2139</v>
      </c>
      <c r="AU26" s="533" t="s">
        <v>1969</v>
      </c>
      <c r="AV26" s="558" t="s">
        <v>1887</v>
      </c>
      <c r="AW26" s="558" t="s">
        <v>2294</v>
      </c>
    </row>
    <row r="27" spans="1:49" ht="122.4" customHeight="1" thickBot="1" x14ac:dyDescent="0.45">
      <c r="A27" s="261"/>
      <c r="B27" s="1355" t="s">
        <v>392</v>
      </c>
      <c r="C27" s="1356" t="s">
        <v>393</v>
      </c>
      <c r="D27" s="572" t="s">
        <v>357</v>
      </c>
      <c r="E27" s="269">
        <v>0.05</v>
      </c>
      <c r="F27" s="270">
        <v>8400</v>
      </c>
      <c r="G27" s="289">
        <v>400</v>
      </c>
      <c r="H27" s="704">
        <v>2700</v>
      </c>
      <c r="I27" s="290">
        <v>2700</v>
      </c>
      <c r="J27" s="279">
        <f t="shared" si="17"/>
        <v>4.7619047619047616E-2</v>
      </c>
      <c r="K27" s="279">
        <f t="shared" si="10"/>
        <v>0.32142857142857145</v>
      </c>
      <c r="L27" s="279">
        <f t="shared" si="14"/>
        <v>0.32142857142857145</v>
      </c>
      <c r="M27" s="280">
        <f t="shared" si="18"/>
        <v>2.3809523809523812E-3</v>
      </c>
      <c r="N27" s="280">
        <f t="shared" si="15"/>
        <v>1.6071428571428573E-2</v>
      </c>
      <c r="O27" s="280"/>
      <c r="P27" s="275">
        <v>400</v>
      </c>
      <c r="Q27" s="535">
        <v>0</v>
      </c>
      <c r="R27" s="276">
        <v>255</v>
      </c>
      <c r="S27" s="276">
        <v>55</v>
      </c>
      <c r="T27" s="276">
        <v>0</v>
      </c>
      <c r="U27" s="276"/>
      <c r="V27" s="601">
        <f t="shared" si="24"/>
        <v>310</v>
      </c>
      <c r="W27" s="601">
        <f t="shared" si="25"/>
        <v>1045</v>
      </c>
      <c r="X27" s="1032">
        <v>106</v>
      </c>
      <c r="Y27" s="1032">
        <v>229</v>
      </c>
      <c r="Z27" s="289"/>
      <c r="AA27" s="289"/>
      <c r="AB27" s="289">
        <f t="shared" si="7"/>
        <v>335</v>
      </c>
      <c r="AC27" s="277">
        <v>1</v>
      </c>
      <c r="AD27" s="278">
        <f t="shared" si="26"/>
        <v>0.11481481481481481</v>
      </c>
      <c r="AE27" s="278">
        <f t="shared" si="8"/>
        <v>0.12407407407407407</v>
      </c>
      <c r="AF27" s="278">
        <f t="shared" si="19"/>
        <v>0.05</v>
      </c>
      <c r="AG27" s="278">
        <f t="shared" si="20"/>
        <v>5.7407407407407407E-3</v>
      </c>
      <c r="AH27" s="278">
        <f t="shared" si="13"/>
        <v>6.2037037037037043E-3</v>
      </c>
      <c r="AI27" s="278">
        <f t="shared" si="21"/>
        <v>4.7619047619047616E-2</v>
      </c>
      <c r="AJ27" s="278">
        <v>8.4523809523809529E-2</v>
      </c>
      <c r="AK27" s="278">
        <f t="shared" si="9"/>
        <v>0.12440476190476191</v>
      </c>
      <c r="AL27" s="278">
        <f t="shared" si="22"/>
        <v>2.3809523809523812E-3</v>
      </c>
      <c r="AM27" s="278">
        <f t="shared" si="23"/>
        <v>4.2261904761904763E-3</v>
      </c>
      <c r="AN27" s="278">
        <f t="shared" si="11"/>
        <v>6.2202380952380955E-3</v>
      </c>
      <c r="AO27" s="532" t="s">
        <v>1844</v>
      </c>
      <c r="AP27" s="534" t="s">
        <v>1895</v>
      </c>
      <c r="AQ27" s="534" t="s">
        <v>1986</v>
      </c>
      <c r="AR27" s="754" t="s">
        <v>2011</v>
      </c>
      <c r="AS27" s="754" t="s">
        <v>2107</v>
      </c>
      <c r="AT27" s="754" t="s">
        <v>2139</v>
      </c>
      <c r="AU27" s="558" t="s">
        <v>2196</v>
      </c>
      <c r="AV27" s="558" t="s">
        <v>1887</v>
      </c>
      <c r="AW27" s="558" t="s">
        <v>2294</v>
      </c>
    </row>
    <row r="28" spans="1:49" ht="122.4" customHeight="1" thickBot="1" x14ac:dyDescent="0.45">
      <c r="A28" s="261"/>
      <c r="B28" s="1345" t="s">
        <v>394</v>
      </c>
      <c r="C28" s="1346" t="s">
        <v>395</v>
      </c>
      <c r="D28" s="445" t="s">
        <v>357</v>
      </c>
      <c r="E28" s="269">
        <v>0.05</v>
      </c>
      <c r="F28" s="270">
        <v>50</v>
      </c>
      <c r="G28" s="289">
        <v>12</v>
      </c>
      <c r="H28" s="704">
        <v>12</v>
      </c>
      <c r="I28" s="290">
        <v>13</v>
      </c>
      <c r="J28" s="279">
        <f t="shared" si="17"/>
        <v>0.24</v>
      </c>
      <c r="K28" s="279">
        <f t="shared" si="10"/>
        <v>0.24</v>
      </c>
      <c r="L28" s="279">
        <f t="shared" si="14"/>
        <v>0.26</v>
      </c>
      <c r="M28" s="280">
        <f t="shared" si="18"/>
        <v>1.2E-2</v>
      </c>
      <c r="N28" s="280">
        <f t="shared" si="15"/>
        <v>1.2E-2</v>
      </c>
      <c r="O28" s="280"/>
      <c r="P28" s="275">
        <v>12</v>
      </c>
      <c r="Q28" s="535">
        <v>0</v>
      </c>
      <c r="R28" s="276">
        <v>12</v>
      </c>
      <c r="S28" s="276">
        <v>0</v>
      </c>
      <c r="T28" s="276">
        <v>0</v>
      </c>
      <c r="U28" s="276"/>
      <c r="V28" s="601">
        <f t="shared" si="24"/>
        <v>12</v>
      </c>
      <c r="W28" s="601">
        <f t="shared" si="25"/>
        <v>37</v>
      </c>
      <c r="X28" s="1032">
        <v>13</v>
      </c>
      <c r="Y28" s="1032">
        <v>0</v>
      </c>
      <c r="Z28" s="289"/>
      <c r="AA28" s="289"/>
      <c r="AB28" s="289">
        <f t="shared" si="7"/>
        <v>13</v>
      </c>
      <c r="AC28" s="277">
        <v>1</v>
      </c>
      <c r="AD28" s="278">
        <f>+V28/H28</f>
        <v>1</v>
      </c>
      <c r="AE28" s="278">
        <f t="shared" si="8"/>
        <v>1</v>
      </c>
      <c r="AF28" s="278">
        <f t="shared" si="19"/>
        <v>0.05</v>
      </c>
      <c r="AG28" s="278">
        <f t="shared" si="20"/>
        <v>0.05</v>
      </c>
      <c r="AH28" s="278">
        <f t="shared" si="13"/>
        <v>0.05</v>
      </c>
      <c r="AI28" s="278">
        <f t="shared" si="21"/>
        <v>0.24</v>
      </c>
      <c r="AJ28" s="278">
        <v>0.48</v>
      </c>
      <c r="AK28" s="278">
        <f t="shared" si="9"/>
        <v>0.74</v>
      </c>
      <c r="AL28" s="278">
        <f t="shared" si="22"/>
        <v>1.2E-2</v>
      </c>
      <c r="AM28" s="278">
        <f t="shared" si="23"/>
        <v>2.4E-2</v>
      </c>
      <c r="AN28" s="278">
        <f t="shared" si="11"/>
        <v>3.6999999999999998E-2</v>
      </c>
      <c r="AO28" s="532" t="s">
        <v>1844</v>
      </c>
      <c r="AP28" s="534" t="s">
        <v>1895</v>
      </c>
      <c r="AQ28" s="267"/>
      <c r="AR28" s="754" t="s">
        <v>2011</v>
      </c>
      <c r="AS28" s="754" t="s">
        <v>2107</v>
      </c>
      <c r="AT28" s="754" t="s">
        <v>2139</v>
      </c>
      <c r="AU28" s="558" t="s">
        <v>2196</v>
      </c>
      <c r="AV28" s="558" t="s">
        <v>1887</v>
      </c>
      <c r="AW28" s="558" t="s">
        <v>2294</v>
      </c>
    </row>
    <row r="29" spans="1:49" ht="122.4" customHeight="1" thickBot="1" x14ac:dyDescent="0.55000000000000004">
      <c r="A29" s="261"/>
      <c r="B29" s="1333" t="s">
        <v>1641</v>
      </c>
      <c r="C29" s="1334"/>
      <c r="D29" s="567"/>
      <c r="E29" s="266">
        <v>0.05</v>
      </c>
      <c r="F29" s="284"/>
      <c r="G29" s="285"/>
      <c r="H29" s="926"/>
      <c r="I29" s="267"/>
      <c r="J29" s="286">
        <f>+AVERAGE(J30:J33)</f>
        <v>0.15707666719467767</v>
      </c>
      <c r="K29" s="286">
        <f>+AVERAGE(K30:K33)</f>
        <v>0.26624623792174879</v>
      </c>
      <c r="L29" s="286">
        <f>+AVERAGE(L30:L33)</f>
        <v>0.25778816199376947</v>
      </c>
      <c r="M29" s="287">
        <f>+M30+M31+M32+M33</f>
        <v>0.14557658799303025</v>
      </c>
      <c r="N29" s="287">
        <f>+N30+N31+N32+N33</f>
        <v>0.263632583557738</v>
      </c>
      <c r="O29" s="287"/>
      <c r="P29" s="275"/>
      <c r="Q29" s="288"/>
      <c r="R29" s="288"/>
      <c r="S29" s="288"/>
      <c r="T29" s="288"/>
      <c r="U29" s="816"/>
      <c r="V29" s="288"/>
      <c r="W29" s="288"/>
      <c r="X29" s="936"/>
      <c r="Y29" s="936"/>
      <c r="Z29" s="936"/>
      <c r="AA29" s="936"/>
      <c r="AB29" s="936"/>
      <c r="AC29" s="476">
        <f>+AVERAGE(AC30:AC33)</f>
        <v>0.98</v>
      </c>
      <c r="AD29" s="476">
        <f>+AVERAGE(AD30:AD33)</f>
        <v>1</v>
      </c>
      <c r="AE29" s="476">
        <f>+AVERAGE(AE30:AE33)</f>
        <v>0.95535714285714279</v>
      </c>
      <c r="AF29" s="307">
        <f>+(AF30+AF31+AF32+AF33)*E29</f>
        <v>4.9200000000000008E-2</v>
      </c>
      <c r="AG29" s="307">
        <f>+(AG30+AG31+AG32+AG33)*E29</f>
        <v>0.05</v>
      </c>
      <c r="AH29" s="307">
        <f>+(AH30+AH31+AH32+AH33)*E29</f>
        <v>4.821428571428571E-2</v>
      </c>
      <c r="AI29" s="268">
        <f>+AVERAGE(AI30:AI33)</f>
        <v>0.28525463329637252</v>
      </c>
      <c r="AJ29" s="268">
        <v>0.78257167749089174</v>
      </c>
      <c r="AK29" s="268">
        <f>+AVERAGE(AK30:AK33)</f>
        <v>0.94934064628544268</v>
      </c>
      <c r="AL29" s="268">
        <f>+(AL30+AL31+AL32+AL33)*E29</f>
        <v>1.4958914145414224E-2</v>
      </c>
      <c r="AM29" s="268">
        <f>+(AM30+AM31+AM32+AM33)</f>
        <v>0.80359971487406945</v>
      </c>
      <c r="AN29" s="268">
        <f>+(AN30+AN31+AN32+AN33)</f>
        <v>0.95120980516394738</v>
      </c>
      <c r="AO29" s="639"/>
      <c r="AP29" s="267"/>
      <c r="AQ29" s="267"/>
      <c r="AR29" s="267"/>
      <c r="AS29" s="267"/>
      <c r="AT29" s="755"/>
      <c r="AU29" s="752"/>
      <c r="AV29" s="755"/>
    </row>
    <row r="30" spans="1:49" ht="160.19999999999999" customHeight="1" thickBot="1" x14ac:dyDescent="0.45">
      <c r="A30" s="261"/>
      <c r="B30" s="1345" t="s">
        <v>396</v>
      </c>
      <c r="C30" s="1346" t="s">
        <v>397</v>
      </c>
      <c r="D30" s="573" t="s">
        <v>357</v>
      </c>
      <c r="E30" s="295">
        <v>0.25</v>
      </c>
      <c r="F30" s="270">
        <v>236</v>
      </c>
      <c r="G30" s="289">
        <v>10</v>
      </c>
      <c r="H30" s="704">
        <v>59</v>
      </c>
      <c r="I30" s="290">
        <v>59</v>
      </c>
      <c r="J30" s="279">
        <f>+G30/F30</f>
        <v>4.2372881355932202E-2</v>
      </c>
      <c r="K30" s="279">
        <f t="shared" si="10"/>
        <v>0.25</v>
      </c>
      <c r="L30" s="279">
        <f t="shared" si="14"/>
        <v>0.25</v>
      </c>
      <c r="M30" s="280">
        <f>+(G30/F30)*E30</f>
        <v>1.059322033898305E-2</v>
      </c>
      <c r="N30" s="280">
        <f t="shared" si="15"/>
        <v>6.25E-2</v>
      </c>
      <c r="O30" s="280"/>
      <c r="P30" s="275">
        <v>71</v>
      </c>
      <c r="Q30" s="535">
        <v>59</v>
      </c>
      <c r="R30" s="276">
        <v>0</v>
      </c>
      <c r="S30" s="276">
        <v>0</v>
      </c>
      <c r="T30" s="276">
        <v>0</v>
      </c>
      <c r="U30" s="276">
        <v>0</v>
      </c>
      <c r="V30" s="601">
        <f>+Q30+R30+S30+T30+U30</f>
        <v>59</v>
      </c>
      <c r="W30" s="601">
        <f>+V30+P30+AB30</f>
        <v>197</v>
      </c>
      <c r="X30" s="1041">
        <v>47</v>
      </c>
      <c r="Y30" s="1041">
        <v>20</v>
      </c>
      <c r="Z30" s="939"/>
      <c r="AA30" s="939"/>
      <c r="AB30" s="939">
        <f t="shared" si="7"/>
        <v>67</v>
      </c>
      <c r="AC30" s="277">
        <v>1</v>
      </c>
      <c r="AD30" s="278">
        <f>+V30/H30</f>
        <v>1</v>
      </c>
      <c r="AE30" s="278">
        <v>1</v>
      </c>
      <c r="AF30" s="278">
        <f>+AC30*E30</f>
        <v>0.25</v>
      </c>
      <c r="AG30" s="278">
        <f>+AD30*E30</f>
        <v>0.25</v>
      </c>
      <c r="AH30" s="278">
        <f>+AE30*E30</f>
        <v>0.25</v>
      </c>
      <c r="AI30" s="278">
        <f>+P30/F30</f>
        <v>0.30084745762711862</v>
      </c>
      <c r="AJ30" s="278">
        <v>0.55084745762711862</v>
      </c>
      <c r="AK30" s="278">
        <f t="shared" si="9"/>
        <v>0.8347457627118644</v>
      </c>
      <c r="AL30" s="278">
        <f>+AI30*E30</f>
        <v>7.5211864406779655E-2</v>
      </c>
      <c r="AM30" s="278">
        <f>+AJ30*E30</f>
        <v>0.13771186440677965</v>
      </c>
      <c r="AN30" s="278">
        <f t="shared" si="11"/>
        <v>0.2086864406779661</v>
      </c>
      <c r="AO30" s="532" t="s">
        <v>1844</v>
      </c>
      <c r="AP30" s="534" t="s">
        <v>1895</v>
      </c>
      <c r="AQ30" s="534" t="s">
        <v>1986</v>
      </c>
      <c r="AR30" s="754" t="s">
        <v>2011</v>
      </c>
      <c r="AS30" s="754" t="s">
        <v>2107</v>
      </c>
      <c r="AT30" s="754" t="s">
        <v>2139</v>
      </c>
      <c r="AU30" s="558" t="s">
        <v>2196</v>
      </c>
      <c r="AV30" s="558" t="s">
        <v>1887</v>
      </c>
      <c r="AW30" s="558" t="s">
        <v>2294</v>
      </c>
    </row>
    <row r="31" spans="1:49" ht="142.19999999999999" customHeight="1" thickBot="1" x14ac:dyDescent="0.45">
      <c r="A31" s="261"/>
      <c r="B31" s="1345" t="s">
        <v>398</v>
      </c>
      <c r="C31" s="1346" t="s">
        <v>399</v>
      </c>
      <c r="D31" s="573" t="s">
        <v>357</v>
      </c>
      <c r="E31" s="295">
        <v>0.35</v>
      </c>
      <c r="F31" s="270">
        <v>59</v>
      </c>
      <c r="G31" s="289">
        <v>7</v>
      </c>
      <c r="H31" s="704">
        <v>15</v>
      </c>
      <c r="I31" s="290">
        <v>15</v>
      </c>
      <c r="J31" s="279">
        <f>+G31/F31</f>
        <v>0.11864406779661017</v>
      </c>
      <c r="K31" s="279">
        <f t="shared" si="10"/>
        <v>0.25423728813559321</v>
      </c>
      <c r="L31" s="279"/>
      <c r="M31" s="280">
        <f>+(G31/F31)*E31</f>
        <v>4.1525423728813557E-2</v>
      </c>
      <c r="N31" s="280">
        <f t="shared" si="15"/>
        <v>8.8983050847457612E-2</v>
      </c>
      <c r="O31" s="280"/>
      <c r="P31" s="275">
        <v>22</v>
      </c>
      <c r="Q31" s="535">
        <v>0</v>
      </c>
      <c r="R31" s="276">
        <v>15</v>
      </c>
      <c r="S31" s="276">
        <v>8</v>
      </c>
      <c r="T31" s="276">
        <v>0</v>
      </c>
      <c r="U31" s="276">
        <v>23</v>
      </c>
      <c r="V31" s="601">
        <f t="shared" ref="V31:V33" si="27">+Q31+R31+S31+T31+U31</f>
        <v>46</v>
      </c>
      <c r="W31" s="601">
        <f t="shared" ref="W31:W33" si="28">+V31+P31+AB31</f>
        <v>94</v>
      </c>
      <c r="X31" s="1032">
        <v>16</v>
      </c>
      <c r="Y31" s="1032">
        <v>10</v>
      </c>
      <c r="Z31" s="289"/>
      <c r="AA31" s="289"/>
      <c r="AB31" s="289">
        <f t="shared" si="7"/>
        <v>26</v>
      </c>
      <c r="AC31" s="277">
        <v>1</v>
      </c>
      <c r="AD31" s="278">
        <v>1</v>
      </c>
      <c r="AE31" s="278">
        <v>1</v>
      </c>
      <c r="AF31" s="278">
        <f>+AC31*E31</f>
        <v>0.35</v>
      </c>
      <c r="AG31" s="278">
        <f>+AD31*E31</f>
        <v>0.35</v>
      </c>
      <c r="AH31" s="278">
        <f t="shared" si="13"/>
        <v>0.35</v>
      </c>
      <c r="AI31" s="278">
        <f>+P31/F31</f>
        <v>0.3728813559322034</v>
      </c>
      <c r="AJ31" s="278">
        <v>1</v>
      </c>
      <c r="AK31" s="278">
        <v>1</v>
      </c>
      <c r="AL31" s="278">
        <f>+AI31*E31</f>
        <v>0.13050847457627118</v>
      </c>
      <c r="AM31" s="278">
        <f>+AJ31*E31</f>
        <v>0.35</v>
      </c>
      <c r="AN31" s="278">
        <f t="shared" si="11"/>
        <v>0.35</v>
      </c>
      <c r="AO31" s="532" t="s">
        <v>1844</v>
      </c>
      <c r="AP31" s="534" t="s">
        <v>1895</v>
      </c>
      <c r="AQ31" s="267"/>
      <c r="AR31" s="754" t="s">
        <v>2011</v>
      </c>
      <c r="AS31" s="754" t="s">
        <v>2107</v>
      </c>
      <c r="AT31" s="533" t="s">
        <v>1859</v>
      </c>
      <c r="AU31" s="533" t="s">
        <v>1859</v>
      </c>
      <c r="AV31" s="558" t="s">
        <v>1887</v>
      </c>
      <c r="AW31" s="558" t="s">
        <v>2294</v>
      </c>
    </row>
    <row r="32" spans="1:49" ht="122.4" customHeight="1" thickBot="1" x14ac:dyDescent="0.45">
      <c r="A32" s="261"/>
      <c r="B32" s="1345" t="s">
        <v>400</v>
      </c>
      <c r="C32" s="1346" t="s">
        <v>401</v>
      </c>
      <c r="D32" s="573" t="s">
        <v>357</v>
      </c>
      <c r="E32" s="295">
        <v>0.2</v>
      </c>
      <c r="F32" s="270">
        <v>107</v>
      </c>
      <c r="G32" s="289">
        <v>25</v>
      </c>
      <c r="H32" s="704">
        <v>30</v>
      </c>
      <c r="I32" s="290">
        <v>28</v>
      </c>
      <c r="J32" s="279">
        <f>+G32/F32</f>
        <v>0.23364485981308411</v>
      </c>
      <c r="K32" s="279">
        <f t="shared" si="10"/>
        <v>0.28037383177570091</v>
      </c>
      <c r="L32" s="279">
        <f t="shared" si="14"/>
        <v>0.26168224299065418</v>
      </c>
      <c r="M32" s="280">
        <f>+(G32/F32)*E32</f>
        <v>4.6728971962616828E-2</v>
      </c>
      <c r="N32" s="280">
        <f t="shared" si="15"/>
        <v>5.6074766355140186E-2</v>
      </c>
      <c r="O32" s="280"/>
      <c r="P32" s="294">
        <v>27</v>
      </c>
      <c r="Q32" s="535">
        <v>21</v>
      </c>
      <c r="R32" s="276">
        <v>30</v>
      </c>
      <c r="S32" s="276">
        <v>7</v>
      </c>
      <c r="T32" s="276">
        <v>12</v>
      </c>
      <c r="U32" s="276">
        <v>0</v>
      </c>
      <c r="V32" s="601">
        <f t="shared" si="27"/>
        <v>70</v>
      </c>
      <c r="W32" s="601">
        <f t="shared" si="28"/>
        <v>120</v>
      </c>
      <c r="X32" s="1032">
        <v>23</v>
      </c>
      <c r="Y32" s="1032">
        <v>0</v>
      </c>
      <c r="Z32" s="938"/>
      <c r="AA32" s="938"/>
      <c r="AB32" s="938">
        <f t="shared" si="7"/>
        <v>23</v>
      </c>
      <c r="AC32" s="277">
        <v>1</v>
      </c>
      <c r="AD32" s="278">
        <v>1</v>
      </c>
      <c r="AE32" s="278">
        <f t="shared" si="8"/>
        <v>0.8214285714285714</v>
      </c>
      <c r="AF32" s="278">
        <f>+AC32*E32</f>
        <v>0.2</v>
      </c>
      <c r="AG32" s="278">
        <f>+AD32*E32</f>
        <v>0.2</v>
      </c>
      <c r="AH32" s="278">
        <f t="shared" si="13"/>
        <v>0.16428571428571428</v>
      </c>
      <c r="AI32" s="278">
        <f>+P32/F32</f>
        <v>0.25233644859813081</v>
      </c>
      <c r="AJ32" s="278">
        <v>0.90654205607476634</v>
      </c>
      <c r="AK32" s="278">
        <v>1</v>
      </c>
      <c r="AL32" s="278">
        <f>+AI32*E32</f>
        <v>5.0467289719626163E-2</v>
      </c>
      <c r="AM32" s="278">
        <f>+AJ32*E32</f>
        <v>0.18130841121495328</v>
      </c>
      <c r="AN32" s="278">
        <f t="shared" si="11"/>
        <v>0.2</v>
      </c>
      <c r="AO32" s="532" t="s">
        <v>1844</v>
      </c>
      <c r="AP32" s="534" t="s">
        <v>1895</v>
      </c>
      <c r="AQ32" s="267"/>
      <c r="AR32" s="754" t="s">
        <v>2011</v>
      </c>
      <c r="AS32" s="754" t="s">
        <v>2107</v>
      </c>
      <c r="AT32" s="754" t="s">
        <v>2139</v>
      </c>
      <c r="AU32" s="558" t="s">
        <v>2196</v>
      </c>
      <c r="AV32" s="558" t="s">
        <v>1887</v>
      </c>
      <c r="AW32" s="558" t="s">
        <v>2294</v>
      </c>
    </row>
    <row r="33" spans="1:49" ht="164.4" customHeight="1" thickBot="1" x14ac:dyDescent="0.45">
      <c r="A33" s="261"/>
      <c r="B33" s="1345" t="s">
        <v>402</v>
      </c>
      <c r="C33" s="1346" t="s">
        <v>403</v>
      </c>
      <c r="D33" s="573" t="s">
        <v>357</v>
      </c>
      <c r="E33" s="295">
        <v>0.2</v>
      </c>
      <c r="F33" s="270">
        <v>107</v>
      </c>
      <c r="G33" s="289">
        <v>25</v>
      </c>
      <c r="H33" s="704">
        <v>30</v>
      </c>
      <c r="I33" s="290">
        <v>28</v>
      </c>
      <c r="J33" s="279">
        <f>+G33/F33</f>
        <v>0.23364485981308411</v>
      </c>
      <c r="K33" s="279">
        <f t="shared" si="10"/>
        <v>0.28037383177570091</v>
      </c>
      <c r="L33" s="279">
        <f t="shared" si="14"/>
        <v>0.26168224299065418</v>
      </c>
      <c r="M33" s="280">
        <f>+(G33/F33)*E33</f>
        <v>4.6728971962616828E-2</v>
      </c>
      <c r="N33" s="280">
        <f t="shared" si="15"/>
        <v>5.6074766355140186E-2</v>
      </c>
      <c r="O33" s="280"/>
      <c r="P33" s="294">
        <v>23</v>
      </c>
      <c r="Q33" s="535">
        <v>0</v>
      </c>
      <c r="R33" s="276">
        <v>30</v>
      </c>
      <c r="S33" s="276">
        <v>7</v>
      </c>
      <c r="T33" s="276">
        <v>12</v>
      </c>
      <c r="U33" s="276">
        <v>0</v>
      </c>
      <c r="V33" s="601">
        <f t="shared" si="27"/>
        <v>49</v>
      </c>
      <c r="W33" s="601">
        <f t="shared" si="28"/>
        <v>103</v>
      </c>
      <c r="X33" s="1032">
        <v>15</v>
      </c>
      <c r="Y33" s="1032">
        <v>16</v>
      </c>
      <c r="Z33" s="938"/>
      <c r="AA33" s="938"/>
      <c r="AB33" s="938">
        <f t="shared" si="7"/>
        <v>31</v>
      </c>
      <c r="AC33" s="277">
        <f>+P33/G33</f>
        <v>0.92</v>
      </c>
      <c r="AD33" s="278">
        <v>1</v>
      </c>
      <c r="AE33" s="278">
        <v>1</v>
      </c>
      <c r="AF33" s="278">
        <f>+AC33*E33</f>
        <v>0.18400000000000002</v>
      </c>
      <c r="AG33" s="278">
        <f>+AD33*E33</f>
        <v>0.2</v>
      </c>
      <c r="AH33" s="278">
        <f t="shared" si="13"/>
        <v>0.2</v>
      </c>
      <c r="AI33" s="278">
        <f>+P33/F33</f>
        <v>0.21495327102803738</v>
      </c>
      <c r="AJ33" s="278">
        <v>0.67289719626168221</v>
      </c>
      <c r="AK33" s="278">
        <f t="shared" si="9"/>
        <v>0.96261682242990654</v>
      </c>
      <c r="AL33" s="278">
        <f>+AI33*E33</f>
        <v>4.2990654205607479E-2</v>
      </c>
      <c r="AM33" s="278">
        <f>+AJ33*E33</f>
        <v>0.13457943925233645</v>
      </c>
      <c r="AN33" s="278">
        <f t="shared" si="11"/>
        <v>0.19252336448598131</v>
      </c>
      <c r="AO33" s="532" t="s">
        <v>1844</v>
      </c>
      <c r="AP33" s="534" t="s">
        <v>1895</v>
      </c>
      <c r="AQ33" s="534" t="s">
        <v>1986</v>
      </c>
      <c r="AR33" s="754" t="s">
        <v>2011</v>
      </c>
      <c r="AS33" s="754" t="s">
        <v>2107</v>
      </c>
      <c r="AT33" s="754" t="s">
        <v>2139</v>
      </c>
      <c r="AU33" s="558" t="s">
        <v>2196</v>
      </c>
      <c r="AV33" s="558" t="s">
        <v>1887</v>
      </c>
      <c r="AW33" s="558" t="s">
        <v>2294</v>
      </c>
    </row>
    <row r="34" spans="1:49" ht="122.4" customHeight="1" thickBot="1" x14ac:dyDescent="0.55000000000000004">
      <c r="A34" s="261"/>
      <c r="B34" s="1335" t="s">
        <v>1642</v>
      </c>
      <c r="C34" s="1336"/>
      <c r="D34" s="445"/>
      <c r="E34" s="266">
        <v>0.02</v>
      </c>
      <c r="F34" s="284"/>
      <c r="G34" s="285"/>
      <c r="H34" s="926"/>
      <c r="I34" s="267"/>
      <c r="J34" s="286">
        <f>+AVERAGE(J35:J38)</f>
        <v>0.44396853146853149</v>
      </c>
      <c r="K34" s="286">
        <f>+AVERAGE(K35:K38)</f>
        <v>0.2717074592074592</v>
      </c>
      <c r="L34" s="286">
        <f>+AVERAGE(L35:L38)/2</f>
        <v>0.12613636363636363</v>
      </c>
      <c r="M34" s="287">
        <f>+M35+M36+M37+M38</f>
        <v>0.55517482517482519</v>
      </c>
      <c r="N34" s="287">
        <f>+N35+N36+N37+N38</f>
        <v>0.28403263403263401</v>
      </c>
      <c r="O34" s="287"/>
      <c r="P34" s="275"/>
      <c r="Q34" s="288"/>
      <c r="R34" s="288"/>
      <c r="S34" s="288"/>
      <c r="T34" s="288"/>
      <c r="U34" s="816"/>
      <c r="V34" s="288"/>
      <c r="W34" s="288"/>
      <c r="X34" s="936"/>
      <c r="Y34" s="936"/>
      <c r="Z34" s="936"/>
      <c r="AA34" s="936"/>
      <c r="AB34" s="936"/>
      <c r="AC34" s="476">
        <f>+AVERAGE(AC35:AC38)</f>
        <v>0.28083333333333332</v>
      </c>
      <c r="AD34" s="476">
        <f>+AVERAGE(AD35:AD38)</f>
        <v>0.96666666666666667</v>
      </c>
      <c r="AE34" s="476">
        <f>+AVERAGE(AE35:AE38)</f>
        <v>0.5</v>
      </c>
      <c r="AF34" s="307">
        <f>+(AF35+AF36+AF37+AF38)*E34</f>
        <v>5.8266666666666666E-3</v>
      </c>
      <c r="AG34" s="307">
        <f>+(AG35+AG36+AG37+AG38)*E34</f>
        <v>1.9466666666666667E-2</v>
      </c>
      <c r="AH34" s="307">
        <f>+(AH35+AH36+AH37+AH38)*E34</f>
        <v>1.2000000000000002E-2</v>
      </c>
      <c r="AI34" s="268">
        <f>+AVERAGE(AI35:AI38)</f>
        <v>0.14352564102564103</v>
      </c>
      <c r="AJ34" s="268">
        <v>0.64242424242424245</v>
      </c>
      <c r="AK34" s="268">
        <f>+AVERAGE(AK35:AK38)</f>
        <v>0.64242424242424245</v>
      </c>
      <c r="AL34" s="268">
        <f>+(AL35+AL36+AL37+AL38)*E34</f>
        <v>3.6297435897435898E-3</v>
      </c>
      <c r="AM34" s="268">
        <f>+(AM35+AM36+AM37+AM38)</f>
        <v>0.71393939393939398</v>
      </c>
      <c r="AN34" s="268">
        <f>+(AN35+AN36+AN37+AN38)</f>
        <v>0.71393939393939398</v>
      </c>
      <c r="AO34" s="639"/>
      <c r="AP34" s="267"/>
      <c r="AQ34" s="267"/>
      <c r="AR34" s="267"/>
      <c r="AS34" s="267"/>
      <c r="AT34" s="755"/>
      <c r="AU34" s="752"/>
      <c r="AV34" s="755"/>
    </row>
    <row r="35" spans="1:49" ht="248.4" customHeight="1" thickBot="1" x14ac:dyDescent="0.45">
      <c r="A35" s="261"/>
      <c r="B35" s="1345" t="s">
        <v>404</v>
      </c>
      <c r="C35" s="1354" t="s">
        <v>405</v>
      </c>
      <c r="D35" s="445" t="s">
        <v>357</v>
      </c>
      <c r="E35" s="269">
        <v>0.2</v>
      </c>
      <c r="F35" s="270">
        <v>13</v>
      </c>
      <c r="G35" s="289">
        <v>4</v>
      </c>
      <c r="H35" s="704">
        <v>3</v>
      </c>
      <c r="I35" s="290">
        <v>3</v>
      </c>
      <c r="J35" s="279">
        <f>+G35/F35</f>
        <v>0.30769230769230771</v>
      </c>
      <c r="K35" s="279">
        <f t="shared" si="10"/>
        <v>0.23076923076923078</v>
      </c>
      <c r="L35" s="279"/>
      <c r="M35" s="280">
        <f>+(G35/F35)*E35</f>
        <v>6.1538461538461542E-2</v>
      </c>
      <c r="N35" s="280">
        <f t="shared" si="15"/>
        <v>4.6153846153846156E-2</v>
      </c>
      <c r="O35" s="280"/>
      <c r="P35" s="275">
        <v>3</v>
      </c>
      <c r="Q35" s="535">
        <v>0</v>
      </c>
      <c r="R35" s="276">
        <v>3</v>
      </c>
      <c r="S35" s="276">
        <v>6</v>
      </c>
      <c r="T35" s="276">
        <v>2</v>
      </c>
      <c r="U35" s="276">
        <v>0</v>
      </c>
      <c r="V35" s="601">
        <f>+Q35+R35+S35+T35+U35</f>
        <v>11</v>
      </c>
      <c r="W35" s="601">
        <f>+V35+P35+AB35</f>
        <v>17</v>
      </c>
      <c r="X35" s="1032">
        <v>1</v>
      </c>
      <c r="Y35" s="1032">
        <v>2</v>
      </c>
      <c r="Z35" s="289"/>
      <c r="AA35" s="289"/>
      <c r="AB35" s="289">
        <f t="shared" si="7"/>
        <v>3</v>
      </c>
      <c r="AC35" s="277">
        <f>+P35/G35</f>
        <v>0.75</v>
      </c>
      <c r="AD35" s="278">
        <v>1</v>
      </c>
      <c r="AE35" s="278">
        <f t="shared" si="8"/>
        <v>1</v>
      </c>
      <c r="AF35" s="278">
        <f>+AC35*E35</f>
        <v>0.15000000000000002</v>
      </c>
      <c r="AG35" s="278">
        <f>+AD35*E35</f>
        <v>0.2</v>
      </c>
      <c r="AH35" s="278">
        <f t="shared" si="13"/>
        <v>0.2</v>
      </c>
      <c r="AI35" s="278">
        <f>+P35/F35</f>
        <v>0.23076923076923078</v>
      </c>
      <c r="AJ35" s="278">
        <v>1</v>
      </c>
      <c r="AK35" s="278">
        <v>1</v>
      </c>
      <c r="AL35" s="278">
        <f>+AI35*E35</f>
        <v>4.6153846153846156E-2</v>
      </c>
      <c r="AM35" s="278">
        <f>+AJ35*E35</f>
        <v>0.2</v>
      </c>
      <c r="AN35" s="278">
        <f t="shared" si="11"/>
        <v>0.2</v>
      </c>
      <c r="AO35" s="532" t="s">
        <v>1844</v>
      </c>
      <c r="AP35" s="534" t="s">
        <v>1895</v>
      </c>
      <c r="AQ35" s="534" t="s">
        <v>1986</v>
      </c>
      <c r="AR35" s="754" t="s">
        <v>2011</v>
      </c>
      <c r="AS35" s="754" t="s">
        <v>2107</v>
      </c>
      <c r="AT35" s="754" t="s">
        <v>2139</v>
      </c>
      <c r="AU35" s="558" t="s">
        <v>2196</v>
      </c>
      <c r="AV35" s="558" t="s">
        <v>1887</v>
      </c>
      <c r="AW35" s="558" t="s">
        <v>2294</v>
      </c>
    </row>
    <row r="36" spans="1:49" ht="122.4" customHeight="1" thickBot="1" x14ac:dyDescent="0.45">
      <c r="A36" s="261"/>
      <c r="B36" s="1345" t="s">
        <v>406</v>
      </c>
      <c r="C36" s="1354" t="s">
        <v>407</v>
      </c>
      <c r="D36" s="445" t="s">
        <v>357</v>
      </c>
      <c r="E36" s="269">
        <v>0.4</v>
      </c>
      <c r="F36" s="270">
        <v>6</v>
      </c>
      <c r="G36" s="289">
        <v>6</v>
      </c>
      <c r="H36" s="704">
        <v>2</v>
      </c>
      <c r="I36" s="290">
        <v>2</v>
      </c>
      <c r="J36" s="279">
        <f>+G36/F36</f>
        <v>1</v>
      </c>
      <c r="K36" s="279">
        <f t="shared" si="10"/>
        <v>0.33333333333333331</v>
      </c>
      <c r="L36" s="279"/>
      <c r="M36" s="280">
        <f>+(G36/F36)*E36</f>
        <v>0.4</v>
      </c>
      <c r="N36" s="280">
        <f t="shared" si="15"/>
        <v>0.13333333333333333</v>
      </c>
      <c r="O36" s="280"/>
      <c r="P36" s="275">
        <v>2</v>
      </c>
      <c r="Q36" s="535">
        <v>0</v>
      </c>
      <c r="R36" s="276">
        <v>1</v>
      </c>
      <c r="S36" s="276">
        <v>4</v>
      </c>
      <c r="T36" s="276">
        <v>0</v>
      </c>
      <c r="U36" s="276">
        <v>0</v>
      </c>
      <c r="V36" s="601">
        <f t="shared" ref="V36:V37" si="29">+Q36+R36+S36+T36+U36</f>
        <v>5</v>
      </c>
      <c r="W36" s="601">
        <f t="shared" ref="W36:W38" si="30">+V36+P36+AB36</f>
        <v>11</v>
      </c>
      <c r="X36" s="1032">
        <v>3</v>
      </c>
      <c r="Y36" s="1032">
        <v>1</v>
      </c>
      <c r="Z36" s="289"/>
      <c r="AA36" s="289"/>
      <c r="AB36" s="289">
        <f t="shared" si="7"/>
        <v>4</v>
      </c>
      <c r="AC36" s="277">
        <f>+(P36/G36)</f>
        <v>0.33333333333333331</v>
      </c>
      <c r="AD36" s="278">
        <v>1</v>
      </c>
      <c r="AE36" s="278">
        <v>1</v>
      </c>
      <c r="AF36" s="278">
        <f>+AC36*E36</f>
        <v>0.13333333333333333</v>
      </c>
      <c r="AG36" s="278">
        <f>+AD36*E36</f>
        <v>0.4</v>
      </c>
      <c r="AH36" s="278">
        <f t="shared" si="13"/>
        <v>0.4</v>
      </c>
      <c r="AI36" s="278">
        <f>+P36/F36</f>
        <v>0.33333333333333331</v>
      </c>
      <c r="AJ36" s="278">
        <v>1</v>
      </c>
      <c r="AK36" s="278">
        <v>1</v>
      </c>
      <c r="AL36" s="278">
        <f>+AI36*E36</f>
        <v>0.13333333333333333</v>
      </c>
      <c r="AM36" s="278">
        <f>+AJ36*E36</f>
        <v>0.4</v>
      </c>
      <c r="AN36" s="278">
        <f t="shared" si="11"/>
        <v>0.4</v>
      </c>
      <c r="AO36" s="532" t="s">
        <v>1844</v>
      </c>
      <c r="AP36" s="534" t="s">
        <v>1895</v>
      </c>
      <c r="AQ36" s="534" t="s">
        <v>1986</v>
      </c>
      <c r="AR36" s="754" t="s">
        <v>2011</v>
      </c>
      <c r="AS36" s="754" t="s">
        <v>2107</v>
      </c>
      <c r="AT36" s="754" t="s">
        <v>2139</v>
      </c>
      <c r="AU36" s="558" t="s">
        <v>2196</v>
      </c>
      <c r="AV36" s="558" t="s">
        <v>1887</v>
      </c>
      <c r="AW36" s="558" t="s">
        <v>2294</v>
      </c>
    </row>
    <row r="37" spans="1:49" ht="166.2" customHeight="1" thickBot="1" x14ac:dyDescent="0.45">
      <c r="A37" s="261"/>
      <c r="B37" s="1345" t="s">
        <v>408</v>
      </c>
      <c r="C37" s="1354" t="s">
        <v>409</v>
      </c>
      <c r="D37" s="445" t="s">
        <v>357</v>
      </c>
      <c r="E37" s="269">
        <v>0.2</v>
      </c>
      <c r="F37" s="270">
        <v>55</v>
      </c>
      <c r="G37" s="289">
        <v>12</v>
      </c>
      <c r="H37" s="704">
        <v>15</v>
      </c>
      <c r="I37" s="290">
        <v>14</v>
      </c>
      <c r="J37" s="279">
        <f>+G37/F37</f>
        <v>0.21818181818181817</v>
      </c>
      <c r="K37" s="279">
        <f t="shared" si="10"/>
        <v>0.27272727272727271</v>
      </c>
      <c r="L37" s="279">
        <f t="shared" si="14"/>
        <v>0.25454545454545452</v>
      </c>
      <c r="M37" s="280">
        <f>+(G37/F37)*E37</f>
        <v>4.363636363636364E-2</v>
      </c>
      <c r="N37" s="280">
        <f t="shared" si="15"/>
        <v>5.4545454545454543E-2</v>
      </c>
      <c r="O37" s="280"/>
      <c r="P37" s="275">
        <v>0</v>
      </c>
      <c r="Q37" s="535">
        <v>0</v>
      </c>
      <c r="R37" s="276">
        <v>0</v>
      </c>
      <c r="S37" s="276">
        <v>13</v>
      </c>
      <c r="T37" s="276">
        <v>0</v>
      </c>
      <c r="U37" s="276">
        <v>0</v>
      </c>
      <c r="V37" s="601">
        <f t="shared" si="29"/>
        <v>13</v>
      </c>
      <c r="W37" s="601">
        <f t="shared" si="30"/>
        <v>13</v>
      </c>
      <c r="X37" s="1032">
        <v>0</v>
      </c>
      <c r="Y37" s="1032">
        <v>0</v>
      </c>
      <c r="Z37" s="289"/>
      <c r="AA37" s="289"/>
      <c r="AB37" s="289">
        <f t="shared" si="7"/>
        <v>0</v>
      </c>
      <c r="AC37" s="277">
        <f>+(P37/G37)</f>
        <v>0</v>
      </c>
      <c r="AD37" s="278">
        <f>+V37/H37</f>
        <v>0.8666666666666667</v>
      </c>
      <c r="AE37" s="278">
        <f t="shared" si="8"/>
        <v>0</v>
      </c>
      <c r="AF37" s="278">
        <f>+AC37*E37</f>
        <v>0</v>
      </c>
      <c r="AG37" s="278">
        <f>+AD37*E37</f>
        <v>0.17333333333333334</v>
      </c>
      <c r="AH37" s="278">
        <f t="shared" si="13"/>
        <v>0</v>
      </c>
      <c r="AI37" s="278">
        <f>+P37/F37</f>
        <v>0</v>
      </c>
      <c r="AJ37" s="278">
        <v>0.23636363636363636</v>
      </c>
      <c r="AK37" s="278">
        <f t="shared" si="9"/>
        <v>0.23636363636363636</v>
      </c>
      <c r="AL37" s="278">
        <f>+AI37*E37</f>
        <v>0</v>
      </c>
      <c r="AM37" s="278">
        <f>+AJ37*E37</f>
        <v>4.7272727272727272E-2</v>
      </c>
      <c r="AN37" s="278">
        <f t="shared" si="11"/>
        <v>4.7272727272727272E-2</v>
      </c>
      <c r="AO37" s="532" t="s">
        <v>1844</v>
      </c>
      <c r="AP37" s="534" t="s">
        <v>1895</v>
      </c>
      <c r="AQ37" s="534" t="s">
        <v>1986</v>
      </c>
      <c r="AR37" s="754" t="s">
        <v>2011</v>
      </c>
      <c r="AS37" s="754" t="s">
        <v>2107</v>
      </c>
      <c r="AT37" s="533" t="s">
        <v>1859</v>
      </c>
      <c r="AU37" s="558" t="s">
        <v>2196</v>
      </c>
      <c r="AV37" s="558" t="s">
        <v>1887</v>
      </c>
      <c r="AW37" s="558" t="s">
        <v>2294</v>
      </c>
    </row>
    <row r="38" spans="1:49" ht="122.4" customHeight="1" thickBot="1" x14ac:dyDescent="0.45">
      <c r="A38" s="261"/>
      <c r="B38" s="1345" t="s">
        <v>410</v>
      </c>
      <c r="C38" s="1354" t="s">
        <v>411</v>
      </c>
      <c r="D38" s="445" t="s">
        <v>357</v>
      </c>
      <c r="E38" s="269">
        <v>0.2</v>
      </c>
      <c r="F38" s="270">
        <v>600</v>
      </c>
      <c r="G38" s="289">
        <v>150</v>
      </c>
      <c r="H38" s="704">
        <v>150</v>
      </c>
      <c r="I38" s="290">
        <v>150</v>
      </c>
      <c r="J38" s="279">
        <f>+G38/F38</f>
        <v>0.25</v>
      </c>
      <c r="K38" s="279">
        <f t="shared" si="10"/>
        <v>0.25</v>
      </c>
      <c r="L38" s="279">
        <f t="shared" si="14"/>
        <v>0.25</v>
      </c>
      <c r="M38" s="280">
        <f>+(G38/F38)*E38</f>
        <v>0.05</v>
      </c>
      <c r="N38" s="280">
        <f t="shared" si="15"/>
        <v>0.05</v>
      </c>
      <c r="O38" s="280"/>
      <c r="P38" s="275">
        <v>6</v>
      </c>
      <c r="Q38" s="535">
        <v>0</v>
      </c>
      <c r="R38" s="276">
        <v>0</v>
      </c>
      <c r="S38" s="276">
        <v>179</v>
      </c>
      <c r="T38" s="276">
        <v>0</v>
      </c>
      <c r="U38" s="276">
        <v>194</v>
      </c>
      <c r="V38" s="601">
        <f>+T38+U38</f>
        <v>194</v>
      </c>
      <c r="W38" s="601">
        <f t="shared" si="30"/>
        <v>200</v>
      </c>
      <c r="X38" s="1041">
        <v>0</v>
      </c>
      <c r="Y38" s="1041">
        <v>0</v>
      </c>
      <c r="Z38" s="939"/>
      <c r="AA38" s="939"/>
      <c r="AB38" s="939">
        <f t="shared" si="7"/>
        <v>0</v>
      </c>
      <c r="AC38" s="277">
        <f>+(P38/G38)</f>
        <v>0.04</v>
      </c>
      <c r="AD38" s="278">
        <v>1</v>
      </c>
      <c r="AE38" s="278">
        <f t="shared" si="8"/>
        <v>0</v>
      </c>
      <c r="AF38" s="278">
        <f>+AC38*E38</f>
        <v>8.0000000000000002E-3</v>
      </c>
      <c r="AG38" s="278">
        <f>+AD38*E38</f>
        <v>0.2</v>
      </c>
      <c r="AH38" s="278">
        <f t="shared" si="13"/>
        <v>0</v>
      </c>
      <c r="AI38" s="296">
        <f>+P38/F38</f>
        <v>0.01</v>
      </c>
      <c r="AJ38" s="278">
        <v>0.33333333333333331</v>
      </c>
      <c r="AK38" s="278">
        <f t="shared" si="9"/>
        <v>0.33333333333333331</v>
      </c>
      <c r="AL38" s="278">
        <f>+AI38*E38</f>
        <v>2E-3</v>
      </c>
      <c r="AM38" s="278">
        <f>+AJ38*E38</f>
        <v>6.6666666666666666E-2</v>
      </c>
      <c r="AN38" s="278">
        <f t="shared" si="11"/>
        <v>6.6666666666666666E-2</v>
      </c>
      <c r="AO38" s="532" t="s">
        <v>1844</v>
      </c>
      <c r="AP38" s="534" t="s">
        <v>1895</v>
      </c>
      <c r="AQ38" s="534" t="s">
        <v>1986</v>
      </c>
      <c r="AR38" s="754" t="s">
        <v>2011</v>
      </c>
      <c r="AS38" s="754" t="s">
        <v>2107</v>
      </c>
      <c r="AT38" s="754" t="s">
        <v>2139</v>
      </c>
      <c r="AU38" s="558" t="s">
        <v>2196</v>
      </c>
      <c r="AV38" s="558" t="s">
        <v>1887</v>
      </c>
      <c r="AW38" s="558" t="s">
        <v>2294</v>
      </c>
    </row>
    <row r="39" spans="1:49" ht="122.4" customHeight="1" thickBot="1" x14ac:dyDescent="0.55000000000000004">
      <c r="A39" s="261"/>
      <c r="B39" s="1337" t="s">
        <v>1643</v>
      </c>
      <c r="C39" s="1338"/>
      <c r="D39" s="574"/>
      <c r="E39" s="266">
        <v>0.05</v>
      </c>
      <c r="F39" s="284"/>
      <c r="G39" s="285"/>
      <c r="H39" s="926"/>
      <c r="I39" s="267"/>
      <c r="J39" s="286">
        <f>+AVERAGE(J40:J42)</f>
        <v>0.40860215053763443</v>
      </c>
      <c r="K39" s="286">
        <f>+AVERAGE(K40:K42)</f>
        <v>0.19892473118279572</v>
      </c>
      <c r="L39" s="286">
        <f>+AVERAGE(L40:L42)</f>
        <v>0.25</v>
      </c>
      <c r="M39" s="287">
        <f>+M40+M41+M42</f>
        <v>0.34516129032258069</v>
      </c>
      <c r="N39" s="287">
        <f>+N40+N41+N42</f>
        <v>0.21935483870967742</v>
      </c>
      <c r="O39" s="287"/>
      <c r="P39" s="275"/>
      <c r="Q39" s="288"/>
      <c r="R39" s="288"/>
      <c r="S39" s="288"/>
      <c r="T39" s="288"/>
      <c r="U39" s="816"/>
      <c r="V39" s="288"/>
      <c r="W39" s="288"/>
      <c r="X39" s="936"/>
      <c r="Y39" s="936"/>
      <c r="Z39" s="936"/>
      <c r="AA39" s="936"/>
      <c r="AB39" s="936"/>
      <c r="AC39" s="476">
        <f>+AVERAGE(AC40:AC42)</f>
        <v>0.53833285971393385</v>
      </c>
      <c r="AD39" s="476">
        <f>+AVERAGE(AD40:AD42)</f>
        <v>0.84513213981244684</v>
      </c>
      <c r="AE39" s="476">
        <f>+AVERAGE(AE40:AE42)</f>
        <v>0.40185848252344414</v>
      </c>
      <c r="AF39" s="307">
        <f>+(AF40+AF41+AF42)*E39</f>
        <v>2.2708297811878372E-2</v>
      </c>
      <c r="AG39" s="307">
        <f>+(AG40+AG41+AG42)*E39</f>
        <v>3.8384910485933503E-2</v>
      </c>
      <c r="AH39" s="307">
        <f>+(AH40+AH41+AH42)*E39</f>
        <v>1.9872719522591644E-2</v>
      </c>
      <c r="AI39" s="268">
        <f>+AVERAGE(AI40:AI42)</f>
        <v>0.24342431409216325</v>
      </c>
      <c r="AJ39" s="268">
        <v>0.7199403239556692</v>
      </c>
      <c r="AK39" s="268">
        <f>+AVERAGE(AK40:AK42)</f>
        <v>0.74873827791986358</v>
      </c>
      <c r="AL39" s="268">
        <f>+(AL40+AL41+AL42)*E39</f>
        <v>9.3589740945466543E-3</v>
      </c>
      <c r="AM39" s="268">
        <f>+(AM40+AM41+AM42)</f>
        <v>0.57991048593350381</v>
      </c>
      <c r="AN39" s="268">
        <f>+(AN40+AN41+AN42)</f>
        <v>0.62310741687979543</v>
      </c>
      <c r="AO39" s="639"/>
      <c r="AP39" s="267"/>
      <c r="AQ39" s="267"/>
      <c r="AR39" s="267"/>
      <c r="AS39" s="267"/>
      <c r="AT39" s="755"/>
      <c r="AU39" s="752"/>
      <c r="AV39" s="755"/>
    </row>
    <row r="40" spans="1:49" ht="122.4" customHeight="1" thickBot="1" x14ac:dyDescent="0.45">
      <c r="A40" s="261"/>
      <c r="B40" s="1342" t="s">
        <v>412</v>
      </c>
      <c r="C40" s="1147" t="s">
        <v>413</v>
      </c>
      <c r="D40" s="309" t="s">
        <v>357</v>
      </c>
      <c r="E40" s="269">
        <v>0.3</v>
      </c>
      <c r="F40" s="270">
        <v>600</v>
      </c>
      <c r="G40" s="289">
        <v>150</v>
      </c>
      <c r="H40" s="704">
        <v>150</v>
      </c>
      <c r="I40" s="290">
        <v>150</v>
      </c>
      <c r="J40" s="279">
        <f>+G40/F40</f>
        <v>0.25</v>
      </c>
      <c r="K40" s="279">
        <f t="shared" si="10"/>
        <v>0.25</v>
      </c>
      <c r="L40" s="279"/>
      <c r="M40" s="280">
        <f>+(G40/F40)*E40</f>
        <v>7.4999999999999997E-2</v>
      </c>
      <c r="N40" s="280">
        <f t="shared" si="15"/>
        <v>7.4999999999999997E-2</v>
      </c>
      <c r="O40" s="280"/>
      <c r="P40" s="275">
        <v>200</v>
      </c>
      <c r="Q40" s="535">
        <v>0</v>
      </c>
      <c r="R40" s="276">
        <v>509</v>
      </c>
      <c r="S40" s="276">
        <v>96</v>
      </c>
      <c r="T40" s="276">
        <v>0</v>
      </c>
      <c r="U40" s="276">
        <v>0</v>
      </c>
      <c r="V40" s="601">
        <f>+Q40+R40+S40+T40+U40</f>
        <v>605</v>
      </c>
      <c r="W40" s="601">
        <f>+V40+P40+AB40</f>
        <v>884</v>
      </c>
      <c r="X40" s="1032"/>
      <c r="Y40" s="1032">
        <v>79</v>
      </c>
      <c r="Z40" s="289"/>
      <c r="AA40" s="289"/>
      <c r="AB40" s="289">
        <f t="shared" si="7"/>
        <v>79</v>
      </c>
      <c r="AC40" s="277">
        <v>1</v>
      </c>
      <c r="AD40" s="278">
        <v>1</v>
      </c>
      <c r="AE40" s="278">
        <f t="shared" si="8"/>
        <v>0.52666666666666662</v>
      </c>
      <c r="AF40" s="278">
        <f>+AC40*E40</f>
        <v>0.3</v>
      </c>
      <c r="AG40" s="278">
        <f>+AD40*E40</f>
        <v>0.3</v>
      </c>
      <c r="AH40" s="278">
        <f t="shared" si="13"/>
        <v>0.15799999999999997</v>
      </c>
      <c r="AI40" s="278">
        <f>+P40/F40</f>
        <v>0.33333333333333331</v>
      </c>
      <c r="AJ40" s="278">
        <v>1</v>
      </c>
      <c r="AK40" s="278">
        <v>1</v>
      </c>
      <c r="AL40" s="278">
        <f>+AI40*E40</f>
        <v>9.9999999999999992E-2</v>
      </c>
      <c r="AM40" s="278">
        <f>+AJ40*E40</f>
        <v>0.3</v>
      </c>
      <c r="AN40" s="278">
        <f>+AK40*E40</f>
        <v>0.3</v>
      </c>
      <c r="AO40" s="532" t="s">
        <v>1844</v>
      </c>
      <c r="AP40" s="534" t="s">
        <v>1895</v>
      </c>
      <c r="AQ40" s="267"/>
      <c r="AR40" s="534" t="s">
        <v>2022</v>
      </c>
      <c r="AS40" s="754" t="s">
        <v>2107</v>
      </c>
      <c r="AT40" s="754" t="s">
        <v>2139</v>
      </c>
      <c r="AU40" s="558" t="s">
        <v>2196</v>
      </c>
      <c r="AV40" s="558" t="s">
        <v>1887</v>
      </c>
      <c r="AW40" s="558" t="s">
        <v>2294</v>
      </c>
    </row>
    <row r="41" spans="1:49" ht="122.4" customHeight="1" thickBot="1" x14ac:dyDescent="0.45">
      <c r="A41" s="261"/>
      <c r="B41" s="1342" t="s">
        <v>414</v>
      </c>
      <c r="C41" s="1147" t="s">
        <v>415</v>
      </c>
      <c r="D41" s="309" t="s">
        <v>357</v>
      </c>
      <c r="E41" s="269">
        <v>0.5</v>
      </c>
      <c r="F41" s="270">
        <v>78200</v>
      </c>
      <c r="G41" s="289">
        <v>19550</v>
      </c>
      <c r="H41" s="704">
        <v>19550</v>
      </c>
      <c r="I41" s="290">
        <v>19550</v>
      </c>
      <c r="J41" s="279">
        <f>+G41/F41</f>
        <v>0.25</v>
      </c>
      <c r="K41" s="279">
        <f t="shared" si="10"/>
        <v>0.25</v>
      </c>
      <c r="L41" s="279">
        <f t="shared" si="14"/>
        <v>0.25</v>
      </c>
      <c r="M41" s="280">
        <f>+(G41/F41)*E41</f>
        <v>0.125</v>
      </c>
      <c r="N41" s="280">
        <f t="shared" si="15"/>
        <v>0.125</v>
      </c>
      <c r="O41" s="280"/>
      <c r="P41" s="275">
        <v>2031</v>
      </c>
      <c r="Q41" s="535">
        <v>0</v>
      </c>
      <c r="R41" s="276">
        <v>7931</v>
      </c>
      <c r="S41" s="276">
        <v>2536</v>
      </c>
      <c r="T41" s="276">
        <v>0</v>
      </c>
      <c r="U41" s="276">
        <v>0</v>
      </c>
      <c r="V41" s="601">
        <f>+Q41+R41+S41+T41+U41</f>
        <v>10467</v>
      </c>
      <c r="W41" s="601">
        <f t="shared" ref="W41" si="31">+V41+P41+AB41</f>
        <v>19254</v>
      </c>
      <c r="X41" s="1032"/>
      <c r="Y41" s="1032">
        <v>6756</v>
      </c>
      <c r="Z41" s="289"/>
      <c r="AA41" s="289"/>
      <c r="AB41" s="289">
        <f t="shared" si="7"/>
        <v>6756</v>
      </c>
      <c r="AC41" s="277">
        <f>+(P41/G41)</f>
        <v>0.10388746803069053</v>
      </c>
      <c r="AD41" s="278">
        <f>+V41/H41</f>
        <v>0.53539641943734018</v>
      </c>
      <c r="AE41" s="278">
        <f t="shared" si="8"/>
        <v>0.34557544757033248</v>
      </c>
      <c r="AF41" s="278">
        <f>+AC41*E41</f>
        <v>5.1943734015345265E-2</v>
      </c>
      <c r="AG41" s="278">
        <f>+AD41*E41</f>
        <v>0.26769820971867009</v>
      </c>
      <c r="AH41" s="278">
        <f t="shared" si="13"/>
        <v>0.17278772378516624</v>
      </c>
      <c r="AI41" s="278">
        <f>+P41/F41</f>
        <v>2.5971867007672633E-2</v>
      </c>
      <c r="AJ41" s="278">
        <v>0.15982097186700767</v>
      </c>
      <c r="AK41" s="278">
        <f t="shared" si="9"/>
        <v>0.2462148337595908</v>
      </c>
      <c r="AL41" s="278">
        <f>+AI41*E41</f>
        <v>1.2985933503836316E-2</v>
      </c>
      <c r="AM41" s="278">
        <f>+AJ41*E41</f>
        <v>7.9910485933503833E-2</v>
      </c>
      <c r="AN41" s="278">
        <f t="shared" si="11"/>
        <v>0.1231074168797954</v>
      </c>
      <c r="AO41" s="532" t="s">
        <v>1844</v>
      </c>
      <c r="AP41" s="534" t="s">
        <v>1895</v>
      </c>
      <c r="AQ41" s="267"/>
      <c r="AR41" s="754" t="s">
        <v>2011</v>
      </c>
      <c r="AS41" s="754" t="s">
        <v>2107</v>
      </c>
      <c r="AT41" s="754" t="s">
        <v>2139</v>
      </c>
      <c r="AU41" s="558" t="s">
        <v>2196</v>
      </c>
      <c r="AV41" s="558" t="s">
        <v>1887</v>
      </c>
      <c r="AW41" s="558" t="s">
        <v>2294</v>
      </c>
    </row>
    <row r="42" spans="1:49" ht="122.4" customHeight="1" thickBot="1" x14ac:dyDescent="0.45">
      <c r="A42" s="261"/>
      <c r="B42" s="1342" t="s">
        <v>416</v>
      </c>
      <c r="C42" s="1147" t="s">
        <v>417</v>
      </c>
      <c r="D42" s="309" t="s">
        <v>357</v>
      </c>
      <c r="E42" s="269">
        <v>0.2</v>
      </c>
      <c r="F42" s="270">
        <v>62</v>
      </c>
      <c r="G42" s="289">
        <v>45</v>
      </c>
      <c r="H42" s="704">
        <v>6</v>
      </c>
      <c r="I42" s="290">
        <v>6</v>
      </c>
      <c r="J42" s="279">
        <f>+G42/F42</f>
        <v>0.72580645161290325</v>
      </c>
      <c r="K42" s="279">
        <f t="shared" si="10"/>
        <v>9.6774193548387094E-2</v>
      </c>
      <c r="L42" s="279"/>
      <c r="M42" s="280">
        <f>+(G42/F42)*E42</f>
        <v>0.14516129032258066</v>
      </c>
      <c r="N42" s="280">
        <f t="shared" si="15"/>
        <v>1.935483870967742E-2</v>
      </c>
      <c r="O42" s="280"/>
      <c r="P42" s="275">
        <v>23</v>
      </c>
      <c r="Q42" s="535">
        <v>59</v>
      </c>
      <c r="R42" s="276">
        <v>5</v>
      </c>
      <c r="S42" s="276">
        <v>27</v>
      </c>
      <c r="T42" s="276">
        <v>73</v>
      </c>
      <c r="U42" s="276">
        <v>0</v>
      </c>
      <c r="V42" s="601">
        <f t="shared" ref="V42" si="32">+Q42+R42+S42+T42+U42</f>
        <v>164</v>
      </c>
      <c r="W42" s="601">
        <f>+V42+P42+AB42</f>
        <v>189</v>
      </c>
      <c r="X42" s="1032">
        <v>2</v>
      </c>
      <c r="Y42" s="1032">
        <v>0</v>
      </c>
      <c r="Z42" s="289"/>
      <c r="AA42" s="289"/>
      <c r="AB42" s="289">
        <f t="shared" si="7"/>
        <v>2</v>
      </c>
      <c r="AC42" s="277">
        <f>+(P42/G42)</f>
        <v>0.51111111111111107</v>
      </c>
      <c r="AD42" s="278">
        <v>1</v>
      </c>
      <c r="AE42" s="278">
        <f t="shared" si="8"/>
        <v>0.33333333333333331</v>
      </c>
      <c r="AF42" s="278">
        <f>+AC42*E42</f>
        <v>0.10222222222222221</v>
      </c>
      <c r="AG42" s="278">
        <f>+AD42*E42</f>
        <v>0.2</v>
      </c>
      <c r="AH42" s="278">
        <f t="shared" si="13"/>
        <v>6.6666666666666666E-2</v>
      </c>
      <c r="AI42" s="278">
        <f>+P42/F42</f>
        <v>0.37096774193548387</v>
      </c>
      <c r="AJ42" s="278">
        <v>1</v>
      </c>
      <c r="AK42" s="278">
        <v>1</v>
      </c>
      <c r="AL42" s="278">
        <f>+AI42*E42</f>
        <v>7.4193548387096783E-2</v>
      </c>
      <c r="AM42" s="278">
        <f>+AJ42*E42</f>
        <v>0.2</v>
      </c>
      <c r="AN42" s="278">
        <f t="shared" si="11"/>
        <v>0.2</v>
      </c>
      <c r="AO42" s="532" t="s">
        <v>1844</v>
      </c>
      <c r="AP42" s="534" t="s">
        <v>1901</v>
      </c>
      <c r="AQ42" s="534" t="s">
        <v>1588</v>
      </c>
      <c r="AR42" s="534" t="s">
        <v>2022</v>
      </c>
      <c r="AS42" s="754" t="s">
        <v>2107</v>
      </c>
      <c r="AT42" s="754" t="s">
        <v>2139</v>
      </c>
      <c r="AU42" s="558" t="s">
        <v>2196</v>
      </c>
      <c r="AV42" s="558" t="s">
        <v>1887</v>
      </c>
      <c r="AW42" s="558" t="s">
        <v>2294</v>
      </c>
    </row>
    <row r="43" spans="1:49" ht="122.4" customHeight="1" thickBot="1" x14ac:dyDescent="0.55000000000000004">
      <c r="A43" s="261"/>
      <c r="B43" s="1339" t="s">
        <v>1644</v>
      </c>
      <c r="C43" s="1340"/>
      <c r="D43" s="309"/>
      <c r="E43" s="297">
        <v>0.02</v>
      </c>
      <c r="F43" s="270"/>
      <c r="G43" s="285"/>
      <c r="H43" s="926"/>
      <c r="I43" s="267"/>
      <c r="J43" s="286">
        <f>+AVERAGE(J44:J48)</f>
        <v>0.40173750334135255</v>
      </c>
      <c r="K43" s="286">
        <f>+AVERAGE(K44:K48)</f>
        <v>0.22403635391606525</v>
      </c>
      <c r="L43" s="286">
        <f>+AVERAGE(L44:L48)</f>
        <v>0.21467187917669073</v>
      </c>
      <c r="M43" s="287">
        <f>+M44+M45+M46+M47+M48</f>
        <v>0.32804397219994652</v>
      </c>
      <c r="N43" s="287">
        <f>+N44+N45+N46+N47+N48</f>
        <v>0.24091753541833738</v>
      </c>
      <c r="O43" s="287"/>
      <c r="P43" s="275"/>
      <c r="Q43" s="288"/>
      <c r="R43" s="288"/>
      <c r="S43" s="288"/>
      <c r="T43" s="288"/>
      <c r="U43" s="816"/>
      <c r="V43" s="288"/>
      <c r="W43" s="288"/>
      <c r="X43" s="936"/>
      <c r="Y43" s="936"/>
      <c r="Z43" s="936"/>
      <c r="AA43" s="936"/>
      <c r="AB43" s="936"/>
      <c r="AC43" s="476">
        <f>+AVERAGE(AC44:AC48)</f>
        <v>0.45333333333333331</v>
      </c>
      <c r="AD43" s="476">
        <f>+AVERAGE(AD44:AD48)</f>
        <v>0.67272727272727273</v>
      </c>
      <c r="AE43" s="476">
        <f>+AVERAGE(AE44:AE48)</f>
        <v>0.6</v>
      </c>
      <c r="AF43" s="307">
        <f>+(AF44+AF45+AF46+AF47+AF48)*E43</f>
        <v>7.5333333333333329E-3</v>
      </c>
      <c r="AG43" s="307">
        <f>+(AG44+AG45+AG46+AG47+AG48)*E43</f>
        <v>1.290909090909091E-2</v>
      </c>
      <c r="AH43" s="307">
        <f>+(AH44+AH45+AH46+AH47+AH48)*E43</f>
        <v>1.6E-2</v>
      </c>
      <c r="AI43" s="268">
        <f>+AVERAGE(AI44:AI48)</f>
        <v>0.17229885057471264</v>
      </c>
      <c r="AJ43" s="268">
        <v>0.51906442127773322</v>
      </c>
      <c r="AK43" s="268">
        <f>+AVERAGE(AK44:AK48)</f>
        <v>0.62542635658914725</v>
      </c>
      <c r="AL43" s="268">
        <f>+(AL44+AL45+AL46+AL47+AL48)*E43</f>
        <v>2.7574712643678163E-3</v>
      </c>
      <c r="AM43" s="268">
        <f>+(AM44+AM45+AM46+AM47+AM48)</f>
        <v>0.44778401496925957</v>
      </c>
      <c r="AN43" s="268">
        <f>+(AN44+AN45+AN46+AN47+AN48)</f>
        <v>0.6208527131782946</v>
      </c>
      <c r="AO43" s="639"/>
      <c r="AP43" s="267"/>
      <c r="AQ43" s="267"/>
      <c r="AR43" s="267"/>
      <c r="AS43" s="267"/>
      <c r="AT43" s="755"/>
      <c r="AU43" s="752"/>
      <c r="AV43" s="755"/>
    </row>
    <row r="44" spans="1:49" ht="122.4" customHeight="1" thickBot="1" x14ac:dyDescent="0.45">
      <c r="A44" s="261"/>
      <c r="B44" s="1342" t="s">
        <v>418</v>
      </c>
      <c r="C44" s="1147" t="s">
        <v>419</v>
      </c>
      <c r="D44" s="309" t="s">
        <v>357</v>
      </c>
      <c r="E44" s="269">
        <v>0.25</v>
      </c>
      <c r="F44" s="270">
        <v>87</v>
      </c>
      <c r="G44" s="289">
        <v>22</v>
      </c>
      <c r="H44" s="704">
        <v>23</v>
      </c>
      <c r="I44" s="290">
        <v>22</v>
      </c>
      <c r="J44" s="279">
        <f>+G44/F44</f>
        <v>0.25287356321839083</v>
      </c>
      <c r="K44" s="279">
        <f t="shared" si="10"/>
        <v>0.26436781609195403</v>
      </c>
      <c r="L44" s="279">
        <f>+I44/F44</f>
        <v>0.25287356321839083</v>
      </c>
      <c r="M44" s="280">
        <f>+(G44/F44)*E44</f>
        <v>6.3218390804597707E-2</v>
      </c>
      <c r="N44" s="280">
        <f t="shared" si="15"/>
        <v>6.6091954022988508E-2</v>
      </c>
      <c r="O44" s="280"/>
      <c r="P44" s="275">
        <v>30</v>
      </c>
      <c r="Q44" s="531">
        <v>16</v>
      </c>
      <c r="R44" s="535">
        <v>12</v>
      </c>
      <c r="S44" s="276">
        <v>0</v>
      </c>
      <c r="T44" s="276">
        <v>6</v>
      </c>
      <c r="U44" s="276">
        <v>0</v>
      </c>
      <c r="V44" s="601">
        <f>+Q44+R44+S44+T44+U44</f>
        <v>34</v>
      </c>
      <c r="W44" s="601">
        <f>+V44+P44+AB44</f>
        <v>87</v>
      </c>
      <c r="X44" s="1032">
        <v>15</v>
      </c>
      <c r="Y44" s="1032">
        <v>8</v>
      </c>
      <c r="Z44" s="289"/>
      <c r="AA44" s="289"/>
      <c r="AB44" s="289">
        <f t="shared" si="7"/>
        <v>23</v>
      </c>
      <c r="AC44" s="277">
        <v>1</v>
      </c>
      <c r="AD44" s="278">
        <v>1</v>
      </c>
      <c r="AE44" s="278">
        <v>1</v>
      </c>
      <c r="AF44" s="278">
        <f>+AC44*E44</f>
        <v>0.25</v>
      </c>
      <c r="AG44" s="278">
        <f>+AD44*E44</f>
        <v>0.25</v>
      </c>
      <c r="AH44" s="278">
        <f t="shared" si="13"/>
        <v>0.25</v>
      </c>
      <c r="AI44" s="278">
        <f>+P44/F44</f>
        <v>0.34482758620689657</v>
      </c>
      <c r="AJ44" s="278">
        <v>0.73563218390804597</v>
      </c>
      <c r="AK44" s="278">
        <f t="shared" si="9"/>
        <v>1</v>
      </c>
      <c r="AL44" s="278">
        <f>+AI44*E44</f>
        <v>8.6206896551724144E-2</v>
      </c>
      <c r="AM44" s="278">
        <f>+AJ44*E44</f>
        <v>0.18390804597701149</v>
      </c>
      <c r="AN44" s="278">
        <f t="shared" si="11"/>
        <v>0.25</v>
      </c>
      <c r="AO44" s="532" t="s">
        <v>1844</v>
      </c>
      <c r="AP44" s="534" t="s">
        <v>1895</v>
      </c>
      <c r="AQ44" s="534" t="s">
        <v>1986</v>
      </c>
      <c r="AR44" s="534" t="s">
        <v>2022</v>
      </c>
      <c r="AS44" s="754" t="s">
        <v>2107</v>
      </c>
      <c r="AT44" s="754" t="s">
        <v>2139</v>
      </c>
      <c r="AU44" s="558" t="s">
        <v>2196</v>
      </c>
      <c r="AV44" s="558" t="s">
        <v>1887</v>
      </c>
      <c r="AW44" s="558" t="s">
        <v>2294</v>
      </c>
    </row>
    <row r="45" spans="1:49" ht="122.4" customHeight="1" thickBot="1" x14ac:dyDescent="0.45">
      <c r="A45" s="261"/>
      <c r="B45" s="1342" t="s">
        <v>420</v>
      </c>
      <c r="C45" s="1147" t="s">
        <v>421</v>
      </c>
      <c r="D45" s="309" t="s">
        <v>357</v>
      </c>
      <c r="E45" s="269">
        <v>0.4</v>
      </c>
      <c r="F45" s="270">
        <v>86</v>
      </c>
      <c r="G45" s="289">
        <v>22</v>
      </c>
      <c r="H45" s="704">
        <v>22</v>
      </c>
      <c r="I45" s="290">
        <v>22</v>
      </c>
      <c r="J45" s="279">
        <f>+G45/F45</f>
        <v>0.2558139534883721</v>
      </c>
      <c r="K45" s="279">
        <f t="shared" si="10"/>
        <v>0.2558139534883721</v>
      </c>
      <c r="L45" s="279">
        <f t="shared" si="14"/>
        <v>0.2558139534883721</v>
      </c>
      <c r="M45" s="280">
        <f>+(G45/F45)*E45</f>
        <v>0.10232558139534885</v>
      </c>
      <c r="N45" s="280">
        <f t="shared" si="15"/>
        <v>0.10232558139534885</v>
      </c>
      <c r="O45" s="280"/>
      <c r="P45" s="275">
        <v>0</v>
      </c>
      <c r="Q45" s="535">
        <v>0</v>
      </c>
      <c r="R45" s="535">
        <v>0</v>
      </c>
      <c r="S45" s="276">
        <v>1</v>
      </c>
      <c r="T45" s="276">
        <v>7</v>
      </c>
      <c r="U45" s="276">
        <v>0</v>
      </c>
      <c r="V45" s="601">
        <f t="shared" ref="V45:V48" si="33">+Q45+R45+S45+T45+U45</f>
        <v>8</v>
      </c>
      <c r="W45" s="601">
        <f t="shared" ref="W45:W48" si="34">+V45+P45+AB45</f>
        <v>31</v>
      </c>
      <c r="X45" s="1032">
        <v>15</v>
      </c>
      <c r="Y45" s="1032">
        <v>8</v>
      </c>
      <c r="Z45" s="289"/>
      <c r="AA45" s="289"/>
      <c r="AB45" s="289">
        <f t="shared" si="7"/>
        <v>23</v>
      </c>
      <c r="AC45" s="277">
        <f>+(P45/G45)</f>
        <v>0</v>
      </c>
      <c r="AD45" s="278">
        <f>+V45/H45</f>
        <v>0.36363636363636365</v>
      </c>
      <c r="AE45" s="278">
        <v>1</v>
      </c>
      <c r="AF45" s="278">
        <f>+AC45*E45</f>
        <v>0</v>
      </c>
      <c r="AG45" s="278">
        <f>+AD45*E45</f>
        <v>0.14545454545454548</v>
      </c>
      <c r="AH45" s="278">
        <f t="shared" si="13"/>
        <v>0.4</v>
      </c>
      <c r="AI45" s="278">
        <f>+P45/F45</f>
        <v>0</v>
      </c>
      <c r="AJ45" s="278">
        <v>9.3023255813953487E-2</v>
      </c>
      <c r="AK45" s="278">
        <f t="shared" si="9"/>
        <v>0.36046511627906974</v>
      </c>
      <c r="AL45" s="278">
        <f>+AI45*E45</f>
        <v>0</v>
      </c>
      <c r="AM45" s="278">
        <f>+AJ45*E45</f>
        <v>3.7209302325581395E-2</v>
      </c>
      <c r="AN45" s="278">
        <f t="shared" si="11"/>
        <v>0.14418604651162789</v>
      </c>
      <c r="AO45" s="532" t="s">
        <v>1844</v>
      </c>
      <c r="AP45" s="534" t="s">
        <v>1895</v>
      </c>
      <c r="AQ45" s="534" t="s">
        <v>1986</v>
      </c>
      <c r="AR45" s="754" t="s">
        <v>2011</v>
      </c>
      <c r="AS45" s="754" t="s">
        <v>2107</v>
      </c>
      <c r="AT45" s="754" t="s">
        <v>2139</v>
      </c>
      <c r="AU45" s="558" t="s">
        <v>2196</v>
      </c>
      <c r="AV45" s="558" t="s">
        <v>1887</v>
      </c>
      <c r="AW45" s="558" t="s">
        <v>2294</v>
      </c>
    </row>
    <row r="46" spans="1:49" ht="122.4" customHeight="1" thickBot="1" x14ac:dyDescent="0.45">
      <c r="A46" s="261"/>
      <c r="B46" s="1342" t="s">
        <v>422</v>
      </c>
      <c r="C46" s="1147" t="s">
        <v>423</v>
      </c>
      <c r="D46" s="309" t="s">
        <v>357</v>
      </c>
      <c r="E46" s="269">
        <v>0.15</v>
      </c>
      <c r="F46" s="270">
        <v>1</v>
      </c>
      <c r="G46" s="289">
        <v>0.25</v>
      </c>
      <c r="H46" s="704">
        <v>0.25</v>
      </c>
      <c r="I46" s="290">
        <v>0.25</v>
      </c>
      <c r="J46" s="279">
        <f>+G46/F46</f>
        <v>0.25</v>
      </c>
      <c r="K46" s="279">
        <f t="shared" si="10"/>
        <v>0.25</v>
      </c>
      <c r="L46" s="279"/>
      <c r="M46" s="280">
        <f>+(G46/F46)*E46</f>
        <v>3.7499999999999999E-2</v>
      </c>
      <c r="N46" s="280">
        <f t="shared" si="15"/>
        <v>3.7499999999999999E-2</v>
      </c>
      <c r="O46" s="280"/>
      <c r="P46" s="275">
        <v>0</v>
      </c>
      <c r="Q46" s="282">
        <v>0.25</v>
      </c>
      <c r="R46" s="276">
        <v>0.75</v>
      </c>
      <c r="S46" s="276">
        <v>0</v>
      </c>
      <c r="T46" s="276">
        <v>0</v>
      </c>
      <c r="U46" s="276">
        <v>0</v>
      </c>
      <c r="V46" s="601">
        <f t="shared" si="33"/>
        <v>1</v>
      </c>
      <c r="W46" s="601">
        <v>1</v>
      </c>
      <c r="X46" s="1032">
        <v>1</v>
      </c>
      <c r="Y46" s="1032">
        <v>1</v>
      </c>
      <c r="Z46" s="289"/>
      <c r="AA46" s="289"/>
      <c r="AB46" s="289">
        <f t="shared" si="7"/>
        <v>2</v>
      </c>
      <c r="AC46" s="277">
        <f>+(P46/G46)</f>
        <v>0</v>
      </c>
      <c r="AD46" s="278">
        <v>1</v>
      </c>
      <c r="AE46" s="278">
        <v>1</v>
      </c>
      <c r="AF46" s="278">
        <f>+AC46*E46</f>
        <v>0</v>
      </c>
      <c r="AG46" s="278">
        <f>+AD46*E46</f>
        <v>0.15</v>
      </c>
      <c r="AH46" s="278">
        <f t="shared" si="13"/>
        <v>0.15</v>
      </c>
      <c r="AI46" s="278">
        <f>+P46/F46</f>
        <v>0</v>
      </c>
      <c r="AJ46" s="278">
        <v>1</v>
      </c>
      <c r="AK46" s="278">
        <f t="shared" si="9"/>
        <v>1</v>
      </c>
      <c r="AL46" s="278">
        <f>+AI46*E46</f>
        <v>0</v>
      </c>
      <c r="AM46" s="278">
        <f>+AJ46*E46</f>
        <v>0.15</v>
      </c>
      <c r="AN46" s="278">
        <f t="shared" si="11"/>
        <v>0.15</v>
      </c>
      <c r="AO46" s="532" t="s">
        <v>1844</v>
      </c>
      <c r="AP46" s="534" t="s">
        <v>1895</v>
      </c>
      <c r="AQ46" s="534" t="s">
        <v>1986</v>
      </c>
      <c r="AR46" s="534" t="s">
        <v>2022</v>
      </c>
      <c r="AS46" s="754" t="s">
        <v>2107</v>
      </c>
      <c r="AT46" s="533" t="s">
        <v>1859</v>
      </c>
      <c r="AU46" s="558" t="s">
        <v>2196</v>
      </c>
      <c r="AV46" s="558" t="s">
        <v>1887</v>
      </c>
      <c r="AW46" s="558" t="s">
        <v>2294</v>
      </c>
    </row>
    <row r="47" spans="1:49" ht="122.4" customHeight="1" thickBot="1" x14ac:dyDescent="0.45">
      <c r="A47" s="261"/>
      <c r="B47" s="1342" t="s">
        <v>424</v>
      </c>
      <c r="C47" s="1147" t="s">
        <v>425</v>
      </c>
      <c r="D47" s="309" t="s">
        <v>357</v>
      </c>
      <c r="E47" s="269">
        <v>0.1</v>
      </c>
      <c r="F47" s="270">
        <v>4</v>
      </c>
      <c r="G47" s="289">
        <v>1</v>
      </c>
      <c r="H47" s="704">
        <v>1</v>
      </c>
      <c r="I47" s="290">
        <v>1</v>
      </c>
      <c r="J47" s="279">
        <f>+G47/F47</f>
        <v>0.25</v>
      </c>
      <c r="K47" s="279">
        <f t="shared" si="10"/>
        <v>0.25</v>
      </c>
      <c r="L47" s="279">
        <f t="shared" si="14"/>
        <v>0.25</v>
      </c>
      <c r="M47" s="280">
        <f>+(G47/F47)*E47</f>
        <v>2.5000000000000001E-2</v>
      </c>
      <c r="N47" s="280">
        <f t="shared" si="15"/>
        <v>2.5000000000000001E-2</v>
      </c>
      <c r="O47" s="280"/>
      <c r="P47" s="275">
        <v>1</v>
      </c>
      <c r="Q47" s="535">
        <v>0</v>
      </c>
      <c r="R47" s="535">
        <v>0</v>
      </c>
      <c r="S47" s="276">
        <v>0</v>
      </c>
      <c r="T47" s="276">
        <v>1</v>
      </c>
      <c r="U47" s="276">
        <v>0</v>
      </c>
      <c r="V47" s="601">
        <f t="shared" si="33"/>
        <v>1</v>
      </c>
      <c r="W47" s="601">
        <f t="shared" si="34"/>
        <v>2</v>
      </c>
      <c r="X47" s="1032">
        <v>0</v>
      </c>
      <c r="Y47" s="1032">
        <v>0</v>
      </c>
      <c r="Z47" s="289"/>
      <c r="AA47" s="289"/>
      <c r="AB47" s="289">
        <f t="shared" si="7"/>
        <v>0</v>
      </c>
      <c r="AC47" s="277">
        <f>+(P47/G47)</f>
        <v>1</v>
      </c>
      <c r="AD47" s="278">
        <f>+V47/H47</f>
        <v>1</v>
      </c>
      <c r="AE47" s="278">
        <f t="shared" si="8"/>
        <v>0</v>
      </c>
      <c r="AF47" s="278">
        <f>+AC47*E47</f>
        <v>0.1</v>
      </c>
      <c r="AG47" s="278">
        <f>+AD47*E47</f>
        <v>0.1</v>
      </c>
      <c r="AH47" s="278">
        <f t="shared" si="13"/>
        <v>0</v>
      </c>
      <c r="AI47" s="278">
        <f>+P47/F47</f>
        <v>0.25</v>
      </c>
      <c r="AJ47" s="278">
        <v>0.5</v>
      </c>
      <c r="AK47" s="278">
        <f t="shared" si="9"/>
        <v>0.5</v>
      </c>
      <c r="AL47" s="278">
        <f>+AI47*E47</f>
        <v>2.5000000000000001E-2</v>
      </c>
      <c r="AM47" s="278">
        <f>+AJ47*E47</f>
        <v>0.05</v>
      </c>
      <c r="AN47" s="278">
        <f t="shared" si="11"/>
        <v>0.05</v>
      </c>
      <c r="AO47" s="532" t="s">
        <v>1844</v>
      </c>
      <c r="AP47" s="534" t="s">
        <v>1895</v>
      </c>
      <c r="AQ47" s="534" t="s">
        <v>1986</v>
      </c>
      <c r="AR47" s="754" t="s">
        <v>2011</v>
      </c>
      <c r="AS47" s="754" t="s">
        <v>2107</v>
      </c>
      <c r="AT47" s="754" t="s">
        <v>2139</v>
      </c>
      <c r="AU47" s="558" t="s">
        <v>2196</v>
      </c>
      <c r="AV47" s="558" t="s">
        <v>1887</v>
      </c>
      <c r="AW47" s="558" t="s">
        <v>2294</v>
      </c>
    </row>
    <row r="48" spans="1:49" ht="122.4" customHeight="1" thickBot="1" x14ac:dyDescent="0.45">
      <c r="A48" s="261"/>
      <c r="B48" s="1342" t="s">
        <v>426</v>
      </c>
      <c r="C48" s="1147" t="s">
        <v>427</v>
      </c>
      <c r="D48" s="309" t="s">
        <v>357</v>
      </c>
      <c r="E48" s="269">
        <v>0.1</v>
      </c>
      <c r="F48" s="270">
        <v>30</v>
      </c>
      <c r="G48" s="289">
        <v>30</v>
      </c>
      <c r="H48" s="704">
        <v>3</v>
      </c>
      <c r="I48" s="290">
        <v>3</v>
      </c>
      <c r="J48" s="279">
        <f>+G48/F48</f>
        <v>1</v>
      </c>
      <c r="K48" s="279">
        <f t="shared" si="10"/>
        <v>0.1</v>
      </c>
      <c r="L48" s="279">
        <f t="shared" si="14"/>
        <v>0.1</v>
      </c>
      <c r="M48" s="280">
        <f>+(G48/F48)*E48</f>
        <v>0.1</v>
      </c>
      <c r="N48" s="280">
        <f t="shared" si="15"/>
        <v>1.0000000000000002E-2</v>
      </c>
      <c r="O48" s="280"/>
      <c r="P48" s="275">
        <v>8</v>
      </c>
      <c r="Q48" s="535">
        <v>0</v>
      </c>
      <c r="R48" s="535">
        <v>0</v>
      </c>
      <c r="S48" s="276">
        <v>0</v>
      </c>
      <c r="T48" s="276">
        <v>0</v>
      </c>
      <c r="U48" s="276">
        <v>0</v>
      </c>
      <c r="V48" s="601">
        <f t="shared" si="33"/>
        <v>0</v>
      </c>
      <c r="W48" s="601">
        <f t="shared" si="34"/>
        <v>8</v>
      </c>
      <c r="X48" s="1032">
        <v>0</v>
      </c>
      <c r="Y48" s="1032">
        <v>0</v>
      </c>
      <c r="Z48" s="289"/>
      <c r="AA48" s="289"/>
      <c r="AB48" s="289">
        <f t="shared" si="7"/>
        <v>0</v>
      </c>
      <c r="AC48" s="277">
        <f>+(P48/G48)</f>
        <v>0.26666666666666666</v>
      </c>
      <c r="AD48" s="278">
        <f>+V48/H48</f>
        <v>0</v>
      </c>
      <c r="AE48" s="278">
        <f t="shared" si="8"/>
        <v>0</v>
      </c>
      <c r="AF48" s="278">
        <f>+AC48*E48</f>
        <v>2.6666666666666668E-2</v>
      </c>
      <c r="AG48" s="278">
        <f>+AD48*E48</f>
        <v>0</v>
      </c>
      <c r="AH48" s="278">
        <f t="shared" si="13"/>
        <v>0</v>
      </c>
      <c r="AI48" s="278">
        <f>+P48/F48</f>
        <v>0.26666666666666666</v>
      </c>
      <c r="AJ48" s="278">
        <v>0.26666666666666666</v>
      </c>
      <c r="AK48" s="278">
        <f t="shared" si="9"/>
        <v>0.26666666666666666</v>
      </c>
      <c r="AL48" s="278">
        <f>+AI48*E48</f>
        <v>2.6666666666666668E-2</v>
      </c>
      <c r="AM48" s="278">
        <f>+AJ48*E48</f>
        <v>2.6666666666666668E-2</v>
      </c>
      <c r="AN48" s="278">
        <f t="shared" si="11"/>
        <v>2.6666666666666668E-2</v>
      </c>
      <c r="AO48" s="532" t="s">
        <v>1844</v>
      </c>
      <c r="AP48" s="533" t="s">
        <v>1904</v>
      </c>
      <c r="AQ48" s="534" t="s">
        <v>1986</v>
      </c>
      <c r="AR48" s="754" t="s">
        <v>2011</v>
      </c>
      <c r="AS48" s="754" t="s">
        <v>2107</v>
      </c>
      <c r="AT48" s="754" t="s">
        <v>2139</v>
      </c>
      <c r="AU48" s="558" t="s">
        <v>2196</v>
      </c>
      <c r="AV48" s="558" t="s">
        <v>1887</v>
      </c>
      <c r="AW48" s="558" t="s">
        <v>2294</v>
      </c>
    </row>
    <row r="49" spans="1:49" ht="122.4" customHeight="1" thickBot="1" x14ac:dyDescent="0.55000000000000004">
      <c r="A49" s="261"/>
      <c r="B49" s="1339" t="s">
        <v>1645</v>
      </c>
      <c r="C49" s="1340"/>
      <c r="D49" s="309"/>
      <c r="E49" s="266">
        <v>0.02</v>
      </c>
      <c r="F49" s="284"/>
      <c r="G49" s="285"/>
      <c r="H49" s="926"/>
      <c r="I49" s="267"/>
      <c r="J49" s="286"/>
      <c r="K49" s="286">
        <f>+AVERAGE(K50:K51)</f>
        <v>6.6666666666666666E-2</v>
      </c>
      <c r="L49" s="286">
        <f>+AVERAGE(L50:L51)</f>
        <v>0.33333333333333331</v>
      </c>
      <c r="M49" s="287"/>
      <c r="N49" s="287">
        <f>+N50+N51</f>
        <v>6.6666666666666666E-2</v>
      </c>
      <c r="O49" s="287"/>
      <c r="P49" s="275"/>
      <c r="Q49" s="536"/>
      <c r="R49" s="288"/>
      <c r="S49" s="288"/>
      <c r="T49" s="288"/>
      <c r="U49" s="816"/>
      <c r="V49" s="288"/>
      <c r="W49" s="288"/>
      <c r="X49" s="936"/>
      <c r="Y49" s="936"/>
      <c r="Z49" s="936"/>
      <c r="AA49" s="936"/>
      <c r="AB49" s="936"/>
      <c r="AC49" s="476"/>
      <c r="AD49" s="307">
        <f>+AVERAGE(AD50:AD51)</f>
        <v>1</v>
      </c>
      <c r="AE49" s="307">
        <f>+AVERAGE(AE50:AE51)</f>
        <v>0.4</v>
      </c>
      <c r="AF49" s="307"/>
      <c r="AG49" s="307">
        <f>+(AG50+AG51)*E49</f>
        <v>0.02</v>
      </c>
      <c r="AH49" s="307">
        <f>+(AH50+AH51)*E49</f>
        <v>8.0000000000000002E-3</v>
      </c>
      <c r="AI49" s="268"/>
      <c r="AJ49" s="268">
        <v>0.33333333333333331</v>
      </c>
      <c r="AK49" s="268">
        <f>+AVERAGE(AK50:AK51)</f>
        <v>0.46666666666666667</v>
      </c>
      <c r="AL49" s="268">
        <f>+(AL50+AL51)*E49</f>
        <v>0</v>
      </c>
      <c r="AM49" s="268">
        <f>+(AM50+AM51)</f>
        <v>0.33333333333333331</v>
      </c>
      <c r="AN49" s="268">
        <f>+(AN50+AN51)</f>
        <v>0.46666666666666667</v>
      </c>
      <c r="AO49" s="639"/>
      <c r="AP49" s="267"/>
      <c r="AQ49" s="267"/>
      <c r="AR49" s="267"/>
      <c r="AS49" s="267"/>
      <c r="AT49" s="755"/>
      <c r="AU49" s="752"/>
      <c r="AV49" s="755"/>
    </row>
    <row r="50" spans="1:49" ht="122.4" customHeight="1" thickBot="1" x14ac:dyDescent="0.45">
      <c r="A50" s="261"/>
      <c r="B50" s="1342" t="s">
        <v>428</v>
      </c>
      <c r="C50" s="1147" t="s">
        <v>429</v>
      </c>
      <c r="D50" s="309" t="s">
        <v>357</v>
      </c>
      <c r="E50" s="269">
        <v>0.5</v>
      </c>
      <c r="F50" s="270">
        <v>15</v>
      </c>
      <c r="G50" s="289"/>
      <c r="H50" s="704">
        <v>1</v>
      </c>
      <c r="I50" s="290">
        <v>5</v>
      </c>
      <c r="J50" s="279"/>
      <c r="K50" s="279">
        <f>+H50/F50</f>
        <v>6.6666666666666666E-2</v>
      </c>
      <c r="L50" s="279">
        <f>+I50/F50</f>
        <v>0.33333333333333331</v>
      </c>
      <c r="M50" s="280"/>
      <c r="N50" s="280">
        <f>+(H50/F50)*E50</f>
        <v>3.3333333333333333E-2</v>
      </c>
      <c r="O50" s="280"/>
      <c r="P50" s="275"/>
      <c r="Q50" s="535">
        <v>0</v>
      </c>
      <c r="R50" s="276">
        <v>0</v>
      </c>
      <c r="S50" s="276">
        <v>5</v>
      </c>
      <c r="T50" s="276">
        <v>0</v>
      </c>
      <c r="U50" s="276">
        <v>0</v>
      </c>
      <c r="V50" s="601">
        <f>+Q50+R50+S50+T50+U50</f>
        <v>5</v>
      </c>
      <c r="W50" s="601">
        <f>+V50+P50+AB50</f>
        <v>7</v>
      </c>
      <c r="X50" s="1032">
        <v>0</v>
      </c>
      <c r="Y50" s="1032">
        <v>2</v>
      </c>
      <c r="Z50" s="289"/>
      <c r="AA50" s="289"/>
      <c r="AB50" s="289">
        <f t="shared" si="7"/>
        <v>2</v>
      </c>
      <c r="AC50" s="277"/>
      <c r="AD50" s="278">
        <v>1</v>
      </c>
      <c r="AE50" s="278">
        <f t="shared" si="8"/>
        <v>0.4</v>
      </c>
      <c r="AF50" s="278"/>
      <c r="AG50" s="278">
        <f>+AD50*E50</f>
        <v>0.5</v>
      </c>
      <c r="AH50" s="278">
        <f t="shared" si="13"/>
        <v>0.2</v>
      </c>
      <c r="AI50" s="278"/>
      <c r="AJ50" s="278">
        <v>0.33333333333333331</v>
      </c>
      <c r="AK50" s="278">
        <f t="shared" si="9"/>
        <v>0.46666666666666667</v>
      </c>
      <c r="AL50" s="278">
        <f>+AI50*E50</f>
        <v>0</v>
      </c>
      <c r="AM50" s="278">
        <f>+AJ50*E50</f>
        <v>0.16666666666666666</v>
      </c>
      <c r="AN50" s="278">
        <f t="shared" si="11"/>
        <v>0.23333333333333334</v>
      </c>
      <c r="AO50" s="532" t="s">
        <v>1844</v>
      </c>
      <c r="AP50" s="534" t="s">
        <v>1895</v>
      </c>
      <c r="AQ50" s="534" t="s">
        <v>1986</v>
      </c>
      <c r="AR50" s="754" t="s">
        <v>2011</v>
      </c>
      <c r="AS50" s="754" t="s">
        <v>2107</v>
      </c>
      <c r="AT50" s="754" t="s">
        <v>2139</v>
      </c>
      <c r="AU50" s="558" t="s">
        <v>2196</v>
      </c>
      <c r="AV50" s="558" t="s">
        <v>1887</v>
      </c>
      <c r="AW50" s="558" t="s">
        <v>2294</v>
      </c>
    </row>
    <row r="51" spans="1:49" ht="122.4" customHeight="1" thickBot="1" x14ac:dyDescent="0.45">
      <c r="A51" s="261"/>
      <c r="B51" s="1342" t="s">
        <v>430</v>
      </c>
      <c r="C51" s="1147" t="s">
        <v>431</v>
      </c>
      <c r="D51" s="309" t="s">
        <v>357</v>
      </c>
      <c r="E51" s="269">
        <v>0.5</v>
      </c>
      <c r="F51" s="270">
        <v>15</v>
      </c>
      <c r="G51" s="289"/>
      <c r="H51" s="704">
        <v>1</v>
      </c>
      <c r="I51" s="290">
        <v>5</v>
      </c>
      <c r="J51" s="279"/>
      <c r="K51" s="279">
        <f t="shared" ref="K51:K90" si="35">+H51/F51</f>
        <v>6.6666666666666666E-2</v>
      </c>
      <c r="L51" s="279">
        <f t="shared" si="14"/>
        <v>0.33333333333333331</v>
      </c>
      <c r="M51" s="280"/>
      <c r="N51" s="280">
        <f t="shared" ref="N51:N90" si="36">+(H51/F51)*E51</f>
        <v>3.3333333333333333E-2</v>
      </c>
      <c r="O51" s="280"/>
      <c r="P51" s="275"/>
      <c r="Q51" s="535">
        <v>0</v>
      </c>
      <c r="R51" s="276">
        <v>0</v>
      </c>
      <c r="S51" s="276">
        <v>5</v>
      </c>
      <c r="T51" s="276">
        <v>0</v>
      </c>
      <c r="U51" s="276">
        <v>0</v>
      </c>
      <c r="V51" s="601">
        <f>+Q51+R51+S51+T51+U51</f>
        <v>5</v>
      </c>
      <c r="W51" s="601">
        <f>+V51+P51+AB51</f>
        <v>7</v>
      </c>
      <c r="X51" s="1032">
        <v>0</v>
      </c>
      <c r="Y51" s="1032">
        <v>2</v>
      </c>
      <c r="Z51" s="289"/>
      <c r="AA51" s="289"/>
      <c r="AB51" s="289">
        <f t="shared" si="7"/>
        <v>2</v>
      </c>
      <c r="AC51" s="277"/>
      <c r="AD51" s="278">
        <v>1</v>
      </c>
      <c r="AE51" s="278">
        <f t="shared" si="8"/>
        <v>0.4</v>
      </c>
      <c r="AF51" s="278"/>
      <c r="AG51" s="278">
        <f>+AD51*E51</f>
        <v>0.5</v>
      </c>
      <c r="AH51" s="278">
        <f t="shared" si="13"/>
        <v>0.2</v>
      </c>
      <c r="AI51" s="278"/>
      <c r="AJ51" s="278">
        <v>0.33333333333333331</v>
      </c>
      <c r="AK51" s="278">
        <f t="shared" si="9"/>
        <v>0.46666666666666667</v>
      </c>
      <c r="AL51" s="278">
        <f>+AI51*E51</f>
        <v>0</v>
      </c>
      <c r="AM51" s="278">
        <f>+AJ51*E51</f>
        <v>0.16666666666666666</v>
      </c>
      <c r="AN51" s="278">
        <f t="shared" si="11"/>
        <v>0.23333333333333334</v>
      </c>
      <c r="AO51" s="532" t="s">
        <v>1844</v>
      </c>
      <c r="AP51" s="534" t="s">
        <v>1895</v>
      </c>
      <c r="AQ51" s="534" t="s">
        <v>1986</v>
      </c>
      <c r="AR51" s="754" t="s">
        <v>2011</v>
      </c>
      <c r="AS51" s="754" t="s">
        <v>2107</v>
      </c>
      <c r="AT51" s="754" t="s">
        <v>2139</v>
      </c>
      <c r="AU51" s="558" t="s">
        <v>2196</v>
      </c>
      <c r="AV51" s="558" t="s">
        <v>1887</v>
      </c>
      <c r="AW51" s="558" t="s">
        <v>2294</v>
      </c>
    </row>
    <row r="52" spans="1:49" ht="122.4" customHeight="1" thickBot="1" x14ac:dyDescent="0.55000000000000004">
      <c r="A52" s="261"/>
      <c r="B52" s="1339" t="s">
        <v>1646</v>
      </c>
      <c r="C52" s="1340"/>
      <c r="D52" s="309"/>
      <c r="E52" s="266">
        <v>0.02</v>
      </c>
      <c r="F52" s="284"/>
      <c r="G52" s="285"/>
      <c r="H52" s="926"/>
      <c r="I52" s="267"/>
      <c r="J52" s="286">
        <f>+AVERAGE(J53:J55)</f>
        <v>0.20288161993769471</v>
      </c>
      <c r="K52" s="286">
        <f>+AVERAGE(K53:K55)</f>
        <v>0.21845794392523366</v>
      </c>
      <c r="L52" s="286">
        <f>+AVERAGE(L53:L55)</f>
        <v>0.25</v>
      </c>
      <c r="M52" s="287">
        <f>+M53+M54+M55</f>
        <v>0.18177570093457943</v>
      </c>
      <c r="N52" s="287">
        <f>+N53+N54+N55</f>
        <v>0.19813084112149532</v>
      </c>
      <c r="O52" s="287"/>
      <c r="P52" s="275"/>
      <c r="Q52" s="536"/>
      <c r="R52" s="288"/>
      <c r="S52" s="288"/>
      <c r="T52" s="288"/>
      <c r="U52" s="816"/>
      <c r="V52" s="288"/>
      <c r="W52" s="288"/>
      <c r="X52" s="936"/>
      <c r="Y52" s="936"/>
      <c r="Z52" s="936"/>
      <c r="AA52" s="936"/>
      <c r="AB52" s="936"/>
      <c r="AC52" s="476">
        <f>+AVERAGE(AC53:AC55)</f>
        <v>1</v>
      </c>
      <c r="AD52" s="659">
        <f>+AVERAGE(AD53:AD55)</f>
        <v>0.98888888888888893</v>
      </c>
      <c r="AE52" s="659">
        <f>+AVERAGE(AE53:AE55)</f>
        <v>1</v>
      </c>
      <c r="AF52" s="307">
        <f>+(AF53+AF54+AF55)*E52</f>
        <v>0.02</v>
      </c>
      <c r="AG52" s="307">
        <f>+(AG53+AG54+AG55)*E52</f>
        <v>1.9766666666666668E-2</v>
      </c>
      <c r="AH52" s="307">
        <f>+(AH53+AH54+AH55)*E52</f>
        <v>0.02</v>
      </c>
      <c r="AI52" s="268">
        <f>+AVERAGE(AI53:AI55)</f>
        <v>0.38465732087227411</v>
      </c>
      <c r="AJ52" s="268">
        <v>0.77749999999999997</v>
      </c>
      <c r="AK52" s="268">
        <f>+AVERAGE(AK53:AK55)</f>
        <v>0.91666666666666663</v>
      </c>
      <c r="AL52" s="268">
        <f>+(AL53+AL54+AL55)*E52</f>
        <v>7.6028037383177559E-3</v>
      </c>
      <c r="AM52" s="268">
        <f>+(AM53+AM54+AM55)</f>
        <v>0.84124999999999994</v>
      </c>
      <c r="AN52" s="268">
        <f>+(AN53+AN54+AN55)</f>
        <v>0.96249999999999991</v>
      </c>
      <c r="AO52" s="639"/>
      <c r="AP52" s="267"/>
      <c r="AQ52" s="267"/>
      <c r="AR52" s="267"/>
      <c r="AS52" s="267"/>
      <c r="AT52" s="755"/>
      <c r="AU52" s="752"/>
      <c r="AV52" s="755"/>
    </row>
    <row r="53" spans="1:49" ht="122.4" customHeight="1" thickBot="1" x14ac:dyDescent="0.45">
      <c r="A53" s="261"/>
      <c r="B53" s="1342" t="s">
        <v>432</v>
      </c>
      <c r="C53" s="1342" t="s">
        <v>433</v>
      </c>
      <c r="D53" s="309" t="s">
        <v>357</v>
      </c>
      <c r="E53" s="269">
        <v>0.5</v>
      </c>
      <c r="F53" s="270">
        <v>2000</v>
      </c>
      <c r="G53" s="289">
        <v>250</v>
      </c>
      <c r="H53" s="704">
        <v>250</v>
      </c>
      <c r="I53" s="290">
        <v>500</v>
      </c>
      <c r="J53" s="279">
        <f>+G53/F53</f>
        <v>0.125</v>
      </c>
      <c r="K53" s="279">
        <f t="shared" si="35"/>
        <v>0.125</v>
      </c>
      <c r="L53" s="279">
        <f t="shared" si="14"/>
        <v>0.25</v>
      </c>
      <c r="M53" s="280">
        <f>+(G53/F53)*E53</f>
        <v>6.25E-2</v>
      </c>
      <c r="N53" s="280">
        <f t="shared" si="36"/>
        <v>6.25E-2</v>
      </c>
      <c r="O53" s="280"/>
      <c r="P53" s="275">
        <v>350</v>
      </c>
      <c r="Q53" s="535">
        <v>0</v>
      </c>
      <c r="R53" s="276">
        <v>723</v>
      </c>
      <c r="S53" s="276">
        <v>274</v>
      </c>
      <c r="T53" s="276">
        <v>318</v>
      </c>
      <c r="U53" s="276">
        <v>0</v>
      </c>
      <c r="V53" s="601">
        <f>+Q53+R53+S53+T53+U53</f>
        <v>1315</v>
      </c>
      <c r="W53" s="601">
        <f>+V53+P53+AB53</f>
        <v>2334</v>
      </c>
      <c r="X53" s="1032">
        <v>238</v>
      </c>
      <c r="Y53" s="1032">
        <v>431</v>
      </c>
      <c r="Z53" s="289"/>
      <c r="AA53" s="289"/>
      <c r="AB53" s="289">
        <f t="shared" si="7"/>
        <v>669</v>
      </c>
      <c r="AC53" s="277">
        <v>1</v>
      </c>
      <c r="AD53" s="278">
        <v>1</v>
      </c>
      <c r="AE53" s="278">
        <v>1</v>
      </c>
      <c r="AF53" s="278">
        <f>+AC53*E53</f>
        <v>0.5</v>
      </c>
      <c r="AG53" s="278">
        <f>+AD53*E53</f>
        <v>0.5</v>
      </c>
      <c r="AH53" s="278">
        <f t="shared" si="13"/>
        <v>0.5</v>
      </c>
      <c r="AI53" s="278">
        <f>+P53/F53</f>
        <v>0.17499999999999999</v>
      </c>
      <c r="AJ53" s="278">
        <v>0.83250000000000002</v>
      </c>
      <c r="AK53" s="278">
        <v>1</v>
      </c>
      <c r="AL53" s="278">
        <f>+AI53*E53</f>
        <v>8.7499999999999994E-2</v>
      </c>
      <c r="AM53" s="278">
        <f>+AJ53*E53</f>
        <v>0.41625000000000001</v>
      </c>
      <c r="AN53" s="278">
        <f t="shared" si="11"/>
        <v>0.5</v>
      </c>
      <c r="AO53" s="532" t="s">
        <v>1844</v>
      </c>
      <c r="AP53" s="534" t="s">
        <v>1895</v>
      </c>
      <c r="AQ53" s="534" t="s">
        <v>1986</v>
      </c>
      <c r="AR53" s="754" t="s">
        <v>2011</v>
      </c>
      <c r="AS53" s="754" t="s">
        <v>2107</v>
      </c>
      <c r="AT53" s="754" t="s">
        <v>2139</v>
      </c>
      <c r="AU53" s="558" t="s">
        <v>2196</v>
      </c>
      <c r="AV53" s="558" t="s">
        <v>1887</v>
      </c>
      <c r="AW53" s="558" t="s">
        <v>2294</v>
      </c>
    </row>
    <row r="54" spans="1:49" ht="122.4" customHeight="1" thickBot="1" x14ac:dyDescent="0.45">
      <c r="A54" s="261"/>
      <c r="B54" s="1342" t="s">
        <v>434</v>
      </c>
      <c r="C54" s="1147" t="s">
        <v>435</v>
      </c>
      <c r="D54" s="309" t="s">
        <v>357</v>
      </c>
      <c r="E54" s="269">
        <v>0.35</v>
      </c>
      <c r="F54" s="270">
        <v>107</v>
      </c>
      <c r="G54" s="289">
        <v>25</v>
      </c>
      <c r="H54" s="704">
        <v>30</v>
      </c>
      <c r="I54" s="290">
        <v>27</v>
      </c>
      <c r="J54" s="279">
        <f>+G54/F54</f>
        <v>0.23364485981308411</v>
      </c>
      <c r="K54" s="279">
        <f t="shared" si="35"/>
        <v>0.28037383177570091</v>
      </c>
      <c r="L54" s="279"/>
      <c r="M54" s="280">
        <f>+(G54/F54)*E54</f>
        <v>8.1775700934579434E-2</v>
      </c>
      <c r="N54" s="280">
        <f t="shared" si="36"/>
        <v>9.813084112149531E-2</v>
      </c>
      <c r="O54" s="280"/>
      <c r="P54" s="275">
        <v>78</v>
      </c>
      <c r="Q54" s="535">
        <v>0</v>
      </c>
      <c r="R54" s="276">
        <v>15</v>
      </c>
      <c r="S54" s="276">
        <v>10</v>
      </c>
      <c r="T54" s="276">
        <v>0</v>
      </c>
      <c r="U54" s="276">
        <v>4</v>
      </c>
      <c r="V54" s="601">
        <f t="shared" ref="V54:V55" si="37">+Q54+R54+S54+T54+U54</f>
        <v>29</v>
      </c>
      <c r="W54" s="601">
        <f t="shared" ref="W54" si="38">+V54+P54+AB54</f>
        <v>148</v>
      </c>
      <c r="X54" s="1032">
        <v>0</v>
      </c>
      <c r="Y54" s="1032">
        <v>41</v>
      </c>
      <c r="Z54" s="289"/>
      <c r="AA54" s="289"/>
      <c r="AB54" s="289">
        <f t="shared" si="7"/>
        <v>41</v>
      </c>
      <c r="AC54" s="277">
        <v>1</v>
      </c>
      <c r="AD54" s="278">
        <f>+V54/H54</f>
        <v>0.96666666666666667</v>
      </c>
      <c r="AE54" s="278">
        <v>1</v>
      </c>
      <c r="AF54" s="278">
        <f>+AC54*E54</f>
        <v>0.35</v>
      </c>
      <c r="AG54" s="278">
        <f>+AD54*E54</f>
        <v>0.33833333333333332</v>
      </c>
      <c r="AH54" s="278">
        <f t="shared" si="13"/>
        <v>0.35</v>
      </c>
      <c r="AI54" s="278">
        <f>+P54/F54</f>
        <v>0.7289719626168224</v>
      </c>
      <c r="AJ54" s="278">
        <v>1</v>
      </c>
      <c r="AK54" s="278">
        <v>1</v>
      </c>
      <c r="AL54" s="278">
        <f>+AI54*E54</f>
        <v>0.2551401869158878</v>
      </c>
      <c r="AM54" s="278">
        <f>+AJ54*E54</f>
        <v>0.35</v>
      </c>
      <c r="AN54" s="278">
        <f t="shared" si="11"/>
        <v>0.35</v>
      </c>
      <c r="AO54" s="532" t="s">
        <v>1844</v>
      </c>
      <c r="AP54" s="534" t="s">
        <v>1895</v>
      </c>
      <c r="AQ54" s="534" t="s">
        <v>1986</v>
      </c>
      <c r="AR54" s="754" t="s">
        <v>2011</v>
      </c>
      <c r="AS54" s="754" t="s">
        <v>2107</v>
      </c>
      <c r="AT54" s="754" t="s">
        <v>2139</v>
      </c>
      <c r="AU54" s="558" t="s">
        <v>2196</v>
      </c>
      <c r="AV54" s="558" t="s">
        <v>1887</v>
      </c>
      <c r="AW54" s="558" t="s">
        <v>2294</v>
      </c>
    </row>
    <row r="55" spans="1:49" ht="122.4" customHeight="1" thickBot="1" x14ac:dyDescent="0.45">
      <c r="A55" s="261"/>
      <c r="B55" s="1342" t="s">
        <v>436</v>
      </c>
      <c r="C55" s="1147" t="s">
        <v>437</v>
      </c>
      <c r="D55" s="309" t="s">
        <v>357</v>
      </c>
      <c r="E55" s="269">
        <v>0.15</v>
      </c>
      <c r="F55" s="270">
        <v>4</v>
      </c>
      <c r="G55" s="289">
        <v>1</v>
      </c>
      <c r="H55" s="704">
        <v>1</v>
      </c>
      <c r="I55" s="290">
        <v>1</v>
      </c>
      <c r="J55" s="279">
        <f>+G55/F55</f>
        <v>0.25</v>
      </c>
      <c r="K55" s="279">
        <f t="shared" si="35"/>
        <v>0.25</v>
      </c>
      <c r="L55" s="279">
        <f t="shared" si="14"/>
        <v>0.25</v>
      </c>
      <c r="M55" s="280">
        <f>+(G55/F55)*E55</f>
        <v>3.7499999999999999E-2</v>
      </c>
      <c r="N55" s="280">
        <f t="shared" si="36"/>
        <v>3.7499999999999999E-2</v>
      </c>
      <c r="O55" s="280"/>
      <c r="P55" s="275">
        <v>1</v>
      </c>
      <c r="Q55" s="535">
        <v>0</v>
      </c>
      <c r="R55" s="276">
        <v>0</v>
      </c>
      <c r="S55" s="276">
        <v>0</v>
      </c>
      <c r="T55" s="276">
        <v>1</v>
      </c>
      <c r="U55" s="276">
        <v>0</v>
      </c>
      <c r="V55" s="601">
        <f t="shared" si="37"/>
        <v>1</v>
      </c>
      <c r="W55" s="601">
        <f>+V55+P55+AB55</f>
        <v>3</v>
      </c>
      <c r="X55" s="1032">
        <v>0</v>
      </c>
      <c r="Y55" s="1032">
        <v>1</v>
      </c>
      <c r="Z55" s="289"/>
      <c r="AA55" s="289"/>
      <c r="AB55" s="289">
        <f t="shared" si="7"/>
        <v>1</v>
      </c>
      <c r="AC55" s="277">
        <f>+(P55/G55)</f>
        <v>1</v>
      </c>
      <c r="AD55" s="278">
        <f>+V55/H55</f>
        <v>1</v>
      </c>
      <c r="AE55" s="278">
        <f t="shared" si="8"/>
        <v>1</v>
      </c>
      <c r="AF55" s="278">
        <f>+AC55*E55</f>
        <v>0.15</v>
      </c>
      <c r="AG55" s="278">
        <f>+AD55*E55</f>
        <v>0.15</v>
      </c>
      <c r="AH55" s="278">
        <f t="shared" si="13"/>
        <v>0.15</v>
      </c>
      <c r="AI55" s="278">
        <f>+P55/F55</f>
        <v>0.25</v>
      </c>
      <c r="AJ55" s="278">
        <v>0.5</v>
      </c>
      <c r="AK55" s="278">
        <f t="shared" si="9"/>
        <v>0.75</v>
      </c>
      <c r="AL55" s="278">
        <f>+AI55*E55</f>
        <v>3.7499999999999999E-2</v>
      </c>
      <c r="AM55" s="278">
        <f>+AJ55*E55</f>
        <v>7.4999999999999997E-2</v>
      </c>
      <c r="AN55" s="278">
        <f t="shared" si="11"/>
        <v>0.11249999999999999</v>
      </c>
      <c r="AO55" s="532" t="s">
        <v>1844</v>
      </c>
      <c r="AP55" s="534" t="s">
        <v>1895</v>
      </c>
      <c r="AQ55" s="534" t="s">
        <v>1986</v>
      </c>
      <c r="AR55" s="754" t="s">
        <v>2011</v>
      </c>
      <c r="AS55" s="754" t="s">
        <v>2107</v>
      </c>
      <c r="AT55" s="754" t="s">
        <v>2139</v>
      </c>
      <c r="AU55" s="558" t="s">
        <v>2196</v>
      </c>
      <c r="AV55" s="558" t="s">
        <v>1887</v>
      </c>
      <c r="AW55" s="558" t="s">
        <v>2294</v>
      </c>
    </row>
    <row r="56" spans="1:49" ht="122.4" customHeight="1" thickBot="1" x14ac:dyDescent="0.55000000000000004">
      <c r="A56" s="261"/>
      <c r="B56" s="1339" t="s">
        <v>1647</v>
      </c>
      <c r="C56" s="1340"/>
      <c r="D56" s="309"/>
      <c r="E56" s="266">
        <v>0.02</v>
      </c>
      <c r="F56" s="284"/>
      <c r="G56" s="285"/>
      <c r="H56" s="926"/>
      <c r="I56" s="267"/>
      <c r="J56" s="286">
        <f>+AVERAGE(J57:J59)</f>
        <v>0.19781931464174454</v>
      </c>
      <c r="K56" s="286">
        <f>+AVERAGE(K57:K59)</f>
        <v>0.12694704049844238</v>
      </c>
      <c r="L56" s="286">
        <f>+AVERAGE(L57:L59)</f>
        <v>0.3259345794392523</v>
      </c>
      <c r="M56" s="287">
        <f>+M57+M58+M59</f>
        <v>0.17172897196261683</v>
      </c>
      <c r="N56" s="287">
        <f>+N57+N58+N59</f>
        <v>0.16542056074766354</v>
      </c>
      <c r="O56" s="287"/>
      <c r="P56" s="275"/>
      <c r="Q56" s="288"/>
      <c r="R56" s="288"/>
      <c r="S56" s="288"/>
      <c r="T56" s="288"/>
      <c r="U56" s="816"/>
      <c r="V56" s="288"/>
      <c r="W56" s="288"/>
      <c r="X56" s="936"/>
      <c r="Y56" s="936"/>
      <c r="Z56" s="936"/>
      <c r="AA56" s="936"/>
      <c r="AB56" s="936"/>
      <c r="AC56" s="476">
        <f>+AVERAGE(AC57:AC59)</f>
        <v>0.66666666666666663</v>
      </c>
      <c r="AD56" s="476">
        <f>+AVERAGE(AD57:AD59)</f>
        <v>1</v>
      </c>
      <c r="AE56" s="476">
        <f>+AVERAGE(AE57:AE59)</f>
        <v>0.7441860465116279</v>
      </c>
      <c r="AF56" s="307">
        <f>+(AF57+AF58+AF59)*E56</f>
        <v>1.8000000000000002E-2</v>
      </c>
      <c r="AG56" s="307">
        <f>+(AG57+AG58+AG59)*E56</f>
        <v>1.8000000000000002E-2</v>
      </c>
      <c r="AH56" s="307">
        <f>+(AH57+AH58+AH59)*E56</f>
        <v>1.2883720930232559E-2</v>
      </c>
      <c r="AI56" s="268">
        <f>+AVERAGE(AI57:AI59)</f>
        <v>0.11448598130841121</v>
      </c>
      <c r="AJ56" s="268">
        <v>0.37258566978193147</v>
      </c>
      <c r="AK56" s="268">
        <f>+AVERAGE(AK57:AK59)</f>
        <v>0.39018691588785043</v>
      </c>
      <c r="AL56" s="268">
        <f>+(AL57+AL58+AL59)*E56</f>
        <v>2.9345794392523369E-3</v>
      </c>
      <c r="AM56" s="268">
        <f>+(AM57+AM58+AM59)</f>
        <v>0.47887850467289728</v>
      </c>
      <c r="AN56" s="268">
        <f>+(AN57+AN58+AN59)</f>
        <v>0.51028037383177571</v>
      </c>
      <c r="AO56" s="639"/>
      <c r="AP56" s="267"/>
      <c r="AQ56" s="267"/>
      <c r="AR56" s="267"/>
      <c r="AS56" s="267"/>
      <c r="AT56" s="755"/>
      <c r="AU56" s="752"/>
      <c r="AV56" s="755"/>
    </row>
    <row r="57" spans="1:49" ht="122.4" customHeight="1" thickBot="1" x14ac:dyDescent="0.45">
      <c r="A57" s="261"/>
      <c r="B57" s="1342" t="s">
        <v>438</v>
      </c>
      <c r="C57" s="1147" t="s">
        <v>439</v>
      </c>
      <c r="D57" s="309" t="s">
        <v>357</v>
      </c>
      <c r="E57" s="269">
        <v>0.5</v>
      </c>
      <c r="F57" s="270">
        <v>107</v>
      </c>
      <c r="G57" s="289">
        <v>10</v>
      </c>
      <c r="H57" s="704">
        <v>14</v>
      </c>
      <c r="I57" s="290">
        <v>43</v>
      </c>
      <c r="J57" s="279">
        <f>+G57/F57</f>
        <v>9.3457943925233641E-2</v>
      </c>
      <c r="K57" s="279">
        <f t="shared" si="35"/>
        <v>0.13084112149532709</v>
      </c>
      <c r="L57" s="279">
        <f t="shared" si="14"/>
        <v>0.40186915887850466</v>
      </c>
      <c r="M57" s="280">
        <f>+(G57/F57)*E57</f>
        <v>4.6728971962616821E-2</v>
      </c>
      <c r="N57" s="280">
        <f t="shared" si="36"/>
        <v>6.5420560747663545E-2</v>
      </c>
      <c r="O57" s="280"/>
      <c r="P57" s="275">
        <v>10</v>
      </c>
      <c r="Q57" s="282">
        <v>4</v>
      </c>
      <c r="R57" s="276">
        <v>10</v>
      </c>
      <c r="S57" s="276">
        <v>10</v>
      </c>
      <c r="T57" s="276">
        <v>0</v>
      </c>
      <c r="U57" s="276">
        <v>0</v>
      </c>
      <c r="V57" s="601">
        <v>14</v>
      </c>
      <c r="W57" s="601">
        <f>+V57+P57+AB57</f>
        <v>45</v>
      </c>
      <c r="X57" s="1032">
        <v>10</v>
      </c>
      <c r="Y57" s="1032">
        <v>11</v>
      </c>
      <c r="Z57" s="289"/>
      <c r="AA57" s="289"/>
      <c r="AB57" s="289">
        <f t="shared" si="7"/>
        <v>21</v>
      </c>
      <c r="AC57" s="277">
        <f>+(P57/G57)</f>
        <v>1</v>
      </c>
      <c r="AD57" s="278">
        <v>1</v>
      </c>
      <c r="AE57" s="278">
        <f t="shared" si="8"/>
        <v>0.48837209302325579</v>
      </c>
      <c r="AF57" s="278">
        <f>+AC57*E57</f>
        <v>0.5</v>
      </c>
      <c r="AG57" s="278">
        <f>+AD57*E57</f>
        <v>0.5</v>
      </c>
      <c r="AH57" s="278">
        <f t="shared" si="13"/>
        <v>0.2441860465116279</v>
      </c>
      <c r="AI57" s="278">
        <f>+P57/F57</f>
        <v>9.3457943925233641E-2</v>
      </c>
      <c r="AJ57" s="278">
        <v>0.31775700934579437</v>
      </c>
      <c r="AK57" s="278">
        <f t="shared" si="9"/>
        <v>0.42056074766355139</v>
      </c>
      <c r="AL57" s="278">
        <f>+AI57*E57</f>
        <v>4.6728971962616821E-2</v>
      </c>
      <c r="AM57" s="278">
        <f>+AJ57*E57</f>
        <v>0.15887850467289719</v>
      </c>
      <c r="AN57" s="278">
        <f t="shared" si="11"/>
        <v>0.2102803738317757</v>
      </c>
      <c r="AO57" s="532" t="s">
        <v>1844</v>
      </c>
      <c r="AP57" s="534" t="s">
        <v>1895</v>
      </c>
      <c r="AQ57" s="534" t="s">
        <v>1986</v>
      </c>
      <c r="AR57" s="754" t="s">
        <v>2011</v>
      </c>
      <c r="AS57" s="754" t="s">
        <v>2107</v>
      </c>
      <c r="AT57" s="754" t="s">
        <v>2139</v>
      </c>
      <c r="AU57" s="558" t="s">
        <v>2196</v>
      </c>
      <c r="AV57" s="558" t="s">
        <v>1887</v>
      </c>
      <c r="AW57" s="558" t="s">
        <v>2294</v>
      </c>
    </row>
    <row r="58" spans="1:49" ht="122.4" customHeight="1" thickBot="1" x14ac:dyDescent="0.45">
      <c r="A58" s="261"/>
      <c r="B58" s="1342" t="s">
        <v>440</v>
      </c>
      <c r="C58" s="1147" t="s">
        <v>441</v>
      </c>
      <c r="D58" s="309" t="s">
        <v>357</v>
      </c>
      <c r="E58" s="269">
        <v>0.1</v>
      </c>
      <c r="F58" s="270">
        <v>1</v>
      </c>
      <c r="G58" s="289">
        <v>0.25</v>
      </c>
      <c r="H58" s="704">
        <v>0</v>
      </c>
      <c r="I58" s="290"/>
      <c r="J58" s="279">
        <f>+G58/F58</f>
        <v>0.25</v>
      </c>
      <c r="K58" s="279">
        <f t="shared" si="35"/>
        <v>0</v>
      </c>
      <c r="L58" s="279"/>
      <c r="M58" s="280">
        <f>+(G58/F58)*E58</f>
        <v>2.5000000000000001E-2</v>
      </c>
      <c r="N58" s="280">
        <f t="shared" si="36"/>
        <v>0</v>
      </c>
      <c r="O58" s="280"/>
      <c r="P58" s="275">
        <v>0</v>
      </c>
      <c r="Q58" s="282"/>
      <c r="R58" s="276"/>
      <c r="S58" s="276"/>
      <c r="T58" s="276"/>
      <c r="U58" s="276"/>
      <c r="V58" s="601">
        <f t="shared" ref="V58" si="39">+Q58+R58+S58+T58+U58</f>
        <v>0</v>
      </c>
      <c r="W58" s="601">
        <f t="shared" ref="W58:W59" si="40">+V58+P58+AB58</f>
        <v>0</v>
      </c>
      <c r="X58" s="1032">
        <v>0</v>
      </c>
      <c r="Y58" s="1032">
        <v>0</v>
      </c>
      <c r="Z58" s="289"/>
      <c r="AA58" s="289"/>
      <c r="AB58" s="289">
        <f t="shared" si="7"/>
        <v>0</v>
      </c>
      <c r="AC58" s="277">
        <f>+(P58/G58)</f>
        <v>0</v>
      </c>
      <c r="AD58" s="278"/>
      <c r="AE58" s="278"/>
      <c r="AF58" s="278">
        <f>+AC58*E58</f>
        <v>0</v>
      </c>
      <c r="AG58" s="278">
        <f>+AD58*E58</f>
        <v>0</v>
      </c>
      <c r="AH58" s="278">
        <f t="shared" si="13"/>
        <v>0</v>
      </c>
      <c r="AI58" s="278">
        <f>+P58/F58</f>
        <v>0</v>
      </c>
      <c r="AJ58" s="278">
        <v>0</v>
      </c>
      <c r="AK58" s="278">
        <f t="shared" si="9"/>
        <v>0</v>
      </c>
      <c r="AL58" s="278">
        <f>+AI58*E58</f>
        <v>0</v>
      </c>
      <c r="AM58" s="278">
        <f>+AJ58*E58</f>
        <v>0</v>
      </c>
      <c r="AN58" s="278">
        <f t="shared" si="11"/>
        <v>0</v>
      </c>
      <c r="AO58" s="532" t="s">
        <v>1844</v>
      </c>
      <c r="AP58" s="533" t="s">
        <v>1905</v>
      </c>
      <c r="AQ58" s="534" t="s">
        <v>1986</v>
      </c>
      <c r="AR58" s="754" t="s">
        <v>2011</v>
      </c>
      <c r="AS58" s="754" t="s">
        <v>2107</v>
      </c>
      <c r="AT58" s="754" t="s">
        <v>2139</v>
      </c>
      <c r="AU58" s="558" t="s">
        <v>2196</v>
      </c>
      <c r="AV58" s="558" t="s">
        <v>1887</v>
      </c>
      <c r="AW58" s="558" t="s">
        <v>2294</v>
      </c>
    </row>
    <row r="59" spans="1:49" ht="122.4" customHeight="1" thickBot="1" x14ac:dyDescent="0.45">
      <c r="A59" s="261"/>
      <c r="B59" s="1342" t="s">
        <v>442</v>
      </c>
      <c r="C59" s="1147" t="s">
        <v>443</v>
      </c>
      <c r="D59" s="309" t="s">
        <v>357</v>
      </c>
      <c r="E59" s="269">
        <v>0.4</v>
      </c>
      <c r="F59" s="270">
        <v>40</v>
      </c>
      <c r="G59" s="289">
        <v>10</v>
      </c>
      <c r="H59" s="704">
        <v>10</v>
      </c>
      <c r="I59" s="290">
        <v>10</v>
      </c>
      <c r="J59" s="279">
        <f>+G59/F59</f>
        <v>0.25</v>
      </c>
      <c r="K59" s="279">
        <f t="shared" si="35"/>
        <v>0.25</v>
      </c>
      <c r="L59" s="279">
        <f t="shared" si="14"/>
        <v>0.25</v>
      </c>
      <c r="M59" s="280">
        <f>+(G59/F59)*E59</f>
        <v>0.1</v>
      </c>
      <c r="N59" s="280">
        <f t="shared" si="36"/>
        <v>0.1</v>
      </c>
      <c r="O59" s="280"/>
      <c r="P59" s="275">
        <v>10</v>
      </c>
      <c r="Q59" s="282">
        <v>3</v>
      </c>
      <c r="R59" s="276">
        <v>9</v>
      </c>
      <c r="S59" s="276">
        <v>10</v>
      </c>
      <c r="T59" s="276"/>
      <c r="U59" s="276">
        <v>0</v>
      </c>
      <c r="V59" s="601">
        <v>10</v>
      </c>
      <c r="W59" s="601">
        <f t="shared" si="40"/>
        <v>30</v>
      </c>
      <c r="X59" s="1032">
        <v>10</v>
      </c>
      <c r="Y59" s="1032">
        <v>0</v>
      </c>
      <c r="Z59" s="289"/>
      <c r="AA59" s="289"/>
      <c r="AB59" s="289">
        <f t="shared" si="7"/>
        <v>10</v>
      </c>
      <c r="AC59" s="277">
        <f>+(P59/G59)</f>
        <v>1</v>
      </c>
      <c r="AD59" s="278">
        <v>1</v>
      </c>
      <c r="AE59" s="278">
        <f t="shared" si="8"/>
        <v>1</v>
      </c>
      <c r="AF59" s="278">
        <f>+AC59*E59</f>
        <v>0.4</v>
      </c>
      <c r="AG59" s="278">
        <f>+AD59*E59</f>
        <v>0.4</v>
      </c>
      <c r="AH59" s="278">
        <f t="shared" si="13"/>
        <v>0.4</v>
      </c>
      <c r="AI59" s="278">
        <f>+P59/F59</f>
        <v>0.25</v>
      </c>
      <c r="AJ59" s="278">
        <v>0.8</v>
      </c>
      <c r="AK59" s="278">
        <f t="shared" si="9"/>
        <v>0.75</v>
      </c>
      <c r="AL59" s="278">
        <f>+AI59*E59</f>
        <v>0.1</v>
      </c>
      <c r="AM59" s="278">
        <f>+AJ59*E59</f>
        <v>0.32000000000000006</v>
      </c>
      <c r="AN59" s="278">
        <f t="shared" si="11"/>
        <v>0.30000000000000004</v>
      </c>
      <c r="AO59" s="532" t="s">
        <v>1844</v>
      </c>
      <c r="AP59" s="534" t="s">
        <v>1895</v>
      </c>
      <c r="AQ59" s="534" t="s">
        <v>1986</v>
      </c>
      <c r="AR59" s="754" t="s">
        <v>2011</v>
      </c>
      <c r="AS59" s="754" t="s">
        <v>2107</v>
      </c>
      <c r="AT59" s="754" t="s">
        <v>2139</v>
      </c>
      <c r="AU59" s="558" t="s">
        <v>2196</v>
      </c>
      <c r="AV59" s="558" t="s">
        <v>1887</v>
      </c>
      <c r="AW59" s="558" t="s">
        <v>2294</v>
      </c>
    </row>
    <row r="60" spans="1:49" ht="122.4" customHeight="1" thickBot="1" x14ac:dyDescent="0.55000000000000004">
      <c r="A60" s="261"/>
      <c r="B60" s="1339" t="s">
        <v>1648</v>
      </c>
      <c r="C60" s="1340"/>
      <c r="D60" s="309"/>
      <c r="E60" s="266">
        <v>0.1</v>
      </c>
      <c r="F60" s="270"/>
      <c r="G60" s="285"/>
      <c r="H60" s="926"/>
      <c r="I60" s="267"/>
      <c r="J60" s="286">
        <f>+AVERAGE(J61:J67)</f>
        <v>0.21443137254901962</v>
      </c>
      <c r="K60" s="286">
        <f>+AVERAGE(K61:K67)</f>
        <v>0.2941830065359477</v>
      </c>
      <c r="L60" s="286">
        <f>+AVERAGE(L61:L67)</f>
        <v>0.32348459383753497</v>
      </c>
      <c r="M60" s="287">
        <f>+M61+M62+M63+M64+M65+M66+M67</f>
        <v>0.15490686274509805</v>
      </c>
      <c r="N60" s="287">
        <f>+N61+N62+N63+N64+N65+N66+N67</f>
        <v>0.28919771241830067</v>
      </c>
      <c r="O60" s="287"/>
      <c r="P60" s="275"/>
      <c r="Q60" s="288"/>
      <c r="R60" s="288"/>
      <c r="S60" s="288"/>
      <c r="T60" s="288"/>
      <c r="U60" s="816"/>
      <c r="V60" s="288"/>
      <c r="W60" s="288"/>
      <c r="X60" s="936"/>
      <c r="Y60" s="936"/>
      <c r="Z60" s="936"/>
      <c r="AA60" s="936"/>
      <c r="AB60" s="936"/>
      <c r="AC60" s="476">
        <f>+AVERAGE(AC61:AC67)</f>
        <v>0.91082380952380948</v>
      </c>
      <c r="AD60" s="476">
        <f>+AVERAGE(AD61:AD67)</f>
        <v>0.51087674487674484</v>
      </c>
      <c r="AE60" s="476">
        <f>+AVERAGE(AE61:AE67)</f>
        <v>9.8580146967243737E-2</v>
      </c>
      <c r="AF60" s="307">
        <f>+(AF61+AF62+AF63+AF64+AF65+AF66+AF67)*E60</f>
        <v>7.9564761904761902E-2</v>
      </c>
      <c r="AG60" s="307">
        <f>+(AG61+AG62+AG63+AG64+AG65+AG66+AG67)*E60</f>
        <v>5.2353596673596674E-2</v>
      </c>
      <c r="AH60" s="307">
        <f>+(AH61+AH62+AH63+AH64+AH65+AH66+AH67)*E60</f>
        <v>1.983217088055798E-2</v>
      </c>
      <c r="AI60" s="268">
        <f>+AVERAGE(AI61:AI67)</f>
        <v>0.19200359477124182</v>
      </c>
      <c r="AJ60" s="268">
        <v>0.31358053221288518</v>
      </c>
      <c r="AK60" s="268">
        <f>+AVERAGE(AK61:AK67)</f>
        <v>0.34637464985994398</v>
      </c>
      <c r="AL60" s="268">
        <f>+(AL61+AL62+AL63+AL64+AL65+AL66+AL67)*E60</f>
        <v>1.4392630718954247E-2</v>
      </c>
      <c r="AM60" s="268">
        <f>+(AM61+AM62+AM63+AM64+AM65+AM66+AM67)</f>
        <v>0.30288872549019608</v>
      </c>
      <c r="AN60" s="268">
        <f>+(AN61+AN62+AN63+AN64+AN65+AN66+AN67)</f>
        <v>0.37357254901960779</v>
      </c>
      <c r="AO60" s="639"/>
      <c r="AP60" s="267"/>
      <c r="AQ60" s="267"/>
      <c r="AR60" s="267"/>
      <c r="AS60" s="267"/>
      <c r="AT60" s="755"/>
      <c r="AU60" s="752"/>
      <c r="AV60" s="755"/>
    </row>
    <row r="61" spans="1:49" ht="122.4" customHeight="1" thickBot="1" x14ac:dyDescent="0.45">
      <c r="A61" s="261"/>
      <c r="B61" s="1342" t="s">
        <v>444</v>
      </c>
      <c r="C61" s="1147" t="s">
        <v>445</v>
      </c>
      <c r="D61" s="309" t="s">
        <v>357</v>
      </c>
      <c r="E61" s="269">
        <v>0.4</v>
      </c>
      <c r="F61" s="270">
        <v>9000</v>
      </c>
      <c r="G61" s="289">
        <v>1200</v>
      </c>
      <c r="H61" s="704">
        <v>2600</v>
      </c>
      <c r="I61" s="290">
        <v>3441</v>
      </c>
      <c r="J61" s="279">
        <f>+G61/F61</f>
        <v>0.13333333333333333</v>
      </c>
      <c r="K61" s="279">
        <f t="shared" si="35"/>
        <v>0.28888888888888886</v>
      </c>
      <c r="L61" s="279">
        <f t="shared" si="14"/>
        <v>0.38233333333333336</v>
      </c>
      <c r="M61" s="280">
        <f>+(G61/F61)*E61</f>
        <v>5.3333333333333337E-2</v>
      </c>
      <c r="N61" s="280">
        <f t="shared" si="36"/>
        <v>0.11555555555555555</v>
      </c>
      <c r="O61" s="280"/>
      <c r="P61" s="275">
        <v>1123</v>
      </c>
      <c r="Q61" s="535">
        <v>0</v>
      </c>
      <c r="R61" s="535">
        <v>468</v>
      </c>
      <c r="S61" s="276">
        <v>353</v>
      </c>
      <c r="T61" s="276">
        <v>0</v>
      </c>
      <c r="U61" s="276">
        <v>605</v>
      </c>
      <c r="V61" s="601">
        <f>+Q61+R61+S61+T61+U61</f>
        <v>1426</v>
      </c>
      <c r="W61" s="601">
        <f>+V61+P61+AB61+10</f>
        <v>3864</v>
      </c>
      <c r="X61" s="1032">
        <v>1022</v>
      </c>
      <c r="Y61" s="1032">
        <v>283</v>
      </c>
      <c r="Z61" s="289"/>
      <c r="AA61" s="289"/>
      <c r="AB61" s="289">
        <f t="shared" si="7"/>
        <v>1305</v>
      </c>
      <c r="AC61" s="277">
        <f>+(P61/G61)</f>
        <v>0.93583333333333329</v>
      </c>
      <c r="AD61" s="278">
        <f>+V61/H61</f>
        <v>0.54846153846153844</v>
      </c>
      <c r="AE61" s="278">
        <f t="shared" si="8"/>
        <v>0.37925021795989539</v>
      </c>
      <c r="AF61" s="278">
        <f>+AC61*E61</f>
        <v>0.37433333333333335</v>
      </c>
      <c r="AG61" s="278">
        <f t="shared" ref="AG61:AG67" si="41">+AD61*E61</f>
        <v>0.2193846153846154</v>
      </c>
      <c r="AH61" s="278">
        <f t="shared" si="13"/>
        <v>0.15170008718395817</v>
      </c>
      <c r="AI61" s="278">
        <f>+P61/F61</f>
        <v>0.12477777777777778</v>
      </c>
      <c r="AJ61" s="278">
        <v>0.28433333333333333</v>
      </c>
      <c r="AK61" s="278">
        <f t="shared" si="9"/>
        <v>0.42933333333333334</v>
      </c>
      <c r="AL61" s="278">
        <f>+AI61*E61</f>
        <v>4.9911111111111114E-2</v>
      </c>
      <c r="AM61" s="278">
        <f t="shared" ref="AM61:AM67" si="42">+AJ61*E61</f>
        <v>0.11373333333333334</v>
      </c>
      <c r="AN61" s="278">
        <f t="shared" si="11"/>
        <v>0.17173333333333335</v>
      </c>
      <c r="AO61" s="532" t="s">
        <v>1844</v>
      </c>
      <c r="AP61" s="534" t="s">
        <v>1895</v>
      </c>
      <c r="AQ61" s="534" t="s">
        <v>1986</v>
      </c>
      <c r="AR61" s="754" t="s">
        <v>2011</v>
      </c>
      <c r="AS61" s="754" t="s">
        <v>2107</v>
      </c>
      <c r="AT61" s="754" t="s">
        <v>2139</v>
      </c>
      <c r="AU61" s="558" t="s">
        <v>2196</v>
      </c>
      <c r="AV61" s="558" t="s">
        <v>1887</v>
      </c>
      <c r="AW61" s="558" t="s">
        <v>2294</v>
      </c>
    </row>
    <row r="62" spans="1:49" ht="172.2" customHeight="1" thickBot="1" x14ac:dyDescent="0.45">
      <c r="A62" s="261"/>
      <c r="B62" s="1342" t="s">
        <v>446</v>
      </c>
      <c r="C62" s="1147" t="s">
        <v>447</v>
      </c>
      <c r="D62" s="309" t="s">
        <v>357</v>
      </c>
      <c r="E62" s="269">
        <v>0.15</v>
      </c>
      <c r="F62" s="270">
        <v>544</v>
      </c>
      <c r="G62" s="289">
        <v>100</v>
      </c>
      <c r="H62" s="704">
        <v>148</v>
      </c>
      <c r="I62" s="290">
        <v>148</v>
      </c>
      <c r="J62" s="279">
        <f>+G62/F62</f>
        <v>0.18382352941176472</v>
      </c>
      <c r="K62" s="279">
        <f t="shared" si="35"/>
        <v>0.27205882352941174</v>
      </c>
      <c r="L62" s="279">
        <f t="shared" si="14"/>
        <v>0.27205882352941174</v>
      </c>
      <c r="M62" s="280">
        <f>+(G62/F62)*E62</f>
        <v>2.7573529411764709E-2</v>
      </c>
      <c r="N62" s="280">
        <f t="shared" si="36"/>
        <v>4.0808823529411759E-2</v>
      </c>
      <c r="O62" s="280"/>
      <c r="P62" s="275">
        <v>100</v>
      </c>
      <c r="Q62" s="535">
        <v>0</v>
      </c>
      <c r="R62" s="535">
        <v>0</v>
      </c>
      <c r="S62" s="276">
        <v>100</v>
      </c>
      <c r="T62" s="276">
        <v>0</v>
      </c>
      <c r="U62" s="276">
        <v>0</v>
      </c>
      <c r="V62" s="601">
        <f t="shared" ref="V62:V67" si="43">+Q62+R62+S62+T62+U62</f>
        <v>100</v>
      </c>
      <c r="W62" s="601">
        <f t="shared" ref="W62:W67" si="44">+V62+P62+AB62</f>
        <v>246</v>
      </c>
      <c r="X62" s="1032">
        <v>46</v>
      </c>
      <c r="Y62" s="1032">
        <v>0</v>
      </c>
      <c r="Z62" s="289"/>
      <c r="AA62" s="289"/>
      <c r="AB62" s="289">
        <f t="shared" si="7"/>
        <v>46</v>
      </c>
      <c r="AC62" s="277">
        <f>+(P62/G62)</f>
        <v>1</v>
      </c>
      <c r="AD62" s="278">
        <f>+V62/H62</f>
        <v>0.67567567567567566</v>
      </c>
      <c r="AE62" s="278">
        <f t="shared" si="8"/>
        <v>0.3108108108108108</v>
      </c>
      <c r="AF62" s="278">
        <f>+AC62*E62</f>
        <v>0.15</v>
      </c>
      <c r="AG62" s="278">
        <f t="shared" si="41"/>
        <v>0.10135135135135134</v>
      </c>
      <c r="AH62" s="278">
        <f t="shared" si="13"/>
        <v>4.6621621621621617E-2</v>
      </c>
      <c r="AI62" s="278">
        <f>+P62/F62</f>
        <v>0.18382352941176472</v>
      </c>
      <c r="AJ62" s="278">
        <v>0.36764705882352944</v>
      </c>
      <c r="AK62" s="278">
        <f t="shared" si="9"/>
        <v>0.45220588235294118</v>
      </c>
      <c r="AL62" s="278">
        <f>+AI62*E62</f>
        <v>2.7573529411764709E-2</v>
      </c>
      <c r="AM62" s="278">
        <f t="shared" si="42"/>
        <v>5.5147058823529417E-2</v>
      </c>
      <c r="AN62" s="278">
        <f t="shared" si="11"/>
        <v>6.7830882352941171E-2</v>
      </c>
      <c r="AO62" s="532" t="s">
        <v>1844</v>
      </c>
      <c r="AP62" s="534" t="s">
        <v>1895</v>
      </c>
      <c r="AQ62" s="534" t="s">
        <v>1986</v>
      </c>
      <c r="AR62" s="754" t="s">
        <v>2011</v>
      </c>
      <c r="AS62" s="754" t="s">
        <v>2107</v>
      </c>
      <c r="AT62" s="754" t="s">
        <v>2139</v>
      </c>
      <c r="AU62" s="558" t="s">
        <v>2196</v>
      </c>
      <c r="AV62" s="558" t="s">
        <v>1887</v>
      </c>
      <c r="AW62" s="558" t="s">
        <v>2294</v>
      </c>
    </row>
    <row r="63" spans="1:49" ht="122.4" customHeight="1" thickBot="1" x14ac:dyDescent="0.45">
      <c r="A63" s="261"/>
      <c r="B63" s="1342" t="s">
        <v>448</v>
      </c>
      <c r="C63" s="1147" t="s">
        <v>449</v>
      </c>
      <c r="D63" s="309" t="s">
        <v>357</v>
      </c>
      <c r="E63" s="269">
        <v>0.1</v>
      </c>
      <c r="F63" s="270">
        <v>12000</v>
      </c>
      <c r="G63" s="289">
        <v>2700</v>
      </c>
      <c r="H63" s="704">
        <v>3100</v>
      </c>
      <c r="I63" s="290">
        <v>3000</v>
      </c>
      <c r="J63" s="279">
        <f>+G63/F63</f>
        <v>0.22500000000000001</v>
      </c>
      <c r="K63" s="279">
        <f t="shared" si="35"/>
        <v>0.25833333333333336</v>
      </c>
      <c r="L63" s="279">
        <f t="shared" si="14"/>
        <v>0.25</v>
      </c>
      <c r="M63" s="280">
        <f>+(G63/F63)*E63</f>
        <v>2.2500000000000003E-2</v>
      </c>
      <c r="N63" s="280">
        <f t="shared" si="36"/>
        <v>2.5833333333333337E-2</v>
      </c>
      <c r="O63" s="280"/>
      <c r="P63" s="275">
        <v>2705</v>
      </c>
      <c r="Q63" s="535">
        <v>0</v>
      </c>
      <c r="R63" s="535">
        <v>0</v>
      </c>
      <c r="S63" s="276">
        <v>0</v>
      </c>
      <c r="T63" s="276">
        <v>0</v>
      </c>
      <c r="U63" s="276">
        <v>3404</v>
      </c>
      <c r="V63" s="601">
        <f t="shared" si="43"/>
        <v>3404</v>
      </c>
      <c r="W63" s="601">
        <f t="shared" si="44"/>
        <v>6109</v>
      </c>
      <c r="X63" s="1032">
        <v>0</v>
      </c>
      <c r="Y63" s="1032">
        <v>0</v>
      </c>
      <c r="Z63" s="289"/>
      <c r="AA63" s="289"/>
      <c r="AB63" s="289">
        <f t="shared" si="7"/>
        <v>0</v>
      </c>
      <c r="AC63" s="277">
        <v>1</v>
      </c>
      <c r="AD63" s="278">
        <v>1</v>
      </c>
      <c r="AE63" s="278">
        <f t="shared" si="8"/>
        <v>0</v>
      </c>
      <c r="AF63" s="278">
        <f>+AC63*E63</f>
        <v>0.1</v>
      </c>
      <c r="AG63" s="278">
        <f t="shared" si="41"/>
        <v>0.1</v>
      </c>
      <c r="AH63" s="278">
        <f t="shared" si="13"/>
        <v>0</v>
      </c>
      <c r="AI63" s="278">
        <f>+P63/F63</f>
        <v>0.22541666666666665</v>
      </c>
      <c r="AJ63" s="278">
        <v>0.50908333333333333</v>
      </c>
      <c r="AK63" s="278">
        <f t="shared" si="9"/>
        <v>0.50908333333333333</v>
      </c>
      <c r="AL63" s="278">
        <f>+AI63*E63</f>
        <v>2.2541666666666668E-2</v>
      </c>
      <c r="AM63" s="278">
        <f t="shared" si="42"/>
        <v>5.0908333333333333E-2</v>
      </c>
      <c r="AN63" s="278">
        <f t="shared" si="11"/>
        <v>5.0908333333333333E-2</v>
      </c>
      <c r="AO63" s="532" t="s">
        <v>1844</v>
      </c>
      <c r="AP63" s="533" t="s">
        <v>1906</v>
      </c>
      <c r="AQ63" s="534" t="s">
        <v>1986</v>
      </c>
      <c r="AR63" s="754" t="s">
        <v>2011</v>
      </c>
      <c r="AS63" s="754" t="s">
        <v>2107</v>
      </c>
      <c r="AT63" s="754" t="s">
        <v>2139</v>
      </c>
      <c r="AU63" s="558" t="s">
        <v>2196</v>
      </c>
      <c r="AV63" s="558" t="s">
        <v>1887</v>
      </c>
      <c r="AW63" s="558" t="s">
        <v>2294</v>
      </c>
    </row>
    <row r="64" spans="1:49" ht="122.4" customHeight="1" thickBot="1" x14ac:dyDescent="0.45">
      <c r="A64" s="261"/>
      <c r="B64" s="1342" t="s">
        <v>450</v>
      </c>
      <c r="C64" s="1147" t="s">
        <v>451</v>
      </c>
      <c r="D64" s="309" t="s">
        <v>357</v>
      </c>
      <c r="E64" s="269">
        <v>0.05</v>
      </c>
      <c r="F64" s="270">
        <v>25</v>
      </c>
      <c r="G64" s="289">
        <v>7</v>
      </c>
      <c r="H64" s="704">
        <v>6</v>
      </c>
      <c r="I64" s="290">
        <v>4</v>
      </c>
      <c r="J64" s="279">
        <f>+G64/F64</f>
        <v>0.28000000000000003</v>
      </c>
      <c r="K64" s="279">
        <f t="shared" si="35"/>
        <v>0.24</v>
      </c>
      <c r="L64" s="279">
        <f t="shared" si="14"/>
        <v>0.16</v>
      </c>
      <c r="M64" s="280">
        <f>+(G64/F64)*E64</f>
        <v>1.4000000000000002E-2</v>
      </c>
      <c r="N64" s="280">
        <f t="shared" si="36"/>
        <v>1.2E-2</v>
      </c>
      <c r="O64" s="280"/>
      <c r="P64" s="275">
        <v>5</v>
      </c>
      <c r="Q64" s="535">
        <v>6</v>
      </c>
      <c r="R64" s="535">
        <v>0</v>
      </c>
      <c r="S64" s="276">
        <v>6</v>
      </c>
      <c r="T64" s="276">
        <v>0</v>
      </c>
      <c r="U64" s="276">
        <v>1</v>
      </c>
      <c r="V64" s="601">
        <f t="shared" si="43"/>
        <v>13</v>
      </c>
      <c r="W64" s="601">
        <f t="shared" si="44"/>
        <v>18</v>
      </c>
      <c r="X64" s="1032">
        <v>0</v>
      </c>
      <c r="Y64" s="1032">
        <v>0</v>
      </c>
      <c r="Z64" s="289"/>
      <c r="AA64" s="289"/>
      <c r="AB64" s="289">
        <f t="shared" si="7"/>
        <v>0</v>
      </c>
      <c r="AC64" s="277">
        <f>+(P64/G64)</f>
        <v>0.7142857142857143</v>
      </c>
      <c r="AD64" s="278">
        <v>1</v>
      </c>
      <c r="AE64" s="278">
        <f t="shared" si="8"/>
        <v>0</v>
      </c>
      <c r="AF64" s="278">
        <f>+AC64*E64</f>
        <v>3.5714285714285719E-2</v>
      </c>
      <c r="AG64" s="278">
        <f t="shared" si="41"/>
        <v>0.05</v>
      </c>
      <c r="AH64" s="278">
        <f t="shared" si="13"/>
        <v>0</v>
      </c>
      <c r="AI64" s="278">
        <f>+P64/F64</f>
        <v>0.2</v>
      </c>
      <c r="AJ64" s="278">
        <v>0.72</v>
      </c>
      <c r="AK64" s="278">
        <f t="shared" si="9"/>
        <v>0.72</v>
      </c>
      <c r="AL64" s="278">
        <f>+AI64*E64</f>
        <v>1.0000000000000002E-2</v>
      </c>
      <c r="AM64" s="278">
        <f t="shared" si="42"/>
        <v>3.5999999999999997E-2</v>
      </c>
      <c r="AN64" s="278">
        <f t="shared" si="11"/>
        <v>3.5999999999999997E-2</v>
      </c>
      <c r="AO64" s="532" t="s">
        <v>1844</v>
      </c>
      <c r="AP64" s="534" t="s">
        <v>1895</v>
      </c>
      <c r="AQ64" s="534" t="s">
        <v>1986</v>
      </c>
      <c r="AR64" s="754" t="s">
        <v>2011</v>
      </c>
      <c r="AS64" s="754" t="s">
        <v>2107</v>
      </c>
      <c r="AT64" s="754" t="s">
        <v>2139</v>
      </c>
      <c r="AU64" s="558" t="s">
        <v>2196</v>
      </c>
      <c r="AV64" s="558" t="s">
        <v>1887</v>
      </c>
      <c r="AW64" s="558" t="s">
        <v>2294</v>
      </c>
    </row>
    <row r="65" spans="1:49" ht="122.4" customHeight="1" thickBot="1" x14ac:dyDescent="0.45">
      <c r="A65" s="261"/>
      <c r="B65" s="1342" t="s">
        <v>452</v>
      </c>
      <c r="C65" s="1147" t="s">
        <v>453</v>
      </c>
      <c r="D65" s="309" t="s">
        <v>357</v>
      </c>
      <c r="E65" s="269">
        <v>0.1</v>
      </c>
      <c r="F65" s="270">
        <v>5</v>
      </c>
      <c r="G65" s="289">
        <v>0</v>
      </c>
      <c r="H65" s="704">
        <v>2</v>
      </c>
      <c r="I65" s="290">
        <v>3</v>
      </c>
      <c r="J65" s="279"/>
      <c r="K65" s="279">
        <f t="shared" si="35"/>
        <v>0.4</v>
      </c>
      <c r="L65" s="279">
        <f t="shared" si="14"/>
        <v>0.6</v>
      </c>
      <c r="M65" s="280"/>
      <c r="N65" s="280">
        <f t="shared" si="36"/>
        <v>4.0000000000000008E-2</v>
      </c>
      <c r="O65" s="280"/>
      <c r="P65" s="275"/>
      <c r="Q65" s="535">
        <v>0</v>
      </c>
      <c r="R65" s="535">
        <v>0</v>
      </c>
      <c r="S65" s="276">
        <v>0</v>
      </c>
      <c r="T65" s="276">
        <v>0</v>
      </c>
      <c r="U65" s="276">
        <v>0</v>
      </c>
      <c r="V65" s="601">
        <f t="shared" si="43"/>
        <v>0</v>
      </c>
      <c r="W65" s="601">
        <f t="shared" si="44"/>
        <v>0</v>
      </c>
      <c r="X65" s="1032">
        <v>0</v>
      </c>
      <c r="Y65" s="1032">
        <v>0</v>
      </c>
      <c r="Z65" s="289"/>
      <c r="AA65" s="289"/>
      <c r="AB65" s="289">
        <f t="shared" si="7"/>
        <v>0</v>
      </c>
      <c r="AC65" s="277"/>
      <c r="AD65" s="278">
        <f>+V65/H65</f>
        <v>0</v>
      </c>
      <c r="AE65" s="278">
        <f t="shared" si="8"/>
        <v>0</v>
      </c>
      <c r="AF65" s="278"/>
      <c r="AG65" s="278">
        <f t="shared" si="41"/>
        <v>0</v>
      </c>
      <c r="AH65" s="278">
        <f t="shared" si="13"/>
        <v>0</v>
      </c>
      <c r="AI65" s="278"/>
      <c r="AJ65" s="278">
        <v>0</v>
      </c>
      <c r="AK65" s="278">
        <f t="shared" si="9"/>
        <v>0</v>
      </c>
      <c r="AL65" s="278"/>
      <c r="AM65" s="278">
        <f t="shared" si="42"/>
        <v>0</v>
      </c>
      <c r="AN65" s="278">
        <f t="shared" si="11"/>
        <v>0</v>
      </c>
      <c r="AO65" s="532" t="s">
        <v>1844</v>
      </c>
      <c r="AP65" s="599" t="s">
        <v>1913</v>
      </c>
      <c r="AQ65" s="534" t="s">
        <v>1986</v>
      </c>
      <c r="AR65" s="754" t="s">
        <v>2011</v>
      </c>
      <c r="AS65" s="754" t="s">
        <v>2107</v>
      </c>
      <c r="AT65" s="754" t="s">
        <v>2139</v>
      </c>
      <c r="AU65" s="558" t="s">
        <v>2196</v>
      </c>
      <c r="AV65" s="558" t="s">
        <v>1887</v>
      </c>
      <c r="AW65" s="558" t="s">
        <v>2294</v>
      </c>
    </row>
    <row r="66" spans="1:49" ht="122.4" customHeight="1" thickBot="1" x14ac:dyDescent="0.45">
      <c r="A66" s="261"/>
      <c r="B66" s="1342" t="s">
        <v>454</v>
      </c>
      <c r="C66" s="1147" t="s">
        <v>455</v>
      </c>
      <c r="D66" s="309" t="s">
        <v>357</v>
      </c>
      <c r="E66" s="269">
        <v>0.15</v>
      </c>
      <c r="F66" s="270">
        <v>500</v>
      </c>
      <c r="G66" s="289">
        <v>125</v>
      </c>
      <c r="H66" s="704">
        <v>125</v>
      </c>
      <c r="I66" s="290">
        <v>125</v>
      </c>
      <c r="J66" s="279">
        <f>+G66/F66</f>
        <v>0.25</v>
      </c>
      <c r="K66" s="279">
        <f t="shared" si="35"/>
        <v>0.25</v>
      </c>
      <c r="L66" s="279">
        <f t="shared" si="14"/>
        <v>0.25</v>
      </c>
      <c r="M66" s="280">
        <f>+(G66/F66)*E66</f>
        <v>3.7499999999999999E-2</v>
      </c>
      <c r="N66" s="280">
        <f t="shared" si="36"/>
        <v>3.7499999999999999E-2</v>
      </c>
      <c r="O66" s="280"/>
      <c r="P66" s="275">
        <v>113</v>
      </c>
      <c r="Q66" s="535">
        <v>0</v>
      </c>
      <c r="R66" s="535">
        <v>44</v>
      </c>
      <c r="S66" s="276">
        <v>0</v>
      </c>
      <c r="T66" s="276">
        <v>0</v>
      </c>
      <c r="U66" s="276">
        <v>0</v>
      </c>
      <c r="V66" s="601">
        <f t="shared" si="43"/>
        <v>44</v>
      </c>
      <c r="W66" s="601">
        <f t="shared" si="44"/>
        <v>157</v>
      </c>
      <c r="X66" s="1032">
        <v>0</v>
      </c>
      <c r="Y66" s="1032">
        <v>0</v>
      </c>
      <c r="Z66" s="289"/>
      <c r="AA66" s="289"/>
      <c r="AB66" s="289">
        <f t="shared" si="7"/>
        <v>0</v>
      </c>
      <c r="AC66" s="277">
        <f>+(P66/G66)</f>
        <v>0.90400000000000003</v>
      </c>
      <c r="AD66" s="278">
        <f>+V66/H66</f>
        <v>0.35199999999999998</v>
      </c>
      <c r="AE66" s="278">
        <f t="shared" si="8"/>
        <v>0</v>
      </c>
      <c r="AF66" s="278">
        <f>+AC66*E66</f>
        <v>0.1356</v>
      </c>
      <c r="AG66" s="278">
        <f t="shared" si="41"/>
        <v>5.2799999999999993E-2</v>
      </c>
      <c r="AH66" s="278">
        <f t="shared" si="13"/>
        <v>0</v>
      </c>
      <c r="AI66" s="278">
        <f>+P66/F66</f>
        <v>0.22600000000000001</v>
      </c>
      <c r="AJ66" s="278">
        <v>0.314</v>
      </c>
      <c r="AK66" s="278">
        <f t="shared" si="9"/>
        <v>0.314</v>
      </c>
      <c r="AL66" s="278">
        <f>+AI66*E66</f>
        <v>3.39E-2</v>
      </c>
      <c r="AM66" s="278">
        <f t="shared" si="42"/>
        <v>4.7099999999999996E-2</v>
      </c>
      <c r="AN66" s="278">
        <f t="shared" si="11"/>
        <v>4.7099999999999996E-2</v>
      </c>
      <c r="AO66" s="532" t="s">
        <v>1844</v>
      </c>
      <c r="AP66" s="534" t="s">
        <v>1895</v>
      </c>
      <c r="AQ66" s="534" t="s">
        <v>1986</v>
      </c>
      <c r="AR66" s="754" t="s">
        <v>2011</v>
      </c>
      <c r="AS66" s="754" t="s">
        <v>2107</v>
      </c>
      <c r="AT66" s="754" t="s">
        <v>2139</v>
      </c>
      <c r="AU66" s="558" t="s">
        <v>2196</v>
      </c>
      <c r="AV66" s="558" t="s">
        <v>1887</v>
      </c>
      <c r="AW66" s="558" t="s">
        <v>2294</v>
      </c>
    </row>
    <row r="67" spans="1:49" ht="122.4" customHeight="1" thickBot="1" x14ac:dyDescent="0.45">
      <c r="A67" s="261"/>
      <c r="B67" s="1342" t="s">
        <v>456</v>
      </c>
      <c r="C67" s="1147" t="s">
        <v>457</v>
      </c>
      <c r="D67" s="568" t="s">
        <v>357</v>
      </c>
      <c r="E67" s="269">
        <v>0.05</v>
      </c>
      <c r="F67" s="270">
        <v>200</v>
      </c>
      <c r="G67" s="289"/>
      <c r="H67" s="704">
        <v>70</v>
      </c>
      <c r="I67" s="290">
        <v>70</v>
      </c>
      <c r="J67" s="279"/>
      <c r="K67" s="279">
        <f t="shared" si="35"/>
        <v>0.35</v>
      </c>
      <c r="L67" s="279">
        <f t="shared" si="14"/>
        <v>0.35</v>
      </c>
      <c r="M67" s="280"/>
      <c r="N67" s="280">
        <f t="shared" si="36"/>
        <v>1.7499999999999998E-2</v>
      </c>
      <c r="O67" s="280"/>
      <c r="P67" s="275"/>
      <c r="Q67" s="535">
        <v>0</v>
      </c>
      <c r="R67" s="535">
        <v>0</v>
      </c>
      <c r="S67" s="276">
        <v>0</v>
      </c>
      <c r="T67" s="276">
        <v>0</v>
      </c>
      <c r="U67" s="276">
        <v>0</v>
      </c>
      <c r="V67" s="601">
        <f t="shared" si="43"/>
        <v>0</v>
      </c>
      <c r="W67" s="601">
        <f t="shared" si="44"/>
        <v>0</v>
      </c>
      <c r="X67" s="1032">
        <v>0</v>
      </c>
      <c r="Y67" s="1032">
        <v>0</v>
      </c>
      <c r="Z67" s="289"/>
      <c r="AA67" s="289"/>
      <c r="AB67" s="289">
        <f t="shared" si="7"/>
        <v>0</v>
      </c>
      <c r="AC67" s="277"/>
      <c r="AD67" s="278">
        <f>+V67/H67</f>
        <v>0</v>
      </c>
      <c r="AE67" s="278">
        <f t="shared" si="8"/>
        <v>0</v>
      </c>
      <c r="AF67" s="278"/>
      <c r="AG67" s="278">
        <f t="shared" si="41"/>
        <v>0</v>
      </c>
      <c r="AH67" s="278">
        <f t="shared" si="13"/>
        <v>0</v>
      </c>
      <c r="AI67" s="278"/>
      <c r="AJ67" s="278">
        <v>0</v>
      </c>
      <c r="AK67" s="278">
        <f t="shared" si="9"/>
        <v>0</v>
      </c>
      <c r="AL67" s="278"/>
      <c r="AM67" s="278">
        <f t="shared" si="42"/>
        <v>0</v>
      </c>
      <c r="AN67" s="278">
        <f t="shared" si="11"/>
        <v>0</v>
      </c>
      <c r="AO67" s="532" t="s">
        <v>1844</v>
      </c>
      <c r="AP67" s="599" t="s">
        <v>1913</v>
      </c>
      <c r="AQ67" s="534" t="s">
        <v>1986</v>
      </c>
      <c r="AR67" s="754" t="s">
        <v>2011</v>
      </c>
      <c r="AS67" s="754" t="s">
        <v>2107</v>
      </c>
      <c r="AT67" s="754" t="s">
        <v>2139</v>
      </c>
      <c r="AU67" s="558" t="s">
        <v>2196</v>
      </c>
      <c r="AV67" s="558" t="s">
        <v>1887</v>
      </c>
    </row>
    <row r="68" spans="1:49" ht="122.4" customHeight="1" thickBot="1" x14ac:dyDescent="0.55000000000000004">
      <c r="A68" s="261"/>
      <c r="B68" s="1339" t="s">
        <v>458</v>
      </c>
      <c r="C68" s="1340"/>
      <c r="D68" s="575"/>
      <c r="E68" s="266">
        <v>0.02</v>
      </c>
      <c r="F68" s="284"/>
      <c r="G68" s="285"/>
      <c r="H68" s="926"/>
      <c r="I68" s="267"/>
      <c r="J68" s="286">
        <f>+AVERAGE(J69:J72)</f>
        <v>0.20065789473684209</v>
      </c>
      <c r="K68" s="286">
        <f>+AVERAGE(K69:K72)</f>
        <v>0.29276315789473684</v>
      </c>
      <c r="L68" s="286">
        <f>+AVERAGE(L69:L72)</f>
        <v>0.31776315789473686</v>
      </c>
      <c r="M68" s="287">
        <f>+M69+M70+M71+M72</f>
        <v>0.24013157894736842</v>
      </c>
      <c r="N68" s="287">
        <f>+N69+N70+N71+N72</f>
        <v>0.25855263157894737</v>
      </c>
      <c r="O68" s="287"/>
      <c r="P68" s="275"/>
      <c r="Q68" s="288"/>
      <c r="R68" s="288"/>
      <c r="S68" s="288"/>
      <c r="T68" s="288"/>
      <c r="U68" s="816"/>
      <c r="V68" s="288"/>
      <c r="W68" s="288"/>
      <c r="X68" s="936"/>
      <c r="Y68" s="936"/>
      <c r="Z68" s="936"/>
      <c r="AA68" s="936"/>
      <c r="AB68" s="936"/>
      <c r="AC68" s="476">
        <f>+AVERAGE(AC69:AC72)</f>
        <v>0.72750000000000004</v>
      </c>
      <c r="AD68" s="476">
        <f>+AVERAGE(AD69:AD72)</f>
        <v>0.79437499999999994</v>
      </c>
      <c r="AE68" s="476">
        <f>+AVERAGE(AE69:AE72)</f>
        <v>0.40919285714285714</v>
      </c>
      <c r="AF68" s="307">
        <f>+(AF69+AF70+AF71+AF72)*E68</f>
        <v>1.5910000000000001E-2</v>
      </c>
      <c r="AG68" s="307">
        <f>+(AG69+AG70+AG71+AG72)*E68</f>
        <v>1.7777499999999998E-2</v>
      </c>
      <c r="AH68" s="307">
        <f>+(AH69+AH70+AH71+AH72)*E68</f>
        <v>1.1907685714285717E-2</v>
      </c>
      <c r="AI68" s="268">
        <f>+AVERAGE(AI69:AI72)</f>
        <v>0.1369736842105263</v>
      </c>
      <c r="AJ68" s="537">
        <v>0.43584210526315786</v>
      </c>
      <c r="AK68" s="537">
        <f>+AVERAGE(AK69:AK72)</f>
        <v>0.56489078947368421</v>
      </c>
      <c r="AL68" s="268">
        <f>+(AL69+AL70+AL71+AL72)*E68</f>
        <v>3.7978947368421051E-3</v>
      </c>
      <c r="AM68" s="268">
        <f>+(AM69+AM70+AM71+AM72)</f>
        <v>0.46981842105263161</v>
      </c>
      <c r="AN68" s="268">
        <f>+(AN69+AN70+AN71+AN72)</f>
        <v>0.63044315789473682</v>
      </c>
      <c r="AO68" s="639"/>
      <c r="AP68" s="267"/>
      <c r="AQ68" s="267"/>
      <c r="AR68" s="267"/>
      <c r="AS68" s="267"/>
      <c r="AT68" s="755"/>
      <c r="AU68" s="752"/>
      <c r="AV68" s="755"/>
    </row>
    <row r="69" spans="1:49" ht="122.4" customHeight="1" thickBot="1" x14ac:dyDescent="0.45">
      <c r="A69" s="261"/>
      <c r="B69" s="1342" t="s">
        <v>459</v>
      </c>
      <c r="C69" s="1147" t="s">
        <v>460</v>
      </c>
      <c r="D69" s="569" t="s">
        <v>357</v>
      </c>
      <c r="E69" s="269">
        <v>0.05</v>
      </c>
      <c r="F69" s="270">
        <v>19</v>
      </c>
      <c r="G69" s="289">
        <v>1</v>
      </c>
      <c r="H69" s="704">
        <v>8</v>
      </c>
      <c r="I69" s="290">
        <v>8</v>
      </c>
      <c r="J69" s="279">
        <f>+G69/F69</f>
        <v>5.2631578947368418E-2</v>
      </c>
      <c r="K69" s="279">
        <f t="shared" si="35"/>
        <v>0.42105263157894735</v>
      </c>
      <c r="L69" s="279">
        <f t="shared" si="14"/>
        <v>0.42105263157894735</v>
      </c>
      <c r="M69" s="280">
        <f>+(G69/F69)*E69</f>
        <v>2.631578947368421E-3</v>
      </c>
      <c r="N69" s="280">
        <f t="shared" si="36"/>
        <v>2.1052631578947368E-2</v>
      </c>
      <c r="O69" s="280"/>
      <c r="P69" s="275">
        <v>0.91</v>
      </c>
      <c r="Q69" s="282">
        <v>1.6</v>
      </c>
      <c r="R69" s="276">
        <v>2.48</v>
      </c>
      <c r="S69" s="276">
        <v>0.14000000000000001</v>
      </c>
      <c r="T69" s="813">
        <v>0</v>
      </c>
      <c r="U69" s="276">
        <v>2.8</v>
      </c>
      <c r="V69" s="281">
        <f>+Q69+R69+S69+T69+U69</f>
        <v>7.02</v>
      </c>
      <c r="W69" s="281">
        <f>+V69+P69+AB69</f>
        <v>10.93</v>
      </c>
      <c r="X69" s="1032">
        <v>0.17</v>
      </c>
      <c r="Y69" s="1032">
        <v>2.83</v>
      </c>
      <c r="Z69" s="289"/>
      <c r="AA69" s="289"/>
      <c r="AB69" s="1366">
        <f t="shared" si="7"/>
        <v>3</v>
      </c>
      <c r="AC69" s="277">
        <f>+(P69/G69)</f>
        <v>0.91</v>
      </c>
      <c r="AD69" s="278">
        <f>+V69/H69</f>
        <v>0.87749999999999995</v>
      </c>
      <c r="AE69" s="278">
        <f t="shared" si="8"/>
        <v>0.375</v>
      </c>
      <c r="AF69" s="278">
        <f>+AC69*E69</f>
        <v>4.5500000000000006E-2</v>
      </c>
      <c r="AG69" s="278">
        <f>+AD69*E69</f>
        <v>4.3874999999999997E-2</v>
      </c>
      <c r="AH69" s="278">
        <f t="shared" si="13"/>
        <v>1.8750000000000003E-2</v>
      </c>
      <c r="AI69" s="278">
        <f>+P69/F69</f>
        <v>4.7894736842105268E-2</v>
      </c>
      <c r="AJ69" s="278">
        <v>0.41736842105263156</v>
      </c>
      <c r="AK69" s="278">
        <f t="shared" si="9"/>
        <v>0.57526315789473681</v>
      </c>
      <c r="AL69" s="278">
        <f>+AI69*E69</f>
        <v>2.3947368421052637E-3</v>
      </c>
      <c r="AM69" s="278">
        <f>+AJ69*E69</f>
        <v>2.0868421052631578E-2</v>
      </c>
      <c r="AN69" s="278">
        <f>+AK69*E69</f>
        <v>2.8763157894736841E-2</v>
      </c>
      <c r="AO69" s="532" t="s">
        <v>1844</v>
      </c>
      <c r="AP69" s="534" t="s">
        <v>1895</v>
      </c>
      <c r="AQ69" s="534" t="s">
        <v>1986</v>
      </c>
      <c r="AR69" s="754" t="s">
        <v>2011</v>
      </c>
      <c r="AS69" s="754" t="s">
        <v>2107</v>
      </c>
      <c r="AT69" s="533" t="s">
        <v>1859</v>
      </c>
      <c r="AU69" s="558" t="s">
        <v>2196</v>
      </c>
      <c r="AV69" s="558" t="s">
        <v>1887</v>
      </c>
      <c r="AW69" s="558" t="s">
        <v>2294</v>
      </c>
    </row>
    <row r="70" spans="1:49" ht="122.4" customHeight="1" thickBot="1" x14ac:dyDescent="0.45">
      <c r="A70" s="261"/>
      <c r="B70" s="1342" t="s">
        <v>461</v>
      </c>
      <c r="C70" s="1147" t="s">
        <v>462</v>
      </c>
      <c r="D70" s="445" t="s">
        <v>357</v>
      </c>
      <c r="E70" s="269">
        <v>0.2</v>
      </c>
      <c r="F70" s="270">
        <v>1</v>
      </c>
      <c r="G70" s="289">
        <v>0.25</v>
      </c>
      <c r="H70" s="704">
        <v>0.25</v>
      </c>
      <c r="I70" s="290">
        <v>0.35</v>
      </c>
      <c r="J70" s="279">
        <f>+G70/F70</f>
        <v>0.25</v>
      </c>
      <c r="K70" s="279">
        <f t="shared" si="35"/>
        <v>0.25</v>
      </c>
      <c r="L70" s="279">
        <f t="shared" si="14"/>
        <v>0.35</v>
      </c>
      <c r="M70" s="280">
        <f>+(G70/F70)*E70</f>
        <v>0.05</v>
      </c>
      <c r="N70" s="280">
        <f t="shared" si="36"/>
        <v>0.05</v>
      </c>
      <c r="O70" s="280"/>
      <c r="P70" s="275">
        <v>0</v>
      </c>
      <c r="Q70" s="677">
        <v>1E-3</v>
      </c>
      <c r="R70" s="276">
        <v>0.2</v>
      </c>
      <c r="S70" s="276">
        <v>0.2</v>
      </c>
      <c r="T70" s="813">
        <v>0.1</v>
      </c>
      <c r="U70" s="276"/>
      <c r="V70" s="281">
        <f>+Q70+R70+S70+T70+U70</f>
        <v>0.501</v>
      </c>
      <c r="W70" s="281">
        <f t="shared" ref="W70:W72" si="45">+V70+P70+AB70</f>
        <v>0.65100000000000002</v>
      </c>
      <c r="X70" s="1032">
        <v>0</v>
      </c>
      <c r="Y70" s="1032">
        <v>0.15</v>
      </c>
      <c r="Z70" s="289"/>
      <c r="AA70" s="289"/>
      <c r="AB70" s="1366">
        <f t="shared" si="7"/>
        <v>0.15</v>
      </c>
      <c r="AC70" s="277">
        <f>+(P70/G70)</f>
        <v>0</v>
      </c>
      <c r="AD70" s="278">
        <v>1</v>
      </c>
      <c r="AE70" s="278">
        <f t="shared" si="8"/>
        <v>0.4285714285714286</v>
      </c>
      <c r="AF70" s="278">
        <f>+AC70*E70</f>
        <v>0</v>
      </c>
      <c r="AG70" s="278">
        <f>+AD70*E70</f>
        <v>0.2</v>
      </c>
      <c r="AH70" s="278">
        <f t="shared" si="13"/>
        <v>8.5714285714285729E-2</v>
      </c>
      <c r="AI70" s="278">
        <f>+P70/F70</f>
        <v>0</v>
      </c>
      <c r="AJ70" s="278">
        <v>0.501</v>
      </c>
      <c r="AK70" s="278">
        <f t="shared" si="9"/>
        <v>0.65100000000000002</v>
      </c>
      <c r="AL70" s="278">
        <f>+AI70*E70</f>
        <v>0</v>
      </c>
      <c r="AM70" s="278">
        <f>+AJ70*E70</f>
        <v>0.10020000000000001</v>
      </c>
      <c r="AN70" s="278">
        <f t="shared" si="11"/>
        <v>0.13020000000000001</v>
      </c>
      <c r="AO70" s="532" t="s">
        <v>1844</v>
      </c>
      <c r="AP70" s="534" t="s">
        <v>1895</v>
      </c>
      <c r="AQ70" s="534" t="s">
        <v>1986</v>
      </c>
      <c r="AR70" s="754" t="s">
        <v>2011</v>
      </c>
      <c r="AS70" s="754" t="s">
        <v>2109</v>
      </c>
      <c r="AT70" s="533" t="s">
        <v>1859</v>
      </c>
      <c r="AU70" s="558" t="s">
        <v>2196</v>
      </c>
      <c r="AV70" s="558" t="s">
        <v>1887</v>
      </c>
      <c r="AW70" s="558" t="s">
        <v>2294</v>
      </c>
    </row>
    <row r="71" spans="1:49" ht="122.4" customHeight="1" thickBot="1" x14ac:dyDescent="0.45">
      <c r="A71" s="261"/>
      <c r="B71" s="1342" t="s">
        <v>463</v>
      </c>
      <c r="C71" s="1147" t="s">
        <v>464</v>
      </c>
      <c r="D71" s="572" t="s">
        <v>357</v>
      </c>
      <c r="E71" s="269">
        <v>0.6</v>
      </c>
      <c r="F71" s="270">
        <v>1</v>
      </c>
      <c r="G71" s="289">
        <v>0.25</v>
      </c>
      <c r="H71" s="704">
        <v>0.25</v>
      </c>
      <c r="I71" s="290">
        <v>0.25</v>
      </c>
      <c r="J71" s="279">
        <f>+G71/F71</f>
        <v>0.25</v>
      </c>
      <c r="K71" s="279">
        <f t="shared" si="35"/>
        <v>0.25</v>
      </c>
      <c r="L71" s="279">
        <f t="shared" si="14"/>
        <v>0.25</v>
      </c>
      <c r="M71" s="280">
        <f>+(G71/F71)*E71</f>
        <v>0.15</v>
      </c>
      <c r="N71" s="280">
        <f t="shared" si="36"/>
        <v>0.15</v>
      </c>
      <c r="O71" s="280"/>
      <c r="P71" s="281">
        <v>0.25</v>
      </c>
      <c r="Q71" s="677">
        <v>1.2800000000000001E-2</v>
      </c>
      <c r="R71" s="276">
        <v>8.1000000000000003E-2</v>
      </c>
      <c r="S71" s="276">
        <v>9.1499999999999998E-2</v>
      </c>
      <c r="T71" s="813">
        <v>6.4699999999999994E-2</v>
      </c>
      <c r="U71" s="276"/>
      <c r="V71" s="281">
        <f t="shared" ref="V71:V72" si="46">+Q71+R71+S71+T71+U71</f>
        <v>0.25</v>
      </c>
      <c r="W71" s="274">
        <f t="shared" si="45"/>
        <v>0.70330000000000004</v>
      </c>
      <c r="X71" s="1042">
        <v>5.8000000000000003E-2</v>
      </c>
      <c r="Y71" s="1042">
        <v>0.14530000000000001</v>
      </c>
      <c r="Z71" s="937"/>
      <c r="AA71" s="937"/>
      <c r="AB71" s="1366">
        <f t="shared" ref="AB71:AB90" si="47">+X71+Y71+Z71+AA71</f>
        <v>0.20330000000000001</v>
      </c>
      <c r="AC71" s="277">
        <v>1</v>
      </c>
      <c r="AD71" s="278">
        <f>+V71/H71</f>
        <v>1</v>
      </c>
      <c r="AE71" s="278">
        <f t="shared" ref="AE71:AE90" si="48">+AB71/I71</f>
        <v>0.81320000000000003</v>
      </c>
      <c r="AF71" s="278">
        <f>+AC71*E71</f>
        <v>0.6</v>
      </c>
      <c r="AG71" s="278">
        <f>+AD71*E71</f>
        <v>0.6</v>
      </c>
      <c r="AH71" s="278">
        <f t="shared" si="13"/>
        <v>0.48792000000000002</v>
      </c>
      <c r="AI71" s="278">
        <f>+P71/F71</f>
        <v>0.25</v>
      </c>
      <c r="AJ71" s="278">
        <v>0.5</v>
      </c>
      <c r="AK71" s="278">
        <f t="shared" ref="AK71:AK90" si="49">+W71/F71</f>
        <v>0.70330000000000004</v>
      </c>
      <c r="AL71" s="278">
        <f>+AI71*E71</f>
        <v>0.15</v>
      </c>
      <c r="AM71" s="278">
        <f>+AJ71*E71</f>
        <v>0.3</v>
      </c>
      <c r="AN71" s="278">
        <f t="shared" ref="AN71:AN90" si="50">+AK71*E71</f>
        <v>0.42198000000000002</v>
      </c>
      <c r="AO71" s="532" t="s">
        <v>1844</v>
      </c>
      <c r="AP71" s="534" t="s">
        <v>1895</v>
      </c>
      <c r="AQ71" s="534" t="s">
        <v>1986</v>
      </c>
      <c r="AR71" s="754" t="s">
        <v>2011</v>
      </c>
      <c r="AS71" s="754" t="s">
        <v>2107</v>
      </c>
      <c r="AT71" s="533" t="s">
        <v>1859</v>
      </c>
      <c r="AU71" s="558" t="s">
        <v>2196</v>
      </c>
      <c r="AV71" s="558" t="s">
        <v>1887</v>
      </c>
      <c r="AW71" s="558" t="s">
        <v>2294</v>
      </c>
    </row>
    <row r="72" spans="1:49" ht="122.4" customHeight="1" thickBot="1" x14ac:dyDescent="0.45">
      <c r="A72" s="261"/>
      <c r="B72" s="1342" t="s">
        <v>465</v>
      </c>
      <c r="C72" s="1147" t="s">
        <v>466</v>
      </c>
      <c r="D72" s="445" t="s">
        <v>357</v>
      </c>
      <c r="E72" s="269">
        <v>0.15</v>
      </c>
      <c r="F72" s="270">
        <v>1</v>
      </c>
      <c r="G72" s="289">
        <v>0.25</v>
      </c>
      <c r="H72" s="704">
        <v>0.25</v>
      </c>
      <c r="I72" s="290">
        <v>0.25</v>
      </c>
      <c r="J72" s="279">
        <f>+G72/F72</f>
        <v>0.25</v>
      </c>
      <c r="K72" s="279">
        <f t="shared" si="35"/>
        <v>0.25</v>
      </c>
      <c r="L72" s="279">
        <f t="shared" si="14"/>
        <v>0.25</v>
      </c>
      <c r="M72" s="280">
        <f>+(G72/F72)*E72</f>
        <v>3.7499999999999999E-2</v>
      </c>
      <c r="N72" s="280">
        <f t="shared" si="36"/>
        <v>3.7499999999999999E-2</v>
      </c>
      <c r="O72" s="280"/>
      <c r="P72" s="275">
        <v>0.25</v>
      </c>
      <c r="Q72" s="853">
        <v>2.5000000000000001E-2</v>
      </c>
      <c r="R72" s="853">
        <v>3.7499999999999999E-2</v>
      </c>
      <c r="S72" s="853">
        <v>1.2500000000000001E-2</v>
      </c>
      <c r="T72" s="813">
        <v>0</v>
      </c>
      <c r="U72" s="813">
        <v>0</v>
      </c>
      <c r="V72" s="281">
        <f t="shared" si="46"/>
        <v>7.4999999999999997E-2</v>
      </c>
      <c r="W72" s="274">
        <f t="shared" si="45"/>
        <v>0.33</v>
      </c>
      <c r="X72" s="1032">
        <v>5.0000000000000001E-3</v>
      </c>
      <c r="Y72" s="1032">
        <v>0</v>
      </c>
      <c r="Z72" s="289"/>
      <c r="AA72" s="289"/>
      <c r="AB72" s="1366">
        <f t="shared" si="47"/>
        <v>5.0000000000000001E-3</v>
      </c>
      <c r="AC72" s="277">
        <f>+(P72/G72)</f>
        <v>1</v>
      </c>
      <c r="AD72" s="278">
        <f>+V72/H72</f>
        <v>0.3</v>
      </c>
      <c r="AE72" s="278">
        <f t="shared" si="48"/>
        <v>0.02</v>
      </c>
      <c r="AF72" s="278">
        <f>+AC72*E72</f>
        <v>0.15</v>
      </c>
      <c r="AG72" s="278">
        <f>+AD72*E72</f>
        <v>4.4999999999999998E-2</v>
      </c>
      <c r="AH72" s="278">
        <f t="shared" si="13"/>
        <v>3.0000000000000001E-3</v>
      </c>
      <c r="AI72" s="278">
        <f>+P72/F72</f>
        <v>0.25</v>
      </c>
      <c r="AJ72" s="278">
        <v>0.32500000000000001</v>
      </c>
      <c r="AK72" s="278">
        <f t="shared" si="49"/>
        <v>0.33</v>
      </c>
      <c r="AL72" s="278">
        <f>+AI72*E72</f>
        <v>3.7499999999999999E-2</v>
      </c>
      <c r="AM72" s="278">
        <f>+AJ72*E72</f>
        <v>4.8750000000000002E-2</v>
      </c>
      <c r="AN72" s="278">
        <f t="shared" si="50"/>
        <v>4.9500000000000002E-2</v>
      </c>
      <c r="AO72" s="532" t="s">
        <v>1844</v>
      </c>
      <c r="AP72" s="534" t="s">
        <v>1895</v>
      </c>
      <c r="AQ72" s="534" t="s">
        <v>1986</v>
      </c>
      <c r="AR72" s="754" t="s">
        <v>2011</v>
      </c>
      <c r="AS72" s="754" t="s">
        <v>2107</v>
      </c>
      <c r="AT72" s="533" t="s">
        <v>1859</v>
      </c>
      <c r="AU72" s="558" t="s">
        <v>2196</v>
      </c>
      <c r="AV72" s="558" t="s">
        <v>1887</v>
      </c>
      <c r="AW72" s="558" t="s">
        <v>2294</v>
      </c>
    </row>
    <row r="73" spans="1:49" ht="122.4" customHeight="1" thickBot="1" x14ac:dyDescent="0.55000000000000004">
      <c r="A73" s="261"/>
      <c r="B73" s="1339" t="s">
        <v>1649</v>
      </c>
      <c r="C73" s="1341"/>
      <c r="D73" s="576"/>
      <c r="E73" s="266">
        <v>0.02</v>
      </c>
      <c r="F73" s="270"/>
      <c r="G73" s="285"/>
      <c r="H73" s="926"/>
      <c r="I73" s="267"/>
      <c r="J73" s="286">
        <f>+AVERAGE(J74:J76)</f>
        <v>0.26633986928104575</v>
      </c>
      <c r="K73" s="286">
        <f>+AVERAGE(K74:K76)</f>
        <v>0.51470588235294124</v>
      </c>
      <c r="L73" s="286">
        <f>+AVERAGE(L74:L76)</f>
        <v>0.57598039215686281</v>
      </c>
      <c r="M73" s="287">
        <f>+M74+M75+M76</f>
        <v>0.26470588235294118</v>
      </c>
      <c r="N73" s="287">
        <f>+N74+N75+N76</f>
        <v>0.4882352941176471</v>
      </c>
      <c r="O73" s="287"/>
      <c r="P73" s="275"/>
      <c r="Q73" s="288"/>
      <c r="R73" s="288"/>
      <c r="S73" s="288"/>
      <c r="T73" s="288"/>
      <c r="U73" s="816"/>
      <c r="V73" s="288"/>
      <c r="W73" s="288"/>
      <c r="X73" s="936"/>
      <c r="Y73" s="936"/>
      <c r="Z73" s="936"/>
      <c r="AA73" s="936"/>
      <c r="AB73" s="936"/>
      <c r="AC73" s="476">
        <f>+AVERAGE(AC74:AC76)</f>
        <v>0.33333333333333331</v>
      </c>
      <c r="AD73" s="476">
        <f>+AVERAGE(AD74:AD76)</f>
        <v>0.89111111111111108</v>
      </c>
      <c r="AE73" s="476">
        <f>+AVERAGE(AE74:AE76)</f>
        <v>0.88888888888888884</v>
      </c>
      <c r="AF73" s="307">
        <f>+(AF74+AF75+AF76)*E73</f>
        <v>6.0000000000000001E-3</v>
      </c>
      <c r="AG73" s="307">
        <f>+(AG74+AG75+AG76)*E73</f>
        <v>1.8039999999999997E-2</v>
      </c>
      <c r="AH73" s="307">
        <f>+(AH74+AH75+AH76)*E73</f>
        <v>1.7999999999999999E-2</v>
      </c>
      <c r="AI73" s="268">
        <f>+AVERAGE(AI74:AI76)</f>
        <v>0.10888888888888888</v>
      </c>
      <c r="AJ73" s="268">
        <v>0.51470588235294124</v>
      </c>
      <c r="AK73" s="268">
        <f>+AVERAGE(AK74:AK76)</f>
        <v>0.84313725490196079</v>
      </c>
      <c r="AL73" s="268">
        <f>+(AL74+AL75+AL76)*E73</f>
        <v>1.9599999999999999E-3</v>
      </c>
      <c r="AM73" s="268">
        <f>+(AM74+AM75+AM76)</f>
        <v>0.4882352941176471</v>
      </c>
      <c r="AN73" s="268">
        <f>+(AN74+AN75+AN76)</f>
        <v>0.85882352941176465</v>
      </c>
      <c r="AO73" s="639"/>
      <c r="AP73" s="267"/>
      <c r="AQ73" s="267"/>
      <c r="AR73" s="267"/>
      <c r="AS73" s="267"/>
      <c r="AT73" s="755"/>
      <c r="AU73" s="752"/>
      <c r="AV73" s="755"/>
    </row>
    <row r="74" spans="1:49" ht="122.4" customHeight="1" thickBot="1" x14ac:dyDescent="0.45">
      <c r="A74" s="261"/>
      <c r="B74" s="1342" t="s">
        <v>467</v>
      </c>
      <c r="C74" s="1302" t="s">
        <v>468</v>
      </c>
      <c r="D74" s="577" t="s">
        <v>357</v>
      </c>
      <c r="E74" s="269">
        <v>0.3</v>
      </c>
      <c r="F74" s="270">
        <v>150</v>
      </c>
      <c r="G74" s="289">
        <v>40</v>
      </c>
      <c r="H74" s="704">
        <v>150</v>
      </c>
      <c r="I74" s="290">
        <v>150</v>
      </c>
      <c r="J74" s="279">
        <f>+G74/F74</f>
        <v>0.26666666666666666</v>
      </c>
      <c r="K74" s="279">
        <f t="shared" si="35"/>
        <v>1</v>
      </c>
      <c r="L74" s="279">
        <f t="shared" si="14"/>
        <v>1</v>
      </c>
      <c r="M74" s="280">
        <f>+(G74/F74)*E74</f>
        <v>0.08</v>
      </c>
      <c r="N74" s="280">
        <f t="shared" si="36"/>
        <v>0.3</v>
      </c>
      <c r="O74" s="280"/>
      <c r="P74" s="294">
        <v>49</v>
      </c>
      <c r="Q74" s="282">
        <v>50</v>
      </c>
      <c r="R74" s="276">
        <v>16</v>
      </c>
      <c r="S74" s="276">
        <v>35</v>
      </c>
      <c r="T74" s="276">
        <v>0</v>
      </c>
      <c r="U74" s="276"/>
      <c r="V74" s="814">
        <f>+Q74+R74+S74+T74+U74</f>
        <v>101</v>
      </c>
      <c r="W74" s="814">
        <f>+V74+P74+AB74</f>
        <v>300</v>
      </c>
      <c r="X74" s="1032">
        <v>150</v>
      </c>
      <c r="Y74" s="938">
        <v>0</v>
      </c>
      <c r="Z74" s="938"/>
      <c r="AA74" s="938"/>
      <c r="AB74" s="938">
        <f t="shared" si="47"/>
        <v>150</v>
      </c>
      <c r="AC74" s="277">
        <v>1</v>
      </c>
      <c r="AD74" s="278">
        <f>+V74/H74</f>
        <v>0.67333333333333334</v>
      </c>
      <c r="AE74" s="278">
        <f t="shared" si="48"/>
        <v>1</v>
      </c>
      <c r="AF74" s="278">
        <f>+AC74*E74</f>
        <v>0.3</v>
      </c>
      <c r="AG74" s="278">
        <f>+AD74*E74</f>
        <v>0.20199999999999999</v>
      </c>
      <c r="AH74" s="278">
        <f t="shared" si="13"/>
        <v>0.3</v>
      </c>
      <c r="AI74" s="278">
        <f>+P74/F74</f>
        <v>0.32666666666666666</v>
      </c>
      <c r="AJ74" s="278">
        <v>1</v>
      </c>
      <c r="AK74" s="278">
        <v>1</v>
      </c>
      <c r="AL74" s="278">
        <f>+AI74*E74</f>
        <v>9.799999999999999E-2</v>
      </c>
      <c r="AM74" s="278">
        <f>+AJ74*E74</f>
        <v>0.3</v>
      </c>
      <c r="AN74" s="278">
        <f t="shared" si="50"/>
        <v>0.3</v>
      </c>
      <c r="AO74" s="532" t="s">
        <v>1844</v>
      </c>
      <c r="AP74" s="534" t="s">
        <v>1895</v>
      </c>
      <c r="AQ74" s="534" t="s">
        <v>1986</v>
      </c>
      <c r="AR74" s="754" t="s">
        <v>2011</v>
      </c>
      <c r="AS74" s="754" t="s">
        <v>2107</v>
      </c>
      <c r="AT74" s="754" t="s">
        <v>2139</v>
      </c>
      <c r="AU74" s="558" t="s">
        <v>2196</v>
      </c>
      <c r="AV74" s="558" t="s">
        <v>1887</v>
      </c>
      <c r="AW74" s="558" t="s">
        <v>2294</v>
      </c>
    </row>
    <row r="75" spans="1:49" ht="122.4" customHeight="1" thickBot="1" x14ac:dyDescent="0.45">
      <c r="A75" s="261"/>
      <c r="B75" s="1342" t="s">
        <v>469</v>
      </c>
      <c r="C75" s="1302" t="s">
        <v>470</v>
      </c>
      <c r="D75" s="577" t="s">
        <v>357</v>
      </c>
      <c r="E75" s="269">
        <v>0.4</v>
      </c>
      <c r="F75" s="270">
        <v>8</v>
      </c>
      <c r="G75" s="289">
        <v>2</v>
      </c>
      <c r="H75" s="704">
        <v>2</v>
      </c>
      <c r="I75" s="290">
        <v>3</v>
      </c>
      <c r="J75" s="279">
        <f>+G75/F75</f>
        <v>0.25</v>
      </c>
      <c r="K75" s="279">
        <f t="shared" si="35"/>
        <v>0.25</v>
      </c>
      <c r="L75" s="279">
        <f t="shared" si="14"/>
        <v>0.375</v>
      </c>
      <c r="M75" s="280">
        <f>+(G75/F75)*E75</f>
        <v>0.1</v>
      </c>
      <c r="N75" s="280">
        <f t="shared" si="36"/>
        <v>0.1</v>
      </c>
      <c r="O75" s="280"/>
      <c r="P75" s="275">
        <v>0</v>
      </c>
      <c r="Q75" s="282">
        <v>0</v>
      </c>
      <c r="R75" s="276">
        <v>0</v>
      </c>
      <c r="S75" s="276">
        <v>0</v>
      </c>
      <c r="T75" s="276">
        <v>2</v>
      </c>
      <c r="U75" s="276"/>
      <c r="V75" s="814">
        <f t="shared" ref="V75:V76" si="51">+Q75+R75+S75+T75+U75</f>
        <v>2</v>
      </c>
      <c r="W75" s="814">
        <f t="shared" ref="W75:W76" si="52">+V75+P75+AB75</f>
        <v>19</v>
      </c>
      <c r="X75" s="1032">
        <v>0</v>
      </c>
      <c r="Y75" s="289">
        <v>17</v>
      </c>
      <c r="Z75" s="289"/>
      <c r="AA75" s="289"/>
      <c r="AB75" s="289">
        <f t="shared" si="47"/>
        <v>17</v>
      </c>
      <c r="AC75" s="277">
        <f>+(P75/G75)</f>
        <v>0</v>
      </c>
      <c r="AD75" s="278">
        <f>+V75/H75</f>
        <v>1</v>
      </c>
      <c r="AE75" s="278">
        <v>1</v>
      </c>
      <c r="AF75" s="278">
        <f>+AC75*E75</f>
        <v>0</v>
      </c>
      <c r="AG75" s="278">
        <f>+AD75*E75</f>
        <v>0.4</v>
      </c>
      <c r="AH75" s="278">
        <f t="shared" si="13"/>
        <v>0.4</v>
      </c>
      <c r="AI75" s="278">
        <f>+P75/F75</f>
        <v>0</v>
      </c>
      <c r="AJ75" s="278">
        <v>0.25</v>
      </c>
      <c r="AK75" s="278">
        <v>1</v>
      </c>
      <c r="AL75" s="278">
        <f>+AI75*E75</f>
        <v>0</v>
      </c>
      <c r="AM75" s="278">
        <f>+AJ75*E75</f>
        <v>0.1</v>
      </c>
      <c r="AN75" s="278">
        <f t="shared" si="50"/>
        <v>0.4</v>
      </c>
      <c r="AO75" s="532" t="s">
        <v>1844</v>
      </c>
      <c r="AP75" s="534" t="s">
        <v>1895</v>
      </c>
      <c r="AQ75" s="534" t="s">
        <v>1986</v>
      </c>
      <c r="AR75" s="754" t="s">
        <v>2011</v>
      </c>
      <c r="AS75" s="754" t="s">
        <v>2107</v>
      </c>
      <c r="AT75" s="754" t="s">
        <v>2139</v>
      </c>
      <c r="AU75" s="558" t="s">
        <v>2196</v>
      </c>
      <c r="AV75" s="558" t="s">
        <v>1887</v>
      </c>
      <c r="AW75" s="558" t="s">
        <v>2294</v>
      </c>
    </row>
    <row r="76" spans="1:49" ht="122.4" customHeight="1" thickBot="1" x14ac:dyDescent="0.45">
      <c r="A76" s="261"/>
      <c r="B76" s="1342" t="s">
        <v>471</v>
      </c>
      <c r="C76" s="1302" t="s">
        <v>472</v>
      </c>
      <c r="D76" s="577" t="s">
        <v>357</v>
      </c>
      <c r="E76" s="269">
        <v>0.3</v>
      </c>
      <c r="F76" s="270">
        <v>85</v>
      </c>
      <c r="G76" s="289">
        <v>24</v>
      </c>
      <c r="H76" s="704">
        <v>25</v>
      </c>
      <c r="I76" s="290">
        <v>30</v>
      </c>
      <c r="J76" s="279">
        <f>+G76/F76</f>
        <v>0.28235294117647058</v>
      </c>
      <c r="K76" s="279">
        <f t="shared" si="35"/>
        <v>0.29411764705882354</v>
      </c>
      <c r="L76" s="279">
        <f t="shared" si="14"/>
        <v>0.35294117647058826</v>
      </c>
      <c r="M76" s="280">
        <f>+(G76/F76)*E76</f>
        <v>8.4705882352941173E-2</v>
      </c>
      <c r="N76" s="280">
        <f t="shared" si="36"/>
        <v>8.8235294117647065E-2</v>
      </c>
      <c r="O76" s="280"/>
      <c r="P76" s="275">
        <v>0</v>
      </c>
      <c r="Q76" s="282">
        <v>15</v>
      </c>
      <c r="R76" s="276">
        <v>5</v>
      </c>
      <c r="S76" s="276">
        <v>2</v>
      </c>
      <c r="T76" s="276">
        <v>3</v>
      </c>
      <c r="U76" s="276"/>
      <c r="V76" s="814">
        <f t="shared" si="51"/>
        <v>25</v>
      </c>
      <c r="W76" s="814">
        <f t="shared" si="52"/>
        <v>45</v>
      </c>
      <c r="X76" s="1032">
        <v>0</v>
      </c>
      <c r="Y76" s="289">
        <v>20</v>
      </c>
      <c r="Z76" s="289"/>
      <c r="AA76" s="289"/>
      <c r="AB76" s="289">
        <f t="shared" si="47"/>
        <v>20</v>
      </c>
      <c r="AC76" s="277">
        <f>+(P76/G76)</f>
        <v>0</v>
      </c>
      <c r="AD76" s="278">
        <f>+V76/H76</f>
        <v>1</v>
      </c>
      <c r="AE76" s="278">
        <f t="shared" si="48"/>
        <v>0.66666666666666663</v>
      </c>
      <c r="AF76" s="278">
        <f>+AC76*E76</f>
        <v>0</v>
      </c>
      <c r="AG76" s="278">
        <f>+AD76*E76</f>
        <v>0.3</v>
      </c>
      <c r="AH76" s="278">
        <f t="shared" si="13"/>
        <v>0.19999999999999998</v>
      </c>
      <c r="AI76" s="278">
        <f>+P76/F76</f>
        <v>0</v>
      </c>
      <c r="AJ76" s="278">
        <v>0.29411764705882354</v>
      </c>
      <c r="AK76" s="278">
        <f t="shared" si="49"/>
        <v>0.52941176470588236</v>
      </c>
      <c r="AL76" s="278">
        <f>+AI76*E76</f>
        <v>0</v>
      </c>
      <c r="AM76" s="278">
        <f>+AJ76*E76</f>
        <v>8.8235294117647065E-2</v>
      </c>
      <c r="AN76" s="278">
        <f t="shared" si="50"/>
        <v>0.1588235294117647</v>
      </c>
      <c r="AO76" s="532" t="s">
        <v>1844</v>
      </c>
      <c r="AP76" s="534" t="s">
        <v>1895</v>
      </c>
      <c r="AQ76" s="534" t="s">
        <v>1986</v>
      </c>
      <c r="AR76" s="754" t="s">
        <v>2011</v>
      </c>
      <c r="AS76" s="754" t="s">
        <v>2107</v>
      </c>
      <c r="AT76" s="754" t="s">
        <v>2139</v>
      </c>
      <c r="AU76" s="558" t="s">
        <v>2196</v>
      </c>
      <c r="AV76" s="558" t="s">
        <v>1887</v>
      </c>
      <c r="AW76" s="558" t="s">
        <v>2294</v>
      </c>
    </row>
    <row r="77" spans="1:49" ht="122.4" customHeight="1" thickBot="1" x14ac:dyDescent="0.55000000000000004">
      <c r="A77" s="261"/>
      <c r="B77" s="1339" t="s">
        <v>1650</v>
      </c>
      <c r="C77" s="1341"/>
      <c r="D77" s="577"/>
      <c r="E77" s="266">
        <v>0.1</v>
      </c>
      <c r="F77" s="284"/>
      <c r="G77" s="285"/>
      <c r="H77" s="926"/>
      <c r="I77" s="267"/>
      <c r="J77" s="286">
        <f>+AVERAGE(J78:J84)</f>
        <v>0.19</v>
      </c>
      <c r="K77" s="286">
        <f>+AVERAGE(K78:K84)</f>
        <v>0.25316323485526709</v>
      </c>
      <c r="L77" s="286">
        <f>+AVERAGE(L78:L84)</f>
        <v>0</v>
      </c>
      <c r="M77" s="287">
        <f>+M78+M79+M80+M81+M82+M83+M84</f>
        <v>3.9E-2</v>
      </c>
      <c r="N77" s="287">
        <f>+N78+N79+N80+N81+N82+N83+N84</f>
        <v>0.10689794091316027</v>
      </c>
      <c r="O77" s="287"/>
      <c r="P77" s="275"/>
      <c r="Q77" s="288"/>
      <c r="R77" s="288"/>
      <c r="S77" s="288"/>
      <c r="T77" s="288"/>
      <c r="U77" s="816"/>
      <c r="V77" s="288"/>
      <c r="W77" s="288"/>
      <c r="X77" s="936"/>
      <c r="Y77" s="936"/>
      <c r="Z77" s="936"/>
      <c r="AA77" s="936"/>
      <c r="AB77" s="936"/>
      <c r="AC77" s="476">
        <f>+AVERAGE(AC78:AC84)</f>
        <v>0</v>
      </c>
      <c r="AD77" s="476">
        <f>+AVERAGE(AD78:AD84)</f>
        <v>0.90476190476190477</v>
      </c>
      <c r="AE77" s="476"/>
      <c r="AF77" s="307">
        <f>+(AF78+AF79+AF80+AF81+AF82+AF83+AF84)*E77</f>
        <v>0</v>
      </c>
      <c r="AG77" s="307">
        <f>+(AG78+AG79+AG80+AG81+AG82+AG83+AG84)*E77</f>
        <v>4.2142857142857149E-2</v>
      </c>
      <c r="AH77" s="307">
        <f>+(AH78+AH79+AH80+AH81+AH82+AH83+AH84)*E77</f>
        <v>0</v>
      </c>
      <c r="AI77" s="268">
        <f>+AVERAGE(AI78:AI84)</f>
        <v>0</v>
      </c>
      <c r="AJ77" s="268">
        <v>0.10991495076096687</v>
      </c>
      <c r="AK77" s="268">
        <f>+AVERAGE(AK78:AK84)</f>
        <v>0.10991495076096687</v>
      </c>
      <c r="AL77" s="268">
        <f>+(AL78+AL79+AL80+AL81+AL82+AL83+AL84)*E77</f>
        <v>0</v>
      </c>
      <c r="AM77" s="268">
        <f>+(AM78+AM79+AM80+AM81+AM82+AM83+AM84)</f>
        <v>9.6897940913160258E-2</v>
      </c>
      <c r="AN77" s="268">
        <f>+(AN78+AN79+AN80+AN81+AN82+AN83+AN84)</f>
        <v>9.6897940913160258E-2</v>
      </c>
      <c r="AO77" s="639"/>
      <c r="AP77" s="267"/>
      <c r="AQ77" s="267"/>
      <c r="AR77" s="267"/>
      <c r="AS77" s="267"/>
      <c r="AT77" s="755"/>
      <c r="AU77" s="752"/>
      <c r="AV77" s="755"/>
    </row>
    <row r="78" spans="1:49" ht="122.4" customHeight="1" thickBot="1" x14ac:dyDescent="0.55000000000000004">
      <c r="A78" s="261"/>
      <c r="B78" s="1342" t="s">
        <v>473</v>
      </c>
      <c r="C78" s="1302" t="s">
        <v>474</v>
      </c>
      <c r="D78" s="577" t="s">
        <v>475</v>
      </c>
      <c r="E78" s="269">
        <v>0.1</v>
      </c>
      <c r="F78" s="270">
        <v>20</v>
      </c>
      <c r="G78" s="289"/>
      <c r="H78" s="704">
        <v>7</v>
      </c>
      <c r="I78" s="290"/>
      <c r="J78" s="279"/>
      <c r="K78" s="279">
        <f t="shared" si="35"/>
        <v>0.35</v>
      </c>
      <c r="L78" s="279">
        <f t="shared" si="14"/>
        <v>0</v>
      </c>
      <c r="M78" s="280"/>
      <c r="N78" s="280">
        <f t="shared" si="36"/>
        <v>3.4999999999999996E-2</v>
      </c>
      <c r="O78" s="280"/>
      <c r="P78" s="275"/>
      <c r="Q78" s="282"/>
      <c r="R78" s="282">
        <v>0</v>
      </c>
      <c r="S78" s="282">
        <v>4.1500000000000004</v>
      </c>
      <c r="T78" s="276">
        <v>0.85</v>
      </c>
      <c r="U78" s="815"/>
      <c r="V78" s="601">
        <f>+Q78+R78+S78+T78+U78</f>
        <v>5</v>
      </c>
      <c r="W78" s="601">
        <f>+V78+P78+AB78</f>
        <v>5</v>
      </c>
      <c r="X78" s="289"/>
      <c r="Y78" s="289"/>
      <c r="Z78" s="289"/>
      <c r="AA78" s="289"/>
      <c r="AB78" s="289">
        <f t="shared" si="47"/>
        <v>0</v>
      </c>
      <c r="AC78" s="277"/>
      <c r="AD78" s="278">
        <f>+V78/H78</f>
        <v>0.7142857142857143</v>
      </c>
      <c r="AE78" s="278"/>
      <c r="AF78" s="278"/>
      <c r="AG78" s="278">
        <f>+AD78*E78</f>
        <v>7.1428571428571438E-2</v>
      </c>
      <c r="AH78" s="278">
        <f>+AE78*E78</f>
        <v>0</v>
      </c>
      <c r="AI78" s="278"/>
      <c r="AJ78" s="278">
        <v>0.25</v>
      </c>
      <c r="AK78" s="278">
        <f>+W78/F78</f>
        <v>0.25</v>
      </c>
      <c r="AL78" s="278">
        <f>+AI78*E78</f>
        <v>0</v>
      </c>
      <c r="AM78" s="278">
        <f t="shared" ref="AM78:AM84" si="53">+AJ78*E78</f>
        <v>2.5000000000000001E-2</v>
      </c>
      <c r="AN78" s="278">
        <f t="shared" si="50"/>
        <v>2.5000000000000001E-2</v>
      </c>
      <c r="AO78" s="746" t="s">
        <v>1551</v>
      </c>
      <c r="AP78" s="534" t="s">
        <v>1895</v>
      </c>
      <c r="AQ78" s="534" t="s">
        <v>1986</v>
      </c>
      <c r="AR78" s="754" t="s">
        <v>2011</v>
      </c>
      <c r="AS78" s="754" t="s">
        <v>2107</v>
      </c>
      <c r="AT78" s="754" t="s">
        <v>2139</v>
      </c>
      <c r="AU78" s="752"/>
      <c r="AV78" s="533" t="s">
        <v>1859</v>
      </c>
    </row>
    <row r="79" spans="1:49" ht="122.4" customHeight="1" thickBot="1" x14ac:dyDescent="0.55000000000000004">
      <c r="A79" s="261"/>
      <c r="B79" s="1342" t="s">
        <v>476</v>
      </c>
      <c r="C79" s="1302" t="s">
        <v>477</v>
      </c>
      <c r="D79" s="577" t="s">
        <v>475</v>
      </c>
      <c r="E79" s="269">
        <v>0.05</v>
      </c>
      <c r="F79" s="270">
        <v>1</v>
      </c>
      <c r="G79" s="289">
        <v>0.18</v>
      </c>
      <c r="H79" s="704">
        <v>0</v>
      </c>
      <c r="I79" s="290"/>
      <c r="J79" s="279">
        <f>+G79/F79</f>
        <v>0.18</v>
      </c>
      <c r="K79" s="279"/>
      <c r="L79" s="279">
        <f t="shared" ref="L79:L90" si="54">+I79/F79</f>
        <v>0</v>
      </c>
      <c r="M79" s="280">
        <f>+(G79/F79)*E79</f>
        <v>8.9999999999999993E-3</v>
      </c>
      <c r="N79" s="280"/>
      <c r="O79" s="280"/>
      <c r="P79" s="275">
        <v>0</v>
      </c>
      <c r="Q79" s="282"/>
      <c r="R79" s="276"/>
      <c r="S79" s="276"/>
      <c r="T79" s="276"/>
      <c r="U79" s="815"/>
      <c r="V79" s="601">
        <f t="shared" ref="V79:V84" si="55">+Q79+R79+S79+T79+U79</f>
        <v>0</v>
      </c>
      <c r="W79" s="601">
        <f>+V79+P79+AB79</f>
        <v>0</v>
      </c>
      <c r="X79" s="289"/>
      <c r="Y79" s="289"/>
      <c r="Z79" s="289"/>
      <c r="AA79" s="289"/>
      <c r="AB79" s="289">
        <f t="shared" si="47"/>
        <v>0</v>
      </c>
      <c r="AC79" s="277">
        <f>+(P79/G79)</f>
        <v>0</v>
      </c>
      <c r="AD79" s="278"/>
      <c r="AE79" s="278"/>
      <c r="AF79" s="278">
        <f>+AC79*E79</f>
        <v>0</v>
      </c>
      <c r="AG79" s="278"/>
      <c r="AH79" s="278">
        <f t="shared" ref="AH79:AH90" si="56">+AE79*E79</f>
        <v>0</v>
      </c>
      <c r="AI79" s="278">
        <f>+P79/F79</f>
        <v>0</v>
      </c>
      <c r="AJ79" s="278">
        <v>0</v>
      </c>
      <c r="AK79" s="278">
        <f t="shared" si="49"/>
        <v>0</v>
      </c>
      <c r="AL79" s="278">
        <f>+AI79*E79</f>
        <v>0</v>
      </c>
      <c r="AM79" s="278">
        <f t="shared" si="53"/>
        <v>0</v>
      </c>
      <c r="AN79" s="278">
        <f t="shared" si="50"/>
        <v>0</v>
      </c>
      <c r="AO79" s="532" t="s">
        <v>1844</v>
      </c>
      <c r="AP79" s="534" t="s">
        <v>1895</v>
      </c>
      <c r="AQ79" s="534" t="s">
        <v>1986</v>
      </c>
      <c r="AR79" s="754" t="s">
        <v>2011</v>
      </c>
      <c r="AS79" s="754" t="s">
        <v>2107</v>
      </c>
      <c r="AT79" s="754" t="s">
        <v>2139</v>
      </c>
      <c r="AU79" s="752"/>
      <c r="AV79" s="533" t="s">
        <v>1859</v>
      </c>
    </row>
    <row r="80" spans="1:49" ht="122.4" customHeight="1" thickBot="1" x14ac:dyDescent="0.55000000000000004">
      <c r="A80" s="261"/>
      <c r="B80" s="1342" t="s">
        <v>478</v>
      </c>
      <c r="C80" s="1302" t="s">
        <v>479</v>
      </c>
      <c r="D80" s="577" t="s">
        <v>475</v>
      </c>
      <c r="E80" s="269">
        <v>0.2</v>
      </c>
      <c r="F80" s="270">
        <v>1526</v>
      </c>
      <c r="G80" s="289">
        <v>0</v>
      </c>
      <c r="H80" s="704">
        <v>0</v>
      </c>
      <c r="I80" s="290"/>
      <c r="J80" s="279"/>
      <c r="K80" s="279"/>
      <c r="L80" s="279"/>
      <c r="M80" s="280"/>
      <c r="N80" s="280"/>
      <c r="O80" s="280"/>
      <c r="P80" s="275"/>
      <c r="Q80" s="282"/>
      <c r="R80" s="276"/>
      <c r="S80" s="276"/>
      <c r="T80" s="276"/>
      <c r="U80" s="815"/>
      <c r="V80" s="601">
        <f t="shared" si="55"/>
        <v>0</v>
      </c>
      <c r="W80" s="601">
        <f t="shared" ref="W80:W84" si="57">+V80+P80+AB80</f>
        <v>0</v>
      </c>
      <c r="X80" s="289"/>
      <c r="Y80" s="289"/>
      <c r="Z80" s="289"/>
      <c r="AA80" s="289"/>
      <c r="AB80" s="289">
        <f t="shared" si="47"/>
        <v>0</v>
      </c>
      <c r="AC80" s="277"/>
      <c r="AD80" s="278"/>
      <c r="AE80" s="278"/>
      <c r="AF80" s="278"/>
      <c r="AG80" s="278"/>
      <c r="AH80" s="278">
        <f t="shared" si="56"/>
        <v>0</v>
      </c>
      <c r="AI80" s="278"/>
      <c r="AJ80" s="278"/>
      <c r="AK80" s="278"/>
      <c r="AL80" s="278"/>
      <c r="AM80" s="278">
        <f t="shared" si="53"/>
        <v>0</v>
      </c>
      <c r="AN80" s="278">
        <f t="shared" si="50"/>
        <v>0</v>
      </c>
      <c r="AO80" s="746" t="s">
        <v>1551</v>
      </c>
      <c r="AP80" s="534" t="s">
        <v>1895</v>
      </c>
      <c r="AQ80" s="534" t="s">
        <v>1986</v>
      </c>
      <c r="AR80" s="754" t="s">
        <v>2011</v>
      </c>
      <c r="AS80" s="754" t="s">
        <v>2107</v>
      </c>
      <c r="AT80" s="754" t="s">
        <v>2139</v>
      </c>
      <c r="AU80" s="752"/>
      <c r="AV80" s="533" t="s">
        <v>1859</v>
      </c>
    </row>
    <row r="81" spans="1:49" ht="122.4" customHeight="1" thickBot="1" x14ac:dyDescent="0.55000000000000004">
      <c r="A81" s="261"/>
      <c r="B81" s="1342" t="s">
        <v>480</v>
      </c>
      <c r="C81" s="1302" t="s">
        <v>481</v>
      </c>
      <c r="D81" s="577" t="s">
        <v>475</v>
      </c>
      <c r="E81" s="269">
        <v>0.15</v>
      </c>
      <c r="F81" s="270">
        <v>5</v>
      </c>
      <c r="G81" s="289">
        <v>1</v>
      </c>
      <c r="H81" s="704">
        <v>1</v>
      </c>
      <c r="I81" s="290"/>
      <c r="J81" s="279">
        <f>+G81/F81</f>
        <v>0.2</v>
      </c>
      <c r="K81" s="279">
        <f t="shared" si="35"/>
        <v>0.2</v>
      </c>
      <c r="L81" s="279">
        <f t="shared" si="54"/>
        <v>0</v>
      </c>
      <c r="M81" s="280">
        <f>+(G81/F81)*E81</f>
        <v>0.03</v>
      </c>
      <c r="N81" s="280">
        <f t="shared" si="36"/>
        <v>0.03</v>
      </c>
      <c r="O81" s="280"/>
      <c r="P81" s="275">
        <v>0</v>
      </c>
      <c r="Q81" s="282"/>
      <c r="R81" s="276">
        <v>0</v>
      </c>
      <c r="S81" s="282">
        <v>1</v>
      </c>
      <c r="T81" s="276">
        <v>0</v>
      </c>
      <c r="U81" s="815"/>
      <c r="V81" s="601">
        <f t="shared" si="55"/>
        <v>1</v>
      </c>
      <c r="W81" s="601">
        <f t="shared" si="57"/>
        <v>1</v>
      </c>
      <c r="X81" s="289"/>
      <c r="Y81" s="289"/>
      <c r="Z81" s="289"/>
      <c r="AA81" s="289"/>
      <c r="AB81" s="289">
        <f t="shared" si="47"/>
        <v>0</v>
      </c>
      <c r="AC81" s="277">
        <f>+(P81/G81)</f>
        <v>0</v>
      </c>
      <c r="AD81" s="278">
        <f>+V81/H81</f>
        <v>1</v>
      </c>
      <c r="AE81" s="278"/>
      <c r="AF81" s="278">
        <f>+AC81*E81</f>
        <v>0</v>
      </c>
      <c r="AG81" s="278">
        <f>+AD81*E81</f>
        <v>0.15</v>
      </c>
      <c r="AH81" s="278">
        <f t="shared" si="56"/>
        <v>0</v>
      </c>
      <c r="AI81" s="278">
        <f>+P81/F81</f>
        <v>0</v>
      </c>
      <c r="AJ81" s="278">
        <v>0.2</v>
      </c>
      <c r="AK81" s="278">
        <f t="shared" si="49"/>
        <v>0.2</v>
      </c>
      <c r="AL81" s="278">
        <f>+AI81*E81</f>
        <v>0</v>
      </c>
      <c r="AM81" s="278">
        <f t="shared" si="53"/>
        <v>0.03</v>
      </c>
      <c r="AN81" s="278">
        <f t="shared" si="50"/>
        <v>0.03</v>
      </c>
      <c r="AO81" s="532" t="s">
        <v>1844</v>
      </c>
      <c r="AP81" s="534" t="s">
        <v>1895</v>
      </c>
      <c r="AQ81" s="534" t="s">
        <v>1986</v>
      </c>
      <c r="AR81" s="754" t="s">
        <v>2011</v>
      </c>
      <c r="AS81" s="754" t="s">
        <v>2107</v>
      </c>
      <c r="AT81" s="754" t="s">
        <v>2139</v>
      </c>
      <c r="AU81" s="752"/>
      <c r="AV81" s="533" t="s">
        <v>1859</v>
      </c>
    </row>
    <row r="82" spans="1:49" ht="122.4" customHeight="1" thickBot="1" x14ac:dyDescent="0.55000000000000004">
      <c r="A82" s="261"/>
      <c r="B82" s="1342" t="s">
        <v>482</v>
      </c>
      <c r="C82" s="1302" t="s">
        <v>483</v>
      </c>
      <c r="D82" s="578" t="s">
        <v>475</v>
      </c>
      <c r="E82" s="269">
        <v>0.15</v>
      </c>
      <c r="F82" s="270">
        <v>6</v>
      </c>
      <c r="G82" s="289"/>
      <c r="H82" s="704">
        <v>0</v>
      </c>
      <c r="I82" s="290"/>
      <c r="J82" s="279"/>
      <c r="K82" s="279"/>
      <c r="L82" s="279">
        <f t="shared" si="54"/>
        <v>0</v>
      </c>
      <c r="M82" s="280"/>
      <c r="N82" s="280"/>
      <c r="O82" s="280"/>
      <c r="P82" s="275"/>
      <c r="Q82" s="282"/>
      <c r="R82" s="276"/>
      <c r="S82" s="276"/>
      <c r="T82" s="276"/>
      <c r="U82" s="815"/>
      <c r="V82" s="601">
        <f t="shared" si="55"/>
        <v>0</v>
      </c>
      <c r="W82" s="601">
        <f t="shared" si="57"/>
        <v>0</v>
      </c>
      <c r="X82" s="289"/>
      <c r="Y82" s="289"/>
      <c r="Z82" s="289"/>
      <c r="AA82" s="289"/>
      <c r="AB82" s="289">
        <f t="shared" si="47"/>
        <v>0</v>
      </c>
      <c r="AC82" s="277"/>
      <c r="AD82" s="278"/>
      <c r="AE82" s="278"/>
      <c r="AF82" s="278"/>
      <c r="AG82" s="278"/>
      <c r="AH82" s="278">
        <f t="shared" si="56"/>
        <v>0</v>
      </c>
      <c r="AI82" s="278"/>
      <c r="AJ82" s="278">
        <v>0</v>
      </c>
      <c r="AK82" s="278">
        <f t="shared" si="49"/>
        <v>0</v>
      </c>
      <c r="AL82" s="278"/>
      <c r="AM82" s="278">
        <f t="shared" si="53"/>
        <v>0</v>
      </c>
      <c r="AN82" s="278">
        <f t="shared" si="50"/>
        <v>0</v>
      </c>
      <c r="AO82" s="746" t="s">
        <v>1551</v>
      </c>
      <c r="AP82" s="534" t="s">
        <v>1895</v>
      </c>
      <c r="AQ82" s="534" t="s">
        <v>1986</v>
      </c>
      <c r="AR82" s="754" t="s">
        <v>2011</v>
      </c>
      <c r="AS82" s="754" t="s">
        <v>2107</v>
      </c>
      <c r="AT82" s="754" t="s">
        <v>2139</v>
      </c>
      <c r="AU82" s="752"/>
      <c r="AV82" s="533" t="s">
        <v>1859</v>
      </c>
    </row>
    <row r="83" spans="1:49" ht="122.4" customHeight="1" thickBot="1" x14ac:dyDescent="0.55000000000000004">
      <c r="A83" s="261"/>
      <c r="B83" s="1343" t="s">
        <v>484</v>
      </c>
      <c r="C83" s="1344" t="s">
        <v>485</v>
      </c>
      <c r="D83" s="571" t="s">
        <v>475</v>
      </c>
      <c r="E83" s="269">
        <v>0.15</v>
      </c>
      <c r="F83" s="270">
        <v>2</v>
      </c>
      <c r="G83" s="289"/>
      <c r="H83" s="704">
        <v>0</v>
      </c>
      <c r="I83" s="290"/>
      <c r="J83" s="279"/>
      <c r="K83" s="279"/>
      <c r="L83" s="279">
        <f t="shared" si="54"/>
        <v>0</v>
      </c>
      <c r="M83" s="280"/>
      <c r="N83" s="280"/>
      <c r="O83" s="280"/>
      <c r="P83" s="275"/>
      <c r="Q83" s="282"/>
      <c r="R83" s="276"/>
      <c r="S83" s="276"/>
      <c r="T83" s="276"/>
      <c r="U83" s="815"/>
      <c r="V83" s="601">
        <f t="shared" si="55"/>
        <v>0</v>
      </c>
      <c r="W83" s="601">
        <f t="shared" si="57"/>
        <v>0</v>
      </c>
      <c r="X83" s="289"/>
      <c r="Y83" s="289"/>
      <c r="Z83" s="289"/>
      <c r="AA83" s="289"/>
      <c r="AB83" s="289">
        <f t="shared" si="47"/>
        <v>0</v>
      </c>
      <c r="AC83" s="277"/>
      <c r="AD83" s="278"/>
      <c r="AE83" s="278"/>
      <c r="AF83" s="278"/>
      <c r="AG83" s="278"/>
      <c r="AH83" s="278">
        <f t="shared" si="56"/>
        <v>0</v>
      </c>
      <c r="AI83" s="278"/>
      <c r="AJ83" s="278">
        <v>0</v>
      </c>
      <c r="AK83" s="278">
        <f t="shared" si="49"/>
        <v>0</v>
      </c>
      <c r="AL83" s="278"/>
      <c r="AM83" s="278">
        <f t="shared" si="53"/>
        <v>0</v>
      </c>
      <c r="AN83" s="278">
        <f t="shared" si="50"/>
        <v>0</v>
      </c>
      <c r="AO83" s="746" t="s">
        <v>1551</v>
      </c>
      <c r="AP83" s="534" t="s">
        <v>1895</v>
      </c>
      <c r="AQ83" s="534" t="s">
        <v>1986</v>
      </c>
      <c r="AR83" s="754" t="s">
        <v>2011</v>
      </c>
      <c r="AS83" s="754" t="s">
        <v>2107</v>
      </c>
      <c r="AT83" s="754" t="s">
        <v>2139</v>
      </c>
      <c r="AU83" s="752"/>
      <c r="AV83" s="533" t="s">
        <v>1859</v>
      </c>
    </row>
    <row r="84" spans="1:49" ht="161.4" customHeight="1" thickBot="1" x14ac:dyDescent="0.55000000000000004">
      <c r="A84" s="261"/>
      <c r="B84" s="1345" t="s">
        <v>486</v>
      </c>
      <c r="C84" s="1346" t="s">
        <v>487</v>
      </c>
      <c r="D84" s="445" t="s">
        <v>475</v>
      </c>
      <c r="E84" s="269">
        <v>0.2</v>
      </c>
      <c r="F84" s="270">
        <v>2234</v>
      </c>
      <c r="G84" s="289"/>
      <c r="H84" s="704">
        <v>468</v>
      </c>
      <c r="I84" s="290"/>
      <c r="J84" s="279"/>
      <c r="K84" s="279">
        <f t="shared" si="35"/>
        <v>0.20948970456580127</v>
      </c>
      <c r="L84" s="279">
        <f t="shared" si="54"/>
        <v>0</v>
      </c>
      <c r="M84" s="280"/>
      <c r="N84" s="280">
        <f t="shared" si="36"/>
        <v>4.1897940913160257E-2</v>
      </c>
      <c r="O84" s="280"/>
      <c r="P84" s="275"/>
      <c r="Q84" s="282"/>
      <c r="R84" s="276">
        <v>0</v>
      </c>
      <c r="S84" s="276">
        <v>468</v>
      </c>
      <c r="T84" s="276">
        <v>0</v>
      </c>
      <c r="U84" s="815"/>
      <c r="V84" s="601">
        <f t="shared" si="55"/>
        <v>468</v>
      </c>
      <c r="W84" s="601">
        <f t="shared" si="57"/>
        <v>468</v>
      </c>
      <c r="X84" s="289"/>
      <c r="Y84" s="289"/>
      <c r="Z84" s="289"/>
      <c r="AA84" s="289"/>
      <c r="AB84" s="289">
        <f t="shared" si="47"/>
        <v>0</v>
      </c>
      <c r="AC84" s="277"/>
      <c r="AD84" s="278">
        <f>+V84/H84</f>
        <v>1</v>
      </c>
      <c r="AE84" s="278"/>
      <c r="AF84" s="278"/>
      <c r="AG84" s="278">
        <f>+AD84*E84</f>
        <v>0.2</v>
      </c>
      <c r="AH84" s="278">
        <f t="shared" si="56"/>
        <v>0</v>
      </c>
      <c r="AI84" s="278"/>
      <c r="AJ84" s="278">
        <v>0.20948970456580127</v>
      </c>
      <c r="AK84" s="278">
        <f t="shared" si="49"/>
        <v>0.20948970456580127</v>
      </c>
      <c r="AL84" s="278">
        <f>+AI84*E84</f>
        <v>0</v>
      </c>
      <c r="AM84" s="278">
        <f t="shared" si="53"/>
        <v>4.1897940913160257E-2</v>
      </c>
      <c r="AN84" s="278">
        <f t="shared" si="50"/>
        <v>4.1897940913160257E-2</v>
      </c>
      <c r="AO84" s="746" t="s">
        <v>1551</v>
      </c>
      <c r="AP84" s="534" t="s">
        <v>1895</v>
      </c>
      <c r="AQ84" s="534" t="s">
        <v>1986</v>
      </c>
      <c r="AR84" s="754" t="s">
        <v>2011</v>
      </c>
      <c r="AS84" s="754" t="s">
        <v>2107</v>
      </c>
      <c r="AT84" s="754" t="s">
        <v>2139</v>
      </c>
      <c r="AU84" s="752"/>
      <c r="AV84" s="533" t="s">
        <v>1859</v>
      </c>
    </row>
    <row r="85" spans="1:49" ht="122.4" customHeight="1" thickBot="1" x14ac:dyDescent="0.55000000000000004">
      <c r="A85" s="261"/>
      <c r="B85" s="1347" t="s">
        <v>1651</v>
      </c>
      <c r="C85" s="1348"/>
      <c r="D85" s="579"/>
      <c r="E85" s="266">
        <v>0.09</v>
      </c>
      <c r="F85" s="284"/>
      <c r="G85" s="285"/>
      <c r="H85" s="926"/>
      <c r="I85" s="267"/>
      <c r="J85" s="286">
        <f>+AVERAGE(J86:J90)</f>
        <v>0.36527777777777776</v>
      </c>
      <c r="K85" s="286">
        <f>+AVERAGE(K86:K90)</f>
        <v>0.24861111111111106</v>
      </c>
      <c r="L85" s="286">
        <f>+AVERAGE(L86:L90)</f>
        <v>0.21006944444444442</v>
      </c>
      <c r="M85" s="287">
        <f>+M86+M87+M88+M89+M90</f>
        <v>0.41006944444444449</v>
      </c>
      <c r="N85" s="287">
        <f>+N86+N87+N88+N89+N90</f>
        <v>0.24340277777777775</v>
      </c>
      <c r="O85" s="287"/>
      <c r="P85" s="275"/>
      <c r="Q85" s="288"/>
      <c r="R85" s="288"/>
      <c r="S85" s="288"/>
      <c r="T85" s="288"/>
      <c r="U85" s="816"/>
      <c r="V85" s="288"/>
      <c r="W85" s="288"/>
      <c r="X85" s="936"/>
      <c r="Y85" s="936"/>
      <c r="Z85" s="936"/>
      <c r="AA85" s="936"/>
      <c r="AB85" s="936"/>
      <c r="AC85" s="476">
        <f>+AVERAGE(AC86:AC90)</f>
        <v>1</v>
      </c>
      <c r="AD85" s="476">
        <f>+AVERAGE(AD86:AD90)</f>
        <v>0.82899999999999996</v>
      </c>
      <c r="AE85" s="476">
        <f>+AVERAGE(AE86:AE90)</f>
        <v>0.72</v>
      </c>
      <c r="AF85" s="307">
        <f>+(AF86+AF87+AF88+AF89+AF90)*E85</f>
        <v>0.09</v>
      </c>
      <c r="AG85" s="307">
        <f>+(AG86+AG87+AG88+AG89+AG90)*E85</f>
        <v>6.7860000000000004E-2</v>
      </c>
      <c r="AH85" s="307">
        <f>+(AH86+AH87+AH88+AH89+AH90)*E85</f>
        <v>6.4799999999999996E-2</v>
      </c>
      <c r="AI85" s="268">
        <f>+AVERAGE(AI86:AI90)</f>
        <v>0.44777777777777777</v>
      </c>
      <c r="AJ85" s="268">
        <v>0.75641666666666663</v>
      </c>
      <c r="AK85" s="268">
        <f>+AVERAGE(AK86:AK90)</f>
        <v>0.81780555555555556</v>
      </c>
      <c r="AL85" s="268">
        <f>+(AL86+AL87+AL88+AL89+AL90)*E85</f>
        <v>4.2475000000000006E-2</v>
      </c>
      <c r="AM85" s="268">
        <f>+(AM86+AM87+AM88+AM89+AM90)</f>
        <v>0.70870833333333327</v>
      </c>
      <c r="AN85" s="268">
        <f>+(AN86+AN87+AN88+AN89+AN90)</f>
        <v>0.78447222222222224</v>
      </c>
      <c r="AO85" s="639"/>
      <c r="AP85" s="267"/>
      <c r="AQ85" s="267"/>
      <c r="AR85" s="267"/>
      <c r="AS85" s="267"/>
      <c r="AT85" s="755"/>
      <c r="AU85" s="752"/>
      <c r="AV85" s="755"/>
    </row>
    <row r="86" spans="1:49" ht="122.4" customHeight="1" thickBot="1" x14ac:dyDescent="0.55000000000000004">
      <c r="A86" s="261"/>
      <c r="B86" s="1357" t="s">
        <v>488</v>
      </c>
      <c r="C86" s="1358" t="s">
        <v>489</v>
      </c>
      <c r="D86" s="571" t="s">
        <v>490</v>
      </c>
      <c r="E86" s="269">
        <v>0.2</v>
      </c>
      <c r="F86" s="270">
        <v>1600</v>
      </c>
      <c r="G86" s="289">
        <v>400</v>
      </c>
      <c r="H86" s="704">
        <v>400</v>
      </c>
      <c r="I86" s="290">
        <v>400</v>
      </c>
      <c r="J86" s="279">
        <f>+G86/F86</f>
        <v>0.25</v>
      </c>
      <c r="K86" s="279">
        <f t="shared" si="35"/>
        <v>0.25</v>
      </c>
      <c r="L86" s="279">
        <f t="shared" si="54"/>
        <v>0.25</v>
      </c>
      <c r="M86" s="280">
        <f>+(G86/F86)*E86</f>
        <v>0.05</v>
      </c>
      <c r="N86" s="280">
        <f t="shared" si="36"/>
        <v>0.05</v>
      </c>
      <c r="O86" s="280"/>
      <c r="P86" s="275">
        <v>400</v>
      </c>
      <c r="Q86" s="282">
        <v>225</v>
      </c>
      <c r="R86" s="276">
        <v>25</v>
      </c>
      <c r="S86" s="276">
        <v>0</v>
      </c>
      <c r="T86" s="276">
        <v>8</v>
      </c>
      <c r="U86" s="276">
        <v>0</v>
      </c>
      <c r="V86" s="281">
        <f>+Q86+R86+S86+T86+U86</f>
        <v>258</v>
      </c>
      <c r="W86" s="601">
        <f>+V86+P86+AB86</f>
        <v>898</v>
      </c>
      <c r="X86" s="1032">
        <v>240</v>
      </c>
      <c r="Y86" s="289"/>
      <c r="Z86" s="289"/>
      <c r="AA86" s="289"/>
      <c r="AB86" s="939">
        <f t="shared" si="47"/>
        <v>240</v>
      </c>
      <c r="AC86" s="277">
        <f>+(P86/G86)</f>
        <v>1</v>
      </c>
      <c r="AD86" s="278">
        <f>+V86/H86</f>
        <v>0.64500000000000002</v>
      </c>
      <c r="AE86" s="278">
        <f t="shared" si="48"/>
        <v>0.6</v>
      </c>
      <c r="AF86" s="278">
        <f>+AC86*E86</f>
        <v>0.2</v>
      </c>
      <c r="AG86" s="278">
        <f>+AD86*E86</f>
        <v>0.129</v>
      </c>
      <c r="AH86" s="278">
        <f t="shared" si="56"/>
        <v>0.12</v>
      </c>
      <c r="AI86" s="278">
        <f>+P86/F86</f>
        <v>0.25</v>
      </c>
      <c r="AJ86" s="278">
        <v>0.41125</v>
      </c>
      <c r="AK86" s="278">
        <f t="shared" si="49"/>
        <v>0.56125000000000003</v>
      </c>
      <c r="AL86" s="278">
        <f>+AI86*E86</f>
        <v>0.05</v>
      </c>
      <c r="AM86" s="278">
        <f>+AJ86*E86</f>
        <v>8.2250000000000004E-2</v>
      </c>
      <c r="AN86" s="278">
        <f t="shared" si="50"/>
        <v>0.11225000000000002</v>
      </c>
      <c r="AO86" s="532" t="s">
        <v>1844</v>
      </c>
      <c r="AP86" s="534" t="s">
        <v>1895</v>
      </c>
      <c r="AQ86" s="267"/>
      <c r="AR86" s="754" t="s">
        <v>2011</v>
      </c>
      <c r="AS86" s="754" t="s">
        <v>2107</v>
      </c>
      <c r="AT86" s="754" t="s">
        <v>2139</v>
      </c>
      <c r="AU86" s="752"/>
      <c r="AV86" s="558" t="s">
        <v>1887</v>
      </c>
      <c r="AW86" s="558" t="s">
        <v>2294</v>
      </c>
    </row>
    <row r="87" spans="1:49" ht="114.6" customHeight="1" thickBot="1" x14ac:dyDescent="0.55000000000000004">
      <c r="A87" s="261"/>
      <c r="B87" s="1357" t="s">
        <v>491</v>
      </c>
      <c r="C87" s="1358" t="s">
        <v>492</v>
      </c>
      <c r="D87" s="569" t="s">
        <v>490</v>
      </c>
      <c r="E87" s="298">
        <v>0.2</v>
      </c>
      <c r="F87" s="270">
        <v>400</v>
      </c>
      <c r="G87" s="289">
        <v>200</v>
      </c>
      <c r="H87" s="704">
        <v>100</v>
      </c>
      <c r="I87" s="290">
        <v>100</v>
      </c>
      <c r="J87" s="279">
        <f>+G87/F87</f>
        <v>0.5</v>
      </c>
      <c r="K87" s="279">
        <f t="shared" si="35"/>
        <v>0.25</v>
      </c>
      <c r="L87" s="279">
        <f t="shared" si="54"/>
        <v>0.25</v>
      </c>
      <c r="M87" s="280">
        <f>+(G87/F87)*E87</f>
        <v>0.1</v>
      </c>
      <c r="N87" s="280">
        <f t="shared" si="36"/>
        <v>0.05</v>
      </c>
      <c r="O87" s="280"/>
      <c r="P87" s="275">
        <v>200</v>
      </c>
      <c r="Q87" s="282">
        <v>0</v>
      </c>
      <c r="R87" s="276">
        <v>74</v>
      </c>
      <c r="S87" s="276">
        <v>23</v>
      </c>
      <c r="T87" s="276">
        <v>3</v>
      </c>
      <c r="U87" s="276">
        <v>0</v>
      </c>
      <c r="V87" s="281">
        <f t="shared" ref="V87:V89" si="58">+Q87+R87+S87+T87+U87</f>
        <v>100</v>
      </c>
      <c r="W87" s="601">
        <f t="shared" ref="W87:W90" si="59">+V87+P87+AB87</f>
        <v>300</v>
      </c>
      <c r="X87" s="1032">
        <v>0</v>
      </c>
      <c r="Y87" s="289"/>
      <c r="Z87" s="289"/>
      <c r="AA87" s="289"/>
      <c r="AB87" s="939">
        <f t="shared" si="47"/>
        <v>0</v>
      </c>
      <c r="AC87" s="277">
        <f>+(P87/G87)</f>
        <v>1</v>
      </c>
      <c r="AD87" s="278">
        <f>+V87/H87</f>
        <v>1</v>
      </c>
      <c r="AE87" s="278">
        <f t="shared" si="48"/>
        <v>0</v>
      </c>
      <c r="AF87" s="278">
        <f>+AC87*E87</f>
        <v>0.2</v>
      </c>
      <c r="AG87" s="278">
        <f>+AD87*E87</f>
        <v>0.2</v>
      </c>
      <c r="AH87" s="278">
        <f t="shared" si="56"/>
        <v>0</v>
      </c>
      <c r="AI87" s="278">
        <f>+P87/F87</f>
        <v>0.5</v>
      </c>
      <c r="AJ87" s="278">
        <v>0.75</v>
      </c>
      <c r="AK87" s="278">
        <f t="shared" si="49"/>
        <v>0.75</v>
      </c>
      <c r="AL87" s="278">
        <f>+AI87*E87</f>
        <v>0.1</v>
      </c>
      <c r="AM87" s="278">
        <f>+AJ87*E87</f>
        <v>0.15000000000000002</v>
      </c>
      <c r="AN87" s="278">
        <f t="shared" si="50"/>
        <v>0.15000000000000002</v>
      </c>
      <c r="AO87" s="532" t="s">
        <v>1844</v>
      </c>
      <c r="AP87" s="534" t="s">
        <v>1895</v>
      </c>
      <c r="AQ87" s="267"/>
      <c r="AR87" s="754" t="s">
        <v>2011</v>
      </c>
      <c r="AS87" s="754" t="s">
        <v>2107</v>
      </c>
      <c r="AT87" s="754" t="s">
        <v>2139</v>
      </c>
      <c r="AU87" s="752"/>
      <c r="AV87" s="558" t="s">
        <v>1887</v>
      </c>
      <c r="AW87" s="558" t="s">
        <v>2294</v>
      </c>
    </row>
    <row r="88" spans="1:49" ht="98.4" customHeight="1" thickBot="1" x14ac:dyDescent="0.55000000000000004">
      <c r="A88" s="261"/>
      <c r="B88" s="1357" t="s">
        <v>493</v>
      </c>
      <c r="C88" s="1358" t="s">
        <v>494</v>
      </c>
      <c r="D88" s="569" t="s">
        <v>490</v>
      </c>
      <c r="E88" s="298">
        <v>0.15</v>
      </c>
      <c r="F88" s="299">
        <v>240</v>
      </c>
      <c r="G88" s="289">
        <v>65</v>
      </c>
      <c r="H88" s="704">
        <v>65</v>
      </c>
      <c r="I88" s="290">
        <v>55</v>
      </c>
      <c r="J88" s="279">
        <f>+G88/F88</f>
        <v>0.27083333333333331</v>
      </c>
      <c r="K88" s="279">
        <f t="shared" si="35"/>
        <v>0.27083333333333331</v>
      </c>
      <c r="L88" s="279">
        <f t="shared" si="54"/>
        <v>0.22916666666666666</v>
      </c>
      <c r="M88" s="280">
        <f>+(G88/F88)*E88</f>
        <v>4.0624999999999994E-2</v>
      </c>
      <c r="N88" s="280">
        <f t="shared" si="36"/>
        <v>4.0624999999999994E-2</v>
      </c>
      <c r="O88" s="280"/>
      <c r="P88" s="275">
        <v>164</v>
      </c>
      <c r="Q88" s="282">
        <v>50</v>
      </c>
      <c r="R88" s="276">
        <v>15</v>
      </c>
      <c r="S88" s="276">
        <v>0</v>
      </c>
      <c r="T88" s="276">
        <v>0</v>
      </c>
      <c r="U88" s="276">
        <v>0</v>
      </c>
      <c r="V88" s="281">
        <f t="shared" si="58"/>
        <v>65</v>
      </c>
      <c r="W88" s="601">
        <f t="shared" si="59"/>
        <v>284</v>
      </c>
      <c r="X88" s="1032">
        <v>55</v>
      </c>
      <c r="Y88" s="289"/>
      <c r="Z88" s="289"/>
      <c r="AA88" s="289"/>
      <c r="AB88" s="939">
        <f t="shared" si="47"/>
        <v>55</v>
      </c>
      <c r="AC88" s="277">
        <v>1</v>
      </c>
      <c r="AD88" s="278">
        <f>+V88/H88</f>
        <v>1</v>
      </c>
      <c r="AE88" s="278">
        <f t="shared" si="48"/>
        <v>1</v>
      </c>
      <c r="AF88" s="278">
        <f>+AC88*E88</f>
        <v>0.15</v>
      </c>
      <c r="AG88" s="278">
        <f>+AD88*E88</f>
        <v>0.15</v>
      </c>
      <c r="AH88" s="278">
        <f t="shared" si="56"/>
        <v>0.15</v>
      </c>
      <c r="AI88" s="278">
        <f>+P88/F88</f>
        <v>0.68333333333333335</v>
      </c>
      <c r="AJ88" s="278">
        <v>0.95416666666666672</v>
      </c>
      <c r="AK88" s="278">
        <v>1</v>
      </c>
      <c r="AL88" s="278">
        <f>+AI88*E88</f>
        <v>0.10249999999999999</v>
      </c>
      <c r="AM88" s="278">
        <f>+AJ88*E88</f>
        <v>0.143125</v>
      </c>
      <c r="AN88" s="278">
        <f t="shared" si="50"/>
        <v>0.15</v>
      </c>
      <c r="AO88" s="532" t="s">
        <v>1844</v>
      </c>
      <c r="AP88" s="534" t="s">
        <v>1895</v>
      </c>
      <c r="AQ88" s="267"/>
      <c r="AR88" s="754" t="s">
        <v>2011</v>
      </c>
      <c r="AS88" s="754" t="s">
        <v>2107</v>
      </c>
      <c r="AT88" s="754" t="s">
        <v>2139</v>
      </c>
      <c r="AU88" s="752"/>
      <c r="AV88" s="558" t="s">
        <v>1887</v>
      </c>
      <c r="AW88" s="558" t="s">
        <v>2294</v>
      </c>
    </row>
    <row r="89" spans="1:49" ht="106.2" customHeight="1" thickBot="1" x14ac:dyDescent="0.55000000000000004">
      <c r="A89" s="261"/>
      <c r="B89" s="1345" t="s">
        <v>495</v>
      </c>
      <c r="C89" s="1346" t="s">
        <v>496</v>
      </c>
      <c r="D89" s="445" t="s">
        <v>490</v>
      </c>
      <c r="E89" s="1367">
        <v>0.1</v>
      </c>
      <c r="F89" s="299">
        <v>200</v>
      </c>
      <c r="G89" s="289">
        <v>50</v>
      </c>
      <c r="H89" s="704">
        <v>50</v>
      </c>
      <c r="I89" s="290">
        <v>50</v>
      </c>
      <c r="J89" s="279">
        <f>+G89/F89</f>
        <v>0.25</v>
      </c>
      <c r="K89" s="279">
        <f t="shared" si="35"/>
        <v>0.25</v>
      </c>
      <c r="L89" s="279"/>
      <c r="M89" s="280">
        <f>+(G89/F89)*E89</f>
        <v>2.5000000000000001E-2</v>
      </c>
      <c r="N89" s="280">
        <f t="shared" si="36"/>
        <v>2.5000000000000001E-2</v>
      </c>
      <c r="O89" s="280"/>
      <c r="P89" s="275">
        <v>50</v>
      </c>
      <c r="Q89" s="282">
        <v>43</v>
      </c>
      <c r="R89" s="276">
        <v>7</v>
      </c>
      <c r="S89" s="276">
        <v>0</v>
      </c>
      <c r="T89" s="276">
        <v>0</v>
      </c>
      <c r="U89" s="276">
        <v>0</v>
      </c>
      <c r="V89" s="281">
        <f t="shared" si="58"/>
        <v>50</v>
      </c>
      <c r="W89" s="601">
        <f t="shared" si="59"/>
        <v>150</v>
      </c>
      <c r="X89" s="1040">
        <v>46</v>
      </c>
      <c r="Y89" s="1368">
        <v>4</v>
      </c>
      <c r="Z89" s="1368"/>
      <c r="AA89" s="1368"/>
      <c r="AB89" s="1365">
        <f t="shared" si="47"/>
        <v>50</v>
      </c>
      <c r="AC89" s="277">
        <v>1</v>
      </c>
      <c r="AD89" s="278">
        <f>+V89/H89</f>
        <v>1</v>
      </c>
      <c r="AE89" s="278">
        <f t="shared" si="48"/>
        <v>1</v>
      </c>
      <c r="AF89" s="278">
        <f>+AC89*E89</f>
        <v>0.1</v>
      </c>
      <c r="AG89" s="278">
        <f>+AD89*E89</f>
        <v>0.1</v>
      </c>
      <c r="AH89" s="278">
        <f t="shared" si="56"/>
        <v>0.1</v>
      </c>
      <c r="AI89" s="278">
        <f>+P89/F89</f>
        <v>0.25</v>
      </c>
      <c r="AJ89" s="278">
        <v>1</v>
      </c>
      <c r="AK89" s="478">
        <v>1</v>
      </c>
      <c r="AL89" s="278">
        <f>+AI89*E89</f>
        <v>2.5000000000000001E-2</v>
      </c>
      <c r="AM89" s="278">
        <f>+AJ89*E89</f>
        <v>0.1</v>
      </c>
      <c r="AN89" s="278">
        <f t="shared" si="50"/>
        <v>0.1</v>
      </c>
      <c r="AO89" s="532" t="s">
        <v>1844</v>
      </c>
      <c r="AP89" s="534" t="s">
        <v>1946</v>
      </c>
      <c r="AQ89" s="267"/>
      <c r="AR89" s="754" t="s">
        <v>2011</v>
      </c>
      <c r="AS89" s="754" t="s">
        <v>2107</v>
      </c>
      <c r="AT89" s="754" t="s">
        <v>2139</v>
      </c>
      <c r="AU89" s="752"/>
      <c r="AV89" s="558" t="s">
        <v>1887</v>
      </c>
      <c r="AW89" s="558" t="s">
        <v>2294</v>
      </c>
    </row>
    <row r="90" spans="1:49" ht="98.4" customHeight="1" thickBot="1" x14ac:dyDescent="0.55000000000000004">
      <c r="A90" s="261"/>
      <c r="B90" s="1355" t="s">
        <v>497</v>
      </c>
      <c r="C90" s="1356" t="s">
        <v>498</v>
      </c>
      <c r="D90" s="572" t="s">
        <v>490</v>
      </c>
      <c r="E90" s="679">
        <v>0.35</v>
      </c>
      <c r="F90" s="270">
        <v>9</v>
      </c>
      <c r="G90" s="289">
        <v>5</v>
      </c>
      <c r="H90" s="704">
        <v>2</v>
      </c>
      <c r="I90" s="290">
        <v>1</v>
      </c>
      <c r="J90" s="279">
        <f>+G90/F90</f>
        <v>0.55555555555555558</v>
      </c>
      <c r="K90" s="279">
        <f t="shared" si="35"/>
        <v>0.22222222222222221</v>
      </c>
      <c r="L90" s="279">
        <f t="shared" si="54"/>
        <v>0.1111111111111111</v>
      </c>
      <c r="M90" s="280">
        <f>+(G90/F90)*E90</f>
        <v>0.19444444444444445</v>
      </c>
      <c r="N90" s="280">
        <f t="shared" si="36"/>
        <v>7.7777777777777765E-2</v>
      </c>
      <c r="O90" s="280"/>
      <c r="P90" s="275">
        <v>5</v>
      </c>
      <c r="Q90" s="282">
        <v>0</v>
      </c>
      <c r="R90" s="276">
        <v>0</v>
      </c>
      <c r="S90" s="276">
        <v>0</v>
      </c>
      <c r="T90" s="276">
        <v>1</v>
      </c>
      <c r="U90" s="276">
        <v>0</v>
      </c>
      <c r="V90" s="281">
        <f>+Q90+R90+S90+T90+U90</f>
        <v>1</v>
      </c>
      <c r="W90" s="601">
        <f t="shared" si="59"/>
        <v>7</v>
      </c>
      <c r="X90" s="1032">
        <v>0</v>
      </c>
      <c r="Y90" s="289">
        <v>1</v>
      </c>
      <c r="Z90" s="289"/>
      <c r="AA90" s="289"/>
      <c r="AB90" s="939">
        <f t="shared" si="47"/>
        <v>1</v>
      </c>
      <c r="AC90" s="277">
        <f>+(P90/G90)</f>
        <v>1</v>
      </c>
      <c r="AD90" s="278">
        <f>+V90/H90</f>
        <v>0.5</v>
      </c>
      <c r="AE90" s="278">
        <f t="shared" si="48"/>
        <v>1</v>
      </c>
      <c r="AF90" s="278">
        <f>+AC90*E90</f>
        <v>0.35</v>
      </c>
      <c r="AG90" s="278">
        <f>+AD90*E90</f>
        <v>0.17499999999999999</v>
      </c>
      <c r="AH90" s="278">
        <f t="shared" si="56"/>
        <v>0.35</v>
      </c>
      <c r="AI90" s="278">
        <f>+P90/F90</f>
        <v>0.55555555555555558</v>
      </c>
      <c r="AJ90" s="278">
        <v>0.66666666666666663</v>
      </c>
      <c r="AK90" s="278">
        <f t="shared" si="49"/>
        <v>0.77777777777777779</v>
      </c>
      <c r="AL90" s="278">
        <f>+AI90*E90</f>
        <v>0.19444444444444445</v>
      </c>
      <c r="AM90" s="278">
        <f>+AJ90*E90</f>
        <v>0.23333333333333331</v>
      </c>
      <c r="AN90" s="278">
        <f t="shared" si="50"/>
        <v>0.2722222222222222</v>
      </c>
      <c r="AO90" s="532" t="s">
        <v>1844</v>
      </c>
      <c r="AP90" s="534" t="s">
        <v>1895</v>
      </c>
      <c r="AQ90" s="267"/>
      <c r="AR90" s="754" t="s">
        <v>2011</v>
      </c>
      <c r="AS90" s="754" t="s">
        <v>2107</v>
      </c>
      <c r="AT90" s="754" t="s">
        <v>2139</v>
      </c>
      <c r="AU90" s="752"/>
      <c r="AV90" s="558" t="s">
        <v>1887</v>
      </c>
      <c r="AW90" s="558" t="s">
        <v>2294</v>
      </c>
    </row>
    <row r="91" spans="1:49" ht="122.4" customHeight="1" thickBot="1" x14ac:dyDescent="0.55000000000000004">
      <c r="A91" s="261"/>
      <c r="B91" s="1349" t="s">
        <v>1652</v>
      </c>
      <c r="C91" s="1341"/>
      <c r="D91" s="300"/>
      <c r="E91" s="301">
        <v>0.1</v>
      </c>
      <c r="F91" s="302">
        <f>+E91*AF91</f>
        <v>3.9149999999999997E-2</v>
      </c>
      <c r="G91" s="285"/>
      <c r="H91" s="928">
        <f>+E91*AG91</f>
        <v>4.4988348609041232E-2</v>
      </c>
      <c r="I91" s="263">
        <f>E91*AH91</f>
        <v>5.5468500951054413E-2</v>
      </c>
      <c r="J91" s="303">
        <f>+(J92+J101+J106)/3</f>
        <v>0.36897145335135689</v>
      </c>
      <c r="K91" s="303">
        <f>+(K92+K101+K106)/3</f>
        <v>0.37316486001714971</v>
      </c>
      <c r="L91" s="303">
        <f>+(L92+L101+L106)/3</f>
        <v>0.45902477549928916</v>
      </c>
      <c r="M91" s="304">
        <f>+(M92+M101+M106)/3</f>
        <v>0.13546025296319508</v>
      </c>
      <c r="N91" s="304">
        <f>+(N92+N101+N106)/3</f>
        <v>0.19876656861431621</v>
      </c>
      <c r="O91" s="304"/>
      <c r="P91" s="470"/>
      <c r="Q91" s="305"/>
      <c r="R91" s="305"/>
      <c r="S91" s="305"/>
      <c r="T91" s="305"/>
      <c r="U91" s="305"/>
      <c r="V91" s="305"/>
      <c r="W91" s="305"/>
      <c r="X91" s="285"/>
      <c r="Y91" s="285"/>
      <c r="Z91" s="285"/>
      <c r="AA91" s="285"/>
      <c r="AB91" s="285"/>
      <c r="AC91" s="306">
        <f>+(AC92+AC101+AC106)/3</f>
        <v>0.8396825396825397</v>
      </c>
      <c r="AD91" s="306">
        <f>+(AD92+AD101+AD106)/3</f>
        <v>0.67621105726609232</v>
      </c>
      <c r="AE91" s="306">
        <f>+(AE92+AE101+AE106)/3</f>
        <v>0.64469988264411415</v>
      </c>
      <c r="AF91" s="264">
        <f>+AF92+AF101+AF106</f>
        <v>0.39149999999999996</v>
      </c>
      <c r="AG91" s="264">
        <f>+AG92+AG101+AG106</f>
        <v>0.44988348609041229</v>
      </c>
      <c r="AH91" s="264">
        <f>+AH92+AH101+AH106</f>
        <v>0.55468500951054411</v>
      </c>
      <c r="AI91" s="265">
        <f>(AI92+AI101+AI106)/3</f>
        <v>0.12107490645604667</v>
      </c>
      <c r="AJ91" s="265">
        <v>0.36954161861032914</v>
      </c>
      <c r="AK91" s="265">
        <f>(AK92+AK101+AK106)/3</f>
        <v>0.6354420978123686</v>
      </c>
      <c r="AL91" s="264">
        <f>(AL92+AL101+AL106)</f>
        <v>0.1147193821346188</v>
      </c>
      <c r="AM91" s="264">
        <f>(AM92*E92)+(AM101*E101)+(AM106*E106)</f>
        <v>0.34878279505494242</v>
      </c>
      <c r="AN91" s="264">
        <f>(AN92*E92)+(AN101*E101)+(AN106*E106)</f>
        <v>0.62411608115625583</v>
      </c>
      <c r="AO91" s="747"/>
      <c r="AP91" s="267"/>
      <c r="AQ91" s="267"/>
      <c r="AR91" s="267"/>
      <c r="AS91" s="267"/>
      <c r="AT91" s="755"/>
      <c r="AU91" s="752"/>
      <c r="AV91" s="755"/>
    </row>
    <row r="92" spans="1:49" ht="122.4" customHeight="1" thickBot="1" x14ac:dyDescent="0.55000000000000004">
      <c r="A92" s="261"/>
      <c r="B92" s="1339" t="s">
        <v>1653</v>
      </c>
      <c r="C92" s="1340"/>
      <c r="D92" s="580"/>
      <c r="E92" s="266">
        <v>0.35</v>
      </c>
      <c r="F92" s="284"/>
      <c r="G92" s="285"/>
      <c r="H92" s="926"/>
      <c r="I92" s="267"/>
      <c r="J92" s="286">
        <f>+AVERAGE(J93:J100)</f>
        <v>0.36703340767311832</v>
      </c>
      <c r="K92" s="286">
        <f>+AVERAGE(K93:K100)</f>
        <v>0.21758981814668724</v>
      </c>
      <c r="L92" s="286">
        <f>+AVERAGE(L93:L100)</f>
        <v>0.47422563602167717</v>
      </c>
      <c r="M92" s="287">
        <f>+M93+M94+M95+M96+M97+M98+M99+M100</f>
        <v>0.19522004460387099</v>
      </c>
      <c r="N92" s="287">
        <f>+N93+N94+N95+N96+N97+N98+N99+N100</f>
        <v>0.17639494393818686</v>
      </c>
      <c r="O92" s="287"/>
      <c r="P92" s="275"/>
      <c r="Q92" s="288"/>
      <c r="R92" s="288"/>
      <c r="S92" s="288"/>
      <c r="T92" s="288"/>
      <c r="U92" s="288"/>
      <c r="V92" s="288"/>
      <c r="W92" s="288"/>
      <c r="X92" s="936"/>
      <c r="Y92" s="936"/>
      <c r="Z92" s="936"/>
      <c r="AA92" s="936"/>
      <c r="AB92" s="936"/>
      <c r="AC92" s="476">
        <f>+AVERAGE(AC93:AC100)</f>
        <v>1</v>
      </c>
      <c r="AD92" s="659">
        <f>+AVERAGE(AD93:AD100)</f>
        <v>0.75411296977807518</v>
      </c>
      <c r="AE92" s="659">
        <f>+AVERAGE(AE93:AE100)</f>
        <v>0.54833447937096225</v>
      </c>
      <c r="AF92" s="307">
        <f>+(AF93+AF94+AF95+AF96+AF97+AF98+AF99+AF100)*E92</f>
        <v>0.17499999999999996</v>
      </c>
      <c r="AG92" s="307">
        <f>+(AG93+AG94+AG95+AG96+AG97+AG98+AG99+AG100)*E92</f>
        <v>0.18496984972677594</v>
      </c>
      <c r="AH92" s="307">
        <f>+(AH93+AH94+AH95+AH96+AH97+AH98+AH99+AH100)*E92</f>
        <v>0.11984626701499654</v>
      </c>
      <c r="AI92" s="307">
        <f>+AVERAGE(AI93:AI100)</f>
        <v>0.1583199574633781</v>
      </c>
      <c r="AJ92" s="307">
        <v>0.49420600662463821</v>
      </c>
      <c r="AK92" s="307">
        <f>+AVERAGE(AK93:AK100)</f>
        <v>0.68242490454821725</v>
      </c>
      <c r="AL92" s="307">
        <f>+(AL93+AL94+AL95+AL96+AL97+AL98+AL99+AL100)*E92</f>
        <v>5.7744382134618799E-2</v>
      </c>
      <c r="AM92" s="307">
        <f>+(AM93+AM94+AM95+AM96+AM97+AM98+AM99+AM100)</f>
        <v>0.42700370015697831</v>
      </c>
      <c r="AN92" s="307">
        <f>+(AN93+AN94+AN95+AN96+AN97+AN98+AN99+AN100)</f>
        <v>0.58071166044644551</v>
      </c>
      <c r="AO92" s="639"/>
      <c r="AP92" s="267"/>
      <c r="AQ92" s="267"/>
      <c r="AR92" s="267"/>
      <c r="AS92" s="267"/>
      <c r="AT92" s="755"/>
      <c r="AU92" s="752"/>
      <c r="AV92" s="755"/>
    </row>
    <row r="93" spans="1:49" ht="122.4" customHeight="1" thickBot="1" x14ac:dyDescent="0.45">
      <c r="A93" s="261"/>
      <c r="B93" s="1342" t="s">
        <v>499</v>
      </c>
      <c r="C93" s="1147" t="s">
        <v>500</v>
      </c>
      <c r="D93" s="308" t="s">
        <v>501</v>
      </c>
      <c r="E93" s="295">
        <v>0.15</v>
      </c>
      <c r="F93" s="270">
        <v>7190</v>
      </c>
      <c r="G93" s="289">
        <v>515</v>
      </c>
      <c r="H93" s="704">
        <v>427</v>
      </c>
      <c r="I93" s="290">
        <v>2300</v>
      </c>
      <c r="J93" s="279"/>
      <c r="K93" s="279">
        <f t="shared" ref="K93:K118" si="60">+H93/F93</f>
        <v>5.9388038942976354E-2</v>
      </c>
      <c r="L93" s="279">
        <f>+I93/F93</f>
        <v>0.31988873435326842</v>
      </c>
      <c r="M93" s="280"/>
      <c r="N93" s="280">
        <f t="shared" ref="N93:N118" si="61">+(H93/F93)*E93</f>
        <v>8.9082058414464531E-3</v>
      </c>
      <c r="O93" s="280"/>
      <c r="P93" s="275">
        <v>0</v>
      </c>
      <c r="Q93" s="282">
        <v>0</v>
      </c>
      <c r="R93" s="276">
        <v>0</v>
      </c>
      <c r="S93" s="276">
        <v>0</v>
      </c>
      <c r="T93" s="276">
        <v>0</v>
      </c>
      <c r="U93" s="276">
        <v>325</v>
      </c>
      <c r="V93" s="601">
        <f>+Q93+R93+S93+T93+U93</f>
        <v>325</v>
      </c>
      <c r="W93" s="719">
        <f>+V93+P93+AB93</f>
        <v>325</v>
      </c>
      <c r="X93" s="1032">
        <v>0</v>
      </c>
      <c r="Y93" s="1032">
        <v>0</v>
      </c>
      <c r="Z93" s="289"/>
      <c r="AA93" s="289"/>
      <c r="AB93" s="939">
        <f t="shared" ref="AB93:AB118" si="62">+X93+Y93+Z93+AA93</f>
        <v>0</v>
      </c>
      <c r="AC93" s="277"/>
      <c r="AD93" s="278">
        <f>+V93/H93</f>
        <v>0.76112412177985944</v>
      </c>
      <c r="AE93" s="278">
        <f t="shared" ref="AE93:AE117" si="63">+AB93/I93</f>
        <v>0</v>
      </c>
      <c r="AF93" s="278"/>
      <c r="AG93" s="278">
        <f>+AD93*E93</f>
        <v>0.11416861826697891</v>
      </c>
      <c r="AH93" s="278">
        <f t="shared" ref="AH93:AH118" si="64">+AE93*E93</f>
        <v>0</v>
      </c>
      <c r="AI93" s="278">
        <v>0</v>
      </c>
      <c r="AJ93" s="278">
        <v>4.5201668984700974E-2</v>
      </c>
      <c r="AK93" s="278">
        <f t="shared" ref="AK93:AK118" si="65">+W93/F93</f>
        <v>4.5201668984700974E-2</v>
      </c>
      <c r="AL93" s="278">
        <f>+AI93*E93</f>
        <v>0</v>
      </c>
      <c r="AM93" s="278">
        <f t="shared" ref="AM93:AM100" si="66">+AJ93*E93</f>
        <v>6.7802503477051457E-3</v>
      </c>
      <c r="AN93" s="278">
        <f t="shared" ref="AN93:AN118" si="67">+AK93*E93</f>
        <v>6.7802503477051457E-3</v>
      </c>
      <c r="AO93" s="532" t="s">
        <v>1844</v>
      </c>
      <c r="AP93" s="534" t="s">
        <v>1895</v>
      </c>
      <c r="AQ93" s="534" t="s">
        <v>1986</v>
      </c>
      <c r="AR93" s="599" t="s">
        <v>2052</v>
      </c>
      <c r="AS93" s="599" t="s">
        <v>2100</v>
      </c>
      <c r="AT93" s="754" t="s">
        <v>2139</v>
      </c>
      <c r="AU93" s="558" t="s">
        <v>2196</v>
      </c>
      <c r="AV93" s="558" t="s">
        <v>1887</v>
      </c>
      <c r="AW93" s="558" t="s">
        <v>2294</v>
      </c>
    </row>
    <row r="94" spans="1:49" ht="122.4" customHeight="1" thickBot="1" x14ac:dyDescent="0.45">
      <c r="A94" s="261"/>
      <c r="B94" s="1342" t="s">
        <v>502</v>
      </c>
      <c r="C94" s="1147" t="s">
        <v>503</v>
      </c>
      <c r="D94" s="309" t="s">
        <v>501</v>
      </c>
      <c r="E94" s="269">
        <v>0.1</v>
      </c>
      <c r="F94" s="270">
        <v>9</v>
      </c>
      <c r="G94" s="289">
        <v>0</v>
      </c>
      <c r="H94" s="704">
        <v>3</v>
      </c>
      <c r="I94" s="290">
        <v>6</v>
      </c>
      <c r="J94" s="279"/>
      <c r="K94" s="279">
        <f t="shared" si="60"/>
        <v>0.33333333333333331</v>
      </c>
      <c r="L94" s="279">
        <f t="shared" ref="L94:L117" si="68">+I94/F94</f>
        <v>0.66666666666666663</v>
      </c>
      <c r="M94" s="280"/>
      <c r="N94" s="280">
        <f t="shared" si="61"/>
        <v>3.3333333333333333E-2</v>
      </c>
      <c r="O94" s="280"/>
      <c r="P94" s="275"/>
      <c r="Q94" s="282">
        <v>0</v>
      </c>
      <c r="R94" s="276">
        <v>0</v>
      </c>
      <c r="S94" s="276">
        <v>0</v>
      </c>
      <c r="T94" s="276"/>
      <c r="U94" s="276">
        <v>0.8</v>
      </c>
      <c r="V94" s="601">
        <f t="shared" ref="V94:V99" si="69">+Q94+R94+S94+T94+U94</f>
        <v>0.8</v>
      </c>
      <c r="W94" s="719">
        <f t="shared" ref="W94:W100" si="70">+V94+P94+AB94</f>
        <v>8.7000000000000011</v>
      </c>
      <c r="X94" s="1032">
        <v>0</v>
      </c>
      <c r="Y94" s="1032">
        <v>7.9</v>
      </c>
      <c r="Z94" s="289"/>
      <c r="AA94" s="289"/>
      <c r="AB94" s="939">
        <f t="shared" si="62"/>
        <v>7.9</v>
      </c>
      <c r="AC94" s="277"/>
      <c r="AD94" s="278">
        <f>+V94/H94</f>
        <v>0.26666666666666666</v>
      </c>
      <c r="AE94" s="278">
        <v>1</v>
      </c>
      <c r="AF94" s="278"/>
      <c r="AG94" s="278">
        <f>+AD94*E94</f>
        <v>2.6666666666666668E-2</v>
      </c>
      <c r="AH94" s="278">
        <f t="shared" si="64"/>
        <v>0.1</v>
      </c>
      <c r="AI94" s="278">
        <v>0</v>
      </c>
      <c r="AJ94" s="278">
        <v>8.8888888888888892E-2</v>
      </c>
      <c r="AK94" s="278">
        <f t="shared" si="65"/>
        <v>0.96666666666666679</v>
      </c>
      <c r="AL94" s="278"/>
      <c r="AM94" s="278">
        <f t="shared" si="66"/>
        <v>8.8888888888888889E-3</v>
      </c>
      <c r="AN94" s="278">
        <f t="shared" si="67"/>
        <v>9.6666666666666679E-2</v>
      </c>
      <c r="AO94" s="532" t="s">
        <v>1844</v>
      </c>
      <c r="AP94" s="534" t="s">
        <v>1895</v>
      </c>
      <c r="AQ94" s="534" t="s">
        <v>1986</v>
      </c>
      <c r="AR94" s="754" t="s">
        <v>2011</v>
      </c>
      <c r="AS94" s="754" t="s">
        <v>2107</v>
      </c>
      <c r="AT94" s="754" t="s">
        <v>2139</v>
      </c>
      <c r="AU94" s="558" t="s">
        <v>2196</v>
      </c>
      <c r="AV94" s="558" t="s">
        <v>1887</v>
      </c>
      <c r="AW94" s="558" t="s">
        <v>2294</v>
      </c>
    </row>
    <row r="95" spans="1:49" ht="122.4" customHeight="1" thickBot="1" x14ac:dyDescent="0.45">
      <c r="A95" s="261"/>
      <c r="B95" s="1342" t="s">
        <v>504</v>
      </c>
      <c r="C95" s="1147" t="s">
        <v>505</v>
      </c>
      <c r="D95" s="581" t="s">
        <v>501</v>
      </c>
      <c r="E95" s="269">
        <v>0.15</v>
      </c>
      <c r="F95" s="270">
        <v>6</v>
      </c>
      <c r="G95" s="289">
        <v>4</v>
      </c>
      <c r="H95" s="704">
        <v>0</v>
      </c>
      <c r="I95" s="290">
        <v>0</v>
      </c>
      <c r="J95" s="279">
        <f>+G95/F95</f>
        <v>0.66666666666666663</v>
      </c>
      <c r="K95" s="279">
        <f t="shared" si="60"/>
        <v>0</v>
      </c>
      <c r="L95" s="279"/>
      <c r="M95" s="280">
        <f>+(G95/F95)*E95</f>
        <v>9.9999999999999992E-2</v>
      </c>
      <c r="N95" s="280">
        <f t="shared" si="61"/>
        <v>0</v>
      </c>
      <c r="O95" s="280"/>
      <c r="P95" s="275">
        <v>5</v>
      </c>
      <c r="Q95" s="282"/>
      <c r="R95" s="276"/>
      <c r="S95" s="276"/>
      <c r="T95" s="276"/>
      <c r="U95" s="276">
        <v>1</v>
      </c>
      <c r="V95" s="601">
        <f t="shared" si="69"/>
        <v>1</v>
      </c>
      <c r="W95" s="719">
        <f t="shared" si="70"/>
        <v>6</v>
      </c>
      <c r="X95" s="1032"/>
      <c r="Y95" s="1032">
        <v>0</v>
      </c>
      <c r="Z95" s="289"/>
      <c r="AA95" s="289"/>
      <c r="AB95" s="939">
        <f t="shared" si="62"/>
        <v>0</v>
      </c>
      <c r="AC95" s="277">
        <v>1</v>
      </c>
      <c r="AD95" s="278"/>
      <c r="AE95" s="278"/>
      <c r="AF95" s="278">
        <f>+AC95*E95</f>
        <v>0.15</v>
      </c>
      <c r="AG95" s="278"/>
      <c r="AH95" s="278"/>
      <c r="AI95" s="278">
        <f>+P95/F95</f>
        <v>0.83333333333333337</v>
      </c>
      <c r="AJ95" s="278">
        <v>1</v>
      </c>
      <c r="AK95" s="278">
        <f t="shared" si="65"/>
        <v>1</v>
      </c>
      <c r="AL95" s="278">
        <f>+AI95*E95</f>
        <v>0.125</v>
      </c>
      <c r="AM95" s="278">
        <f t="shared" si="66"/>
        <v>0.15</v>
      </c>
      <c r="AN95" s="278">
        <f t="shared" si="67"/>
        <v>0.15</v>
      </c>
      <c r="AO95" s="532" t="s">
        <v>1844</v>
      </c>
      <c r="AP95" s="534" t="s">
        <v>1895</v>
      </c>
      <c r="AQ95" s="534" t="s">
        <v>1986</v>
      </c>
      <c r="AR95" s="754" t="s">
        <v>2011</v>
      </c>
      <c r="AS95" s="754" t="s">
        <v>2107</v>
      </c>
      <c r="AT95" s="754" t="s">
        <v>2139</v>
      </c>
      <c r="AU95" s="558" t="s">
        <v>2196</v>
      </c>
      <c r="AV95" s="558" t="s">
        <v>1887</v>
      </c>
      <c r="AW95" s="558" t="s">
        <v>2294</v>
      </c>
    </row>
    <row r="96" spans="1:49" ht="122.4" customHeight="1" thickBot="1" x14ac:dyDescent="0.45">
      <c r="A96" s="261"/>
      <c r="B96" s="1342" t="s">
        <v>506</v>
      </c>
      <c r="C96" s="1147" t="s">
        <v>507</v>
      </c>
      <c r="D96" s="309" t="s">
        <v>501</v>
      </c>
      <c r="E96" s="269">
        <v>0.15</v>
      </c>
      <c r="F96" s="270">
        <v>448800</v>
      </c>
      <c r="G96" s="289">
        <v>65000</v>
      </c>
      <c r="H96" s="704">
        <v>110000</v>
      </c>
      <c r="I96" s="290">
        <v>125000</v>
      </c>
      <c r="J96" s="279">
        <f>+G96/F96</f>
        <v>0.14483065953654189</v>
      </c>
      <c r="K96" s="279">
        <f t="shared" si="60"/>
        <v>0.24509803921568626</v>
      </c>
      <c r="L96" s="279">
        <f t="shared" si="68"/>
        <v>0.27852049910873439</v>
      </c>
      <c r="M96" s="280">
        <f>+(G96/F96)*E96</f>
        <v>2.1724598930481284E-2</v>
      </c>
      <c r="N96" s="280">
        <f t="shared" si="61"/>
        <v>3.6764705882352935E-2</v>
      </c>
      <c r="O96" s="280"/>
      <c r="P96" s="275">
        <v>79458</v>
      </c>
      <c r="Q96" s="282">
        <v>24490</v>
      </c>
      <c r="R96" s="276">
        <v>26060</v>
      </c>
      <c r="S96" s="276">
        <v>22190</v>
      </c>
      <c r="T96" s="276">
        <v>51750</v>
      </c>
      <c r="U96" s="276">
        <v>0</v>
      </c>
      <c r="V96" s="601">
        <f t="shared" si="69"/>
        <v>124490</v>
      </c>
      <c r="W96" s="719">
        <f t="shared" si="70"/>
        <v>260508</v>
      </c>
      <c r="X96" s="1032">
        <v>35548</v>
      </c>
      <c r="Y96" s="1032">
        <v>21012</v>
      </c>
      <c r="Z96" s="289"/>
      <c r="AA96" s="289"/>
      <c r="AB96" s="939">
        <f t="shared" si="62"/>
        <v>56560</v>
      </c>
      <c r="AC96" s="277">
        <v>1</v>
      </c>
      <c r="AD96" s="278">
        <v>1</v>
      </c>
      <c r="AE96" s="278">
        <f t="shared" si="63"/>
        <v>0.45247999999999999</v>
      </c>
      <c r="AF96" s="278">
        <f>+AC96*E96</f>
        <v>0.15</v>
      </c>
      <c r="AG96" s="278">
        <f>+AD96*E96</f>
        <v>0.15</v>
      </c>
      <c r="AH96" s="278">
        <f t="shared" si="64"/>
        <v>6.7872000000000002E-2</v>
      </c>
      <c r="AI96" s="278">
        <f>+P96/F96</f>
        <v>0.17704545454545453</v>
      </c>
      <c r="AJ96" s="278">
        <v>0.45442959001782529</v>
      </c>
      <c r="AK96" s="278">
        <f t="shared" si="65"/>
        <v>0.58045454545454545</v>
      </c>
      <c r="AL96" s="278">
        <f>+AI96*E96</f>
        <v>2.6556818181818178E-2</v>
      </c>
      <c r="AM96" s="278">
        <f t="shared" si="66"/>
        <v>6.8164438502673785E-2</v>
      </c>
      <c r="AN96" s="278">
        <f t="shared" si="67"/>
        <v>8.7068181818181808E-2</v>
      </c>
      <c r="AO96" s="532" t="s">
        <v>1844</v>
      </c>
      <c r="AP96" s="534" t="s">
        <v>1895</v>
      </c>
      <c r="AQ96" s="534" t="s">
        <v>1986</v>
      </c>
      <c r="AR96" s="754" t="s">
        <v>2011</v>
      </c>
      <c r="AS96" s="754" t="s">
        <v>2107</v>
      </c>
      <c r="AT96" s="754" t="s">
        <v>2139</v>
      </c>
      <c r="AU96" s="558" t="s">
        <v>2196</v>
      </c>
      <c r="AV96" s="558" t="s">
        <v>1887</v>
      </c>
      <c r="AW96" s="558" t="s">
        <v>2294</v>
      </c>
    </row>
    <row r="97" spans="1:49" ht="122.4" customHeight="1" thickBot="1" x14ac:dyDescent="0.45">
      <c r="A97" s="261"/>
      <c r="B97" s="1342" t="s">
        <v>508</v>
      </c>
      <c r="C97" s="1147" t="s">
        <v>509</v>
      </c>
      <c r="D97" s="581" t="s">
        <v>501</v>
      </c>
      <c r="E97" s="269">
        <v>0.15</v>
      </c>
      <c r="F97" s="270">
        <v>12296</v>
      </c>
      <c r="G97" s="289">
        <v>5000</v>
      </c>
      <c r="H97" s="704">
        <v>4000</v>
      </c>
      <c r="I97" s="290">
        <v>4845</v>
      </c>
      <c r="J97" s="279">
        <f>+G97/F97</f>
        <v>0.4066363044892648</v>
      </c>
      <c r="K97" s="279">
        <f t="shared" si="60"/>
        <v>0.32530904359141183</v>
      </c>
      <c r="L97" s="279">
        <f>+I97/F97</f>
        <v>0.39403057905009758</v>
      </c>
      <c r="M97" s="280">
        <f>+(G97/F97)*E97</f>
        <v>6.0995445673389714E-2</v>
      </c>
      <c r="N97" s="280">
        <f t="shared" si="61"/>
        <v>4.8796356538711776E-2</v>
      </c>
      <c r="O97" s="280"/>
      <c r="P97" s="275">
        <v>76</v>
      </c>
      <c r="Q97" s="282">
        <v>0</v>
      </c>
      <c r="R97" s="276">
        <v>0</v>
      </c>
      <c r="S97" s="276">
        <v>0</v>
      </c>
      <c r="T97" s="276">
        <v>0</v>
      </c>
      <c r="U97" s="276">
        <v>1004</v>
      </c>
      <c r="V97" s="601">
        <f t="shared" si="69"/>
        <v>1004</v>
      </c>
      <c r="W97" s="719">
        <f>+V97+P97+AB97+6401</f>
        <v>8543</v>
      </c>
      <c r="X97" s="1032">
        <v>432</v>
      </c>
      <c r="Y97" s="1032">
        <v>630</v>
      </c>
      <c r="Z97" s="289"/>
      <c r="AA97" s="289"/>
      <c r="AB97" s="939">
        <f t="shared" si="62"/>
        <v>1062</v>
      </c>
      <c r="AC97" s="277">
        <v>1</v>
      </c>
      <c r="AD97" s="278">
        <f>+V97/H97</f>
        <v>0.251</v>
      </c>
      <c r="AE97" s="278">
        <f>+AB97/I97</f>
        <v>0.21919504643962848</v>
      </c>
      <c r="AF97" s="278">
        <f>+AC97*E97</f>
        <v>0.15</v>
      </c>
      <c r="AG97" s="278">
        <f>+AD97*E97</f>
        <v>3.7649999999999996E-2</v>
      </c>
      <c r="AH97" s="278">
        <f t="shared" si="64"/>
        <v>3.2879256965944272E-2</v>
      </c>
      <c r="AI97" s="278">
        <f>+P97/F97</f>
        <v>6.1808718282368247E-3</v>
      </c>
      <c r="AJ97" s="478">
        <v>0.61231294729993491</v>
      </c>
      <c r="AK97" s="478">
        <f>+W97/F97</f>
        <v>0.69477878985035779</v>
      </c>
      <c r="AL97" s="478">
        <f>+AI97*E97</f>
        <v>9.2713077423552364E-4</v>
      </c>
      <c r="AM97" s="478">
        <f t="shared" si="66"/>
        <v>9.1846942094990239E-2</v>
      </c>
      <c r="AN97" s="478">
        <f t="shared" si="67"/>
        <v>0.10421681847755367</v>
      </c>
      <c r="AO97" s="532" t="s">
        <v>1844</v>
      </c>
      <c r="AP97" s="534" t="s">
        <v>1895</v>
      </c>
      <c r="AQ97" s="534" t="s">
        <v>1986</v>
      </c>
      <c r="AR97" s="754" t="s">
        <v>2011</v>
      </c>
      <c r="AS97" s="754" t="s">
        <v>2107</v>
      </c>
      <c r="AT97" s="754" t="s">
        <v>2139</v>
      </c>
      <c r="AU97" s="558" t="s">
        <v>2196</v>
      </c>
      <c r="AV97" s="558" t="s">
        <v>1887</v>
      </c>
      <c r="AW97" s="558" t="s">
        <v>2294</v>
      </c>
    </row>
    <row r="98" spans="1:49" ht="122.4" customHeight="1" thickBot="1" x14ac:dyDescent="0.45">
      <c r="A98" s="261"/>
      <c r="B98" s="1342" t="s">
        <v>510</v>
      </c>
      <c r="C98" s="1147" t="s">
        <v>511</v>
      </c>
      <c r="D98" s="309" t="s">
        <v>501</v>
      </c>
      <c r="E98" s="269">
        <v>0.1</v>
      </c>
      <c r="F98" s="270">
        <v>592</v>
      </c>
      <c r="G98" s="289">
        <v>0</v>
      </c>
      <c r="H98" s="704">
        <v>115</v>
      </c>
      <c r="I98" s="290">
        <v>243</v>
      </c>
      <c r="J98" s="279"/>
      <c r="K98" s="279">
        <f t="shared" si="60"/>
        <v>0.19425675675675674</v>
      </c>
      <c r="L98" s="279">
        <f t="shared" si="68"/>
        <v>0.41047297297297297</v>
      </c>
      <c r="M98" s="280"/>
      <c r="N98" s="280">
        <f t="shared" si="61"/>
        <v>1.9425675675675675E-2</v>
      </c>
      <c r="O98" s="280"/>
      <c r="P98" s="275"/>
      <c r="Q98" s="282">
        <v>0</v>
      </c>
      <c r="R98" s="276">
        <v>0</v>
      </c>
      <c r="S98" s="276">
        <v>0</v>
      </c>
      <c r="T98" s="276">
        <v>0</v>
      </c>
      <c r="U98" s="276">
        <v>162</v>
      </c>
      <c r="V98" s="601">
        <f>+Q98+R98+S98+T98+U98</f>
        <v>162</v>
      </c>
      <c r="W98" s="719">
        <f t="shared" si="70"/>
        <v>324</v>
      </c>
      <c r="X98" s="1032">
        <v>162</v>
      </c>
      <c r="Y98" s="1032">
        <v>0</v>
      </c>
      <c r="Z98" s="289"/>
      <c r="AA98" s="289"/>
      <c r="AB98" s="939">
        <f t="shared" si="62"/>
        <v>162</v>
      </c>
      <c r="AC98" s="277"/>
      <c r="AD98" s="278">
        <v>1</v>
      </c>
      <c r="AE98" s="278">
        <f t="shared" si="63"/>
        <v>0.66666666666666663</v>
      </c>
      <c r="AF98" s="278"/>
      <c r="AG98" s="278">
        <f>+AD98*E98</f>
        <v>0.1</v>
      </c>
      <c r="AH98" s="278">
        <f t="shared" si="64"/>
        <v>6.6666666666666666E-2</v>
      </c>
      <c r="AI98" s="278">
        <v>0</v>
      </c>
      <c r="AJ98" s="278">
        <v>0.27364864864864863</v>
      </c>
      <c r="AK98" s="278">
        <f t="shared" si="65"/>
        <v>0.54729729729729726</v>
      </c>
      <c r="AL98" s="278"/>
      <c r="AM98" s="278">
        <f t="shared" si="66"/>
        <v>2.7364864864864863E-2</v>
      </c>
      <c r="AN98" s="278">
        <f t="shared" si="67"/>
        <v>5.4729729729729726E-2</v>
      </c>
      <c r="AO98" s="532" t="s">
        <v>1844</v>
      </c>
      <c r="AP98" s="599" t="s">
        <v>1913</v>
      </c>
      <c r="AQ98" s="534" t="s">
        <v>1986</v>
      </c>
      <c r="AR98" s="754" t="s">
        <v>2011</v>
      </c>
      <c r="AS98" s="754" t="s">
        <v>2107</v>
      </c>
      <c r="AT98" s="754" t="s">
        <v>2139</v>
      </c>
      <c r="AU98" s="558" t="s">
        <v>2196</v>
      </c>
      <c r="AV98" s="558" t="s">
        <v>1887</v>
      </c>
      <c r="AW98" s="558" t="s">
        <v>2294</v>
      </c>
    </row>
    <row r="99" spans="1:49" ht="122.4" customHeight="1" thickBot="1" x14ac:dyDescent="0.45">
      <c r="A99" s="261"/>
      <c r="B99" s="1342" t="s">
        <v>512</v>
      </c>
      <c r="C99" s="1147" t="s">
        <v>513</v>
      </c>
      <c r="D99" s="309" t="s">
        <v>501</v>
      </c>
      <c r="E99" s="269">
        <v>0.05</v>
      </c>
      <c r="F99" s="270">
        <v>45</v>
      </c>
      <c r="G99" s="289">
        <v>0</v>
      </c>
      <c r="H99" s="704">
        <v>15</v>
      </c>
      <c r="I99" s="290">
        <v>45</v>
      </c>
      <c r="J99" s="279"/>
      <c r="K99" s="279">
        <f t="shared" si="60"/>
        <v>0.33333333333333331</v>
      </c>
      <c r="L99" s="279">
        <f t="shared" si="68"/>
        <v>1</v>
      </c>
      <c r="M99" s="280"/>
      <c r="N99" s="280">
        <f t="shared" si="61"/>
        <v>1.6666666666666666E-2</v>
      </c>
      <c r="O99" s="280"/>
      <c r="P99" s="275"/>
      <c r="Q99" s="282"/>
      <c r="R99" s="276">
        <v>0</v>
      </c>
      <c r="S99" s="276">
        <v>0</v>
      </c>
      <c r="T99" s="276">
        <v>0</v>
      </c>
      <c r="U99" s="276">
        <v>45</v>
      </c>
      <c r="V99" s="601">
        <f t="shared" si="69"/>
        <v>45</v>
      </c>
      <c r="W99" s="719">
        <f t="shared" si="70"/>
        <v>90</v>
      </c>
      <c r="X99" s="1032">
        <v>45</v>
      </c>
      <c r="Y99" s="1032">
        <v>0</v>
      </c>
      <c r="Z99" s="289"/>
      <c r="AA99" s="289"/>
      <c r="AB99" s="939">
        <f t="shared" si="62"/>
        <v>45</v>
      </c>
      <c r="AC99" s="277"/>
      <c r="AD99" s="278">
        <v>1</v>
      </c>
      <c r="AE99" s="278">
        <f t="shared" si="63"/>
        <v>1</v>
      </c>
      <c r="AF99" s="278"/>
      <c r="AG99" s="278">
        <f>+AD99*E99</f>
        <v>0.05</v>
      </c>
      <c r="AH99" s="278">
        <f t="shared" si="64"/>
        <v>0.05</v>
      </c>
      <c r="AI99" s="278">
        <v>0</v>
      </c>
      <c r="AJ99" s="278">
        <v>1</v>
      </c>
      <c r="AK99" s="278">
        <v>1</v>
      </c>
      <c r="AL99" s="278"/>
      <c r="AM99" s="278">
        <f t="shared" si="66"/>
        <v>0.05</v>
      </c>
      <c r="AN99" s="278">
        <f t="shared" si="67"/>
        <v>0.05</v>
      </c>
      <c r="AO99" s="532" t="s">
        <v>1844</v>
      </c>
      <c r="AP99" s="534" t="s">
        <v>1895</v>
      </c>
      <c r="AQ99" s="534" t="s">
        <v>1986</v>
      </c>
      <c r="AR99" s="754" t="s">
        <v>2011</v>
      </c>
      <c r="AS99" s="754" t="s">
        <v>2107</v>
      </c>
      <c r="AT99" s="754" t="s">
        <v>2139</v>
      </c>
      <c r="AU99" s="558" t="s">
        <v>2196</v>
      </c>
      <c r="AV99" s="558" t="s">
        <v>1887</v>
      </c>
      <c r="AW99" s="558" t="s">
        <v>2294</v>
      </c>
    </row>
    <row r="100" spans="1:49" ht="262.2" customHeight="1" thickBot="1" x14ac:dyDescent="0.45">
      <c r="A100" s="261"/>
      <c r="B100" s="1342" t="s">
        <v>514</v>
      </c>
      <c r="C100" s="1147" t="s">
        <v>515</v>
      </c>
      <c r="D100" s="309" t="s">
        <v>516</v>
      </c>
      <c r="E100" s="269">
        <v>0.05</v>
      </c>
      <c r="F100" s="310">
        <f>699282*4</f>
        <v>2797128</v>
      </c>
      <c r="G100" s="289">
        <f>246152+171307+281823</f>
        <v>699282</v>
      </c>
      <c r="H100" s="704">
        <v>699282</v>
      </c>
      <c r="I100" s="290">
        <v>699282</v>
      </c>
      <c r="J100" s="279">
        <f>+G100/F100</f>
        <v>0.25</v>
      </c>
      <c r="K100" s="279">
        <f t="shared" si="60"/>
        <v>0.25</v>
      </c>
      <c r="L100" s="279">
        <f t="shared" si="68"/>
        <v>0.25</v>
      </c>
      <c r="M100" s="280">
        <f>+(G100/F100)*E100</f>
        <v>1.2500000000000001E-2</v>
      </c>
      <c r="N100" s="280">
        <f t="shared" si="61"/>
        <v>1.2500000000000001E-2</v>
      </c>
      <c r="O100" s="280"/>
      <c r="P100" s="275">
        <f>246152+171307+281823</f>
        <v>699282</v>
      </c>
      <c r="Q100" s="282">
        <v>174820.5</v>
      </c>
      <c r="R100" s="282">
        <v>174820.5</v>
      </c>
      <c r="S100" s="282">
        <v>174821</v>
      </c>
      <c r="T100" s="282">
        <v>174821</v>
      </c>
      <c r="U100" s="282"/>
      <c r="V100" s="601">
        <f>+Q100+R100+S100+T100+U100</f>
        <v>699283</v>
      </c>
      <c r="W100" s="719">
        <f t="shared" si="70"/>
        <v>1748205.75</v>
      </c>
      <c r="X100" s="1040">
        <v>174820.75</v>
      </c>
      <c r="Y100" s="1040">
        <v>174820</v>
      </c>
      <c r="Z100" s="937"/>
      <c r="AA100" s="937"/>
      <c r="AB100" s="939">
        <f t="shared" si="62"/>
        <v>349640.75</v>
      </c>
      <c r="AC100" s="277">
        <f>+(P100/G100)</f>
        <v>1</v>
      </c>
      <c r="AD100" s="278">
        <v>1</v>
      </c>
      <c r="AE100" s="278">
        <f t="shared" si="63"/>
        <v>0.49999964249044021</v>
      </c>
      <c r="AF100" s="278">
        <f>+AC100*E100</f>
        <v>0.05</v>
      </c>
      <c r="AG100" s="278">
        <f>+AD100*E100</f>
        <v>0.05</v>
      </c>
      <c r="AH100" s="278">
        <f t="shared" si="64"/>
        <v>2.4999982124522011E-2</v>
      </c>
      <c r="AI100" s="278">
        <f>+P100/F100</f>
        <v>0.25</v>
      </c>
      <c r="AJ100" s="283">
        <v>0.47916630915710684</v>
      </c>
      <c r="AK100" s="283">
        <f t="shared" si="65"/>
        <v>0.6250002681321698</v>
      </c>
      <c r="AL100" s="278">
        <f>+AI100*E100</f>
        <v>1.2500000000000001E-2</v>
      </c>
      <c r="AM100" s="278">
        <f t="shared" si="66"/>
        <v>2.3958315457855345E-2</v>
      </c>
      <c r="AN100" s="278">
        <f t="shared" si="67"/>
        <v>3.125001340660849E-2</v>
      </c>
      <c r="AO100" s="532" t="s">
        <v>1844</v>
      </c>
      <c r="AP100" s="599" t="s">
        <v>1936</v>
      </c>
      <c r="AQ100" s="534" t="s">
        <v>1986</v>
      </c>
      <c r="AR100" s="754" t="s">
        <v>2011</v>
      </c>
      <c r="AS100" s="754" t="s">
        <v>2107</v>
      </c>
      <c r="AT100" s="754" t="s">
        <v>2139</v>
      </c>
      <c r="AU100" s="558" t="s">
        <v>2196</v>
      </c>
      <c r="AV100" s="558" t="s">
        <v>1887</v>
      </c>
      <c r="AW100" s="558" t="s">
        <v>2294</v>
      </c>
    </row>
    <row r="101" spans="1:49" ht="122.4" customHeight="1" thickBot="1" x14ac:dyDescent="0.55000000000000004">
      <c r="A101" s="261"/>
      <c r="B101" s="1339" t="s">
        <v>1654</v>
      </c>
      <c r="C101" s="1340"/>
      <c r="D101" s="309"/>
      <c r="E101" s="266">
        <v>0.35</v>
      </c>
      <c r="F101" s="270"/>
      <c r="G101" s="289"/>
      <c r="H101" s="704"/>
      <c r="I101" s="290"/>
      <c r="J101" s="286">
        <f>+AVERAGE(J102:J105)</f>
        <v>0.11488095238095238</v>
      </c>
      <c r="K101" s="286">
        <f>+AVERAGE(K102:K105)</f>
        <v>0.27142857142857141</v>
      </c>
      <c r="L101" s="286">
        <f>+AVERAGE(L102:L105)</f>
        <v>0.32299107142857142</v>
      </c>
      <c r="M101" s="287">
        <f>+M102+M103+M104+M105</f>
        <v>8.6160714285714285E-2</v>
      </c>
      <c r="N101" s="287">
        <f>+N102+N103+N104+N105</f>
        <v>0.20357142857142857</v>
      </c>
      <c r="O101" s="287"/>
      <c r="P101" s="275"/>
      <c r="Q101" s="288"/>
      <c r="R101" s="288"/>
      <c r="S101" s="288"/>
      <c r="T101" s="288"/>
      <c r="U101" s="288"/>
      <c r="V101" s="288"/>
      <c r="W101" s="288"/>
      <c r="X101" s="936"/>
      <c r="Y101" s="936"/>
      <c r="Z101" s="936"/>
      <c r="AA101" s="936"/>
      <c r="AB101" s="936"/>
      <c r="AC101" s="476">
        <f>+AVERAGE(AC102:AC105)</f>
        <v>0.61904761904761907</v>
      </c>
      <c r="AD101" s="476">
        <f>+AVERAGE(AD102:AD105)</f>
        <v>0.66666666666666663</v>
      </c>
      <c r="AE101" s="476">
        <f>+AVERAGE(AE102:AE105)</f>
        <v>0.92959183673469381</v>
      </c>
      <c r="AF101" s="307">
        <f>+(AF102+AF103+AF104+AF105)*E101</f>
        <v>0.16250000000000001</v>
      </c>
      <c r="AG101" s="307">
        <f>+(AG102+AG103+AG104+AG105)*E101</f>
        <v>0.17499999999999999</v>
      </c>
      <c r="AH101" s="307">
        <f>+(AH102+AH103+AH104+AH105)*E101</f>
        <v>0.32535714285714279</v>
      </c>
      <c r="AI101" s="268">
        <f>+AVERAGE(AI102:AI105)</f>
        <v>7.9904761904761909E-2</v>
      </c>
      <c r="AJ101" s="268">
        <v>0.28676190476190477</v>
      </c>
      <c r="AK101" s="268">
        <f>+AVERAGE(AK102:AK105)</f>
        <v>0.77374999999999994</v>
      </c>
      <c r="AL101" s="268">
        <f>+(AL102+AL103+AL104+AL105)*E101</f>
        <v>2.0974999999999997E-2</v>
      </c>
      <c r="AM101" s="268">
        <f>+(AM102+AM103+AM104+AM105)</f>
        <v>0.26678571428571429</v>
      </c>
      <c r="AN101" s="268">
        <f>+(AN102+AN103+AN104+AN105)</f>
        <v>0.77374999999999994</v>
      </c>
      <c r="AO101" s="639"/>
      <c r="AP101" s="267"/>
      <c r="AQ101" s="267"/>
      <c r="AR101" s="267"/>
      <c r="AS101" s="267"/>
      <c r="AT101" s="755"/>
      <c r="AU101" s="752"/>
      <c r="AV101" s="755"/>
    </row>
    <row r="102" spans="1:49" ht="122.4" customHeight="1" thickBot="1" x14ac:dyDescent="0.45">
      <c r="A102" s="261"/>
      <c r="B102" s="1342" t="s">
        <v>517</v>
      </c>
      <c r="C102" s="1147" t="s">
        <v>518</v>
      </c>
      <c r="D102" s="581" t="s">
        <v>501</v>
      </c>
      <c r="E102" s="269">
        <v>0.25</v>
      </c>
      <c r="F102" s="270">
        <v>7000</v>
      </c>
      <c r="G102" s="289">
        <v>400</v>
      </c>
      <c r="H102" s="704">
        <v>2200</v>
      </c>
      <c r="I102" s="290">
        <v>2000</v>
      </c>
      <c r="J102" s="279">
        <f>+G102/F102</f>
        <v>5.7142857142857141E-2</v>
      </c>
      <c r="K102" s="279">
        <f t="shared" si="60"/>
        <v>0.31428571428571428</v>
      </c>
      <c r="L102" s="279">
        <f t="shared" si="68"/>
        <v>0.2857142857142857</v>
      </c>
      <c r="M102" s="280">
        <f>+(G102/F102)*E102</f>
        <v>1.4285714285714285E-2</v>
      </c>
      <c r="N102" s="280">
        <f t="shared" si="61"/>
        <v>7.857142857142857E-2</v>
      </c>
      <c r="O102" s="280"/>
      <c r="P102" s="275">
        <v>1153</v>
      </c>
      <c r="Q102" s="282">
        <v>524</v>
      </c>
      <c r="R102" s="276">
        <v>528</v>
      </c>
      <c r="S102" s="276">
        <v>530</v>
      </c>
      <c r="T102" s="276">
        <v>1547</v>
      </c>
      <c r="U102" s="276">
        <v>870</v>
      </c>
      <c r="V102" s="601">
        <f>+Q102+R102+S102+T102+U102</f>
        <v>3999</v>
      </c>
      <c r="W102" s="601">
        <f>+V102+P102+393+AB102</f>
        <v>9719</v>
      </c>
      <c r="X102" s="1032">
        <v>424</v>
      </c>
      <c r="Y102" s="1032">
        <v>3750</v>
      </c>
      <c r="Z102" s="289"/>
      <c r="AA102" s="289"/>
      <c r="AB102" s="289">
        <f t="shared" si="62"/>
        <v>4174</v>
      </c>
      <c r="AC102" s="277">
        <v>1</v>
      </c>
      <c r="AD102" s="278">
        <v>1</v>
      </c>
      <c r="AE102" s="278">
        <v>1</v>
      </c>
      <c r="AF102" s="278">
        <f>+AC102*E102</f>
        <v>0.25</v>
      </c>
      <c r="AG102" s="278">
        <f>+AD102*E102</f>
        <v>0.25</v>
      </c>
      <c r="AH102" s="278">
        <f t="shared" si="64"/>
        <v>0.25</v>
      </c>
      <c r="AI102" s="278">
        <f>+P102/F102</f>
        <v>0.1647142857142857</v>
      </c>
      <c r="AJ102" s="278">
        <v>0.79214285714285715</v>
      </c>
      <c r="AK102" s="278">
        <v>1</v>
      </c>
      <c r="AL102" s="278">
        <f>+AI102*E102</f>
        <v>4.1178571428571425E-2</v>
      </c>
      <c r="AM102" s="278">
        <f>+AJ102*E102</f>
        <v>0.19803571428571429</v>
      </c>
      <c r="AN102" s="278">
        <f t="shared" si="67"/>
        <v>0.25</v>
      </c>
      <c r="AO102" s="532" t="s">
        <v>1844</v>
      </c>
      <c r="AP102" s="534" t="s">
        <v>1895</v>
      </c>
      <c r="AQ102" s="534" t="s">
        <v>1986</v>
      </c>
      <c r="AR102" s="754" t="s">
        <v>2011</v>
      </c>
      <c r="AS102" s="754" t="s">
        <v>2107</v>
      </c>
      <c r="AT102" s="754" t="s">
        <v>2139</v>
      </c>
      <c r="AU102" s="558" t="s">
        <v>2196</v>
      </c>
      <c r="AV102" s="558" t="s">
        <v>1887</v>
      </c>
      <c r="AW102" s="558" t="s">
        <v>2294</v>
      </c>
    </row>
    <row r="103" spans="1:49" ht="122.4" customHeight="1" thickBot="1" x14ac:dyDescent="0.45">
      <c r="A103" s="261"/>
      <c r="B103" s="1342" t="s">
        <v>519</v>
      </c>
      <c r="C103" s="1147" t="s">
        <v>520</v>
      </c>
      <c r="D103" s="309" t="s">
        <v>501</v>
      </c>
      <c r="E103" s="269">
        <v>0.25</v>
      </c>
      <c r="F103" s="270">
        <v>800</v>
      </c>
      <c r="G103" s="289">
        <v>70</v>
      </c>
      <c r="H103" s="704">
        <v>240</v>
      </c>
      <c r="I103" s="290">
        <v>245</v>
      </c>
      <c r="J103" s="279">
        <f>+G103/F103</f>
        <v>8.7499999999999994E-2</v>
      </c>
      <c r="K103" s="279">
        <f t="shared" si="60"/>
        <v>0.3</v>
      </c>
      <c r="L103" s="279">
        <f t="shared" si="68"/>
        <v>0.30625000000000002</v>
      </c>
      <c r="M103" s="280">
        <f>+(G103/F103)*E103</f>
        <v>2.1874999999999999E-2</v>
      </c>
      <c r="N103" s="280">
        <f t="shared" si="61"/>
        <v>7.4999999999999997E-2</v>
      </c>
      <c r="O103" s="280"/>
      <c r="P103" s="275">
        <v>60</v>
      </c>
      <c r="Q103" s="282">
        <v>0</v>
      </c>
      <c r="R103" s="276">
        <v>0</v>
      </c>
      <c r="S103" s="276">
        <v>0</v>
      </c>
      <c r="T103" s="276">
        <v>0</v>
      </c>
      <c r="U103" s="276">
        <v>0</v>
      </c>
      <c r="V103" s="601">
        <f t="shared" ref="V103:V105" si="71">+Q103+R103+S103+T103+U103</f>
        <v>0</v>
      </c>
      <c r="W103" s="601">
        <f>+V103+P103+AB103</f>
        <v>236</v>
      </c>
      <c r="X103" s="1032">
        <v>53</v>
      </c>
      <c r="Y103" s="1032">
        <v>123</v>
      </c>
      <c r="Z103" s="289"/>
      <c r="AA103" s="289"/>
      <c r="AB103" s="289">
        <f t="shared" si="62"/>
        <v>176</v>
      </c>
      <c r="AC103" s="277">
        <f>+(P103/G103)</f>
        <v>0.8571428571428571</v>
      </c>
      <c r="AD103" s="278">
        <f>+V103/H103</f>
        <v>0</v>
      </c>
      <c r="AE103" s="278">
        <f t="shared" si="63"/>
        <v>0.71836734693877546</v>
      </c>
      <c r="AF103" s="278">
        <f>+AC103*E103</f>
        <v>0.21428571428571427</v>
      </c>
      <c r="AG103" s="278">
        <f>+AD103*E103</f>
        <v>0</v>
      </c>
      <c r="AH103" s="278">
        <f t="shared" si="64"/>
        <v>0.17959183673469387</v>
      </c>
      <c r="AI103" s="278">
        <f>+P103/F103</f>
        <v>7.4999999999999997E-2</v>
      </c>
      <c r="AJ103" s="278">
        <v>7.4999999999999997E-2</v>
      </c>
      <c r="AK103" s="278">
        <f t="shared" si="65"/>
        <v>0.29499999999999998</v>
      </c>
      <c r="AL103" s="278">
        <f>+AI103*E103</f>
        <v>1.8749999999999999E-2</v>
      </c>
      <c r="AM103" s="278">
        <f t="shared" ref="AM103:AM105" si="72">+AJ103*E103</f>
        <v>1.8749999999999999E-2</v>
      </c>
      <c r="AN103" s="278">
        <f t="shared" si="67"/>
        <v>7.3749999999999996E-2</v>
      </c>
      <c r="AO103" s="532" t="s">
        <v>1844</v>
      </c>
      <c r="AP103" s="534" t="s">
        <v>1895</v>
      </c>
      <c r="AQ103" s="534" t="s">
        <v>1986</v>
      </c>
      <c r="AR103" s="754" t="s">
        <v>2011</v>
      </c>
      <c r="AS103" s="754" t="s">
        <v>2107</v>
      </c>
      <c r="AT103" s="754" t="s">
        <v>2139</v>
      </c>
      <c r="AU103" s="558" t="s">
        <v>2196</v>
      </c>
      <c r="AV103" s="558" t="s">
        <v>1887</v>
      </c>
      <c r="AW103" s="558" t="s">
        <v>2294</v>
      </c>
    </row>
    <row r="104" spans="1:49" ht="122.4" customHeight="1" thickBot="1" x14ac:dyDescent="0.45">
      <c r="A104" s="261"/>
      <c r="B104" s="1342" t="s">
        <v>521</v>
      </c>
      <c r="C104" s="1147" t="s">
        <v>522</v>
      </c>
      <c r="D104" s="309" t="s">
        <v>516</v>
      </c>
      <c r="E104" s="269">
        <v>0.25</v>
      </c>
      <c r="F104" s="270">
        <v>5</v>
      </c>
      <c r="G104" s="289">
        <v>1</v>
      </c>
      <c r="H104" s="704">
        <v>1</v>
      </c>
      <c r="I104" s="290">
        <v>1</v>
      </c>
      <c r="J104" s="279">
        <f>+G104/F104</f>
        <v>0.2</v>
      </c>
      <c r="K104" s="279">
        <f t="shared" si="60"/>
        <v>0.2</v>
      </c>
      <c r="L104" s="279">
        <f t="shared" si="68"/>
        <v>0.2</v>
      </c>
      <c r="M104" s="280">
        <f>+(G104/F104)*E104</f>
        <v>0.05</v>
      </c>
      <c r="N104" s="280">
        <f t="shared" si="61"/>
        <v>0.05</v>
      </c>
      <c r="O104" s="280"/>
      <c r="P104" s="275">
        <v>0</v>
      </c>
      <c r="Q104" s="282">
        <v>0</v>
      </c>
      <c r="R104" s="276">
        <v>0</v>
      </c>
      <c r="S104" s="276">
        <v>0</v>
      </c>
      <c r="T104" s="276">
        <v>0</v>
      </c>
      <c r="U104" s="276">
        <v>1</v>
      </c>
      <c r="V104" s="601">
        <f t="shared" si="71"/>
        <v>1</v>
      </c>
      <c r="W104" s="601">
        <f t="shared" ref="W104" si="73">+V104+P104+AB104</f>
        <v>4</v>
      </c>
      <c r="X104" s="1032">
        <v>0</v>
      </c>
      <c r="Y104" s="1032">
        <v>3</v>
      </c>
      <c r="Z104" s="289"/>
      <c r="AA104" s="289"/>
      <c r="AB104" s="289">
        <f t="shared" si="62"/>
        <v>3</v>
      </c>
      <c r="AC104" s="277">
        <f>+(P104/G104)</f>
        <v>0</v>
      </c>
      <c r="AD104" s="278">
        <f>+V104/H104</f>
        <v>1</v>
      </c>
      <c r="AE104" s="278">
        <v>1</v>
      </c>
      <c r="AF104" s="278">
        <f>+AC104*E104</f>
        <v>0</v>
      </c>
      <c r="AG104" s="278">
        <f>+AD104*E104</f>
        <v>0.25</v>
      </c>
      <c r="AH104" s="278">
        <f t="shared" si="64"/>
        <v>0.25</v>
      </c>
      <c r="AI104" s="278">
        <f>+P104/F104</f>
        <v>0</v>
      </c>
      <c r="AJ104" s="278">
        <v>0.2</v>
      </c>
      <c r="AK104" s="278">
        <f t="shared" si="65"/>
        <v>0.8</v>
      </c>
      <c r="AL104" s="278">
        <f>+AI104*E104</f>
        <v>0</v>
      </c>
      <c r="AM104" s="278">
        <f t="shared" si="72"/>
        <v>0.05</v>
      </c>
      <c r="AN104" s="278">
        <f t="shared" si="67"/>
        <v>0.2</v>
      </c>
      <c r="AO104" s="532" t="s">
        <v>1844</v>
      </c>
      <c r="AP104" s="534" t="s">
        <v>1895</v>
      </c>
      <c r="AQ104" s="534" t="s">
        <v>1986</v>
      </c>
      <c r="AR104" s="754" t="s">
        <v>2011</v>
      </c>
      <c r="AS104" s="754" t="s">
        <v>2107</v>
      </c>
      <c r="AT104" s="754" t="s">
        <v>2139</v>
      </c>
      <c r="AU104" s="558" t="s">
        <v>2196</v>
      </c>
      <c r="AV104" s="558" t="s">
        <v>1887</v>
      </c>
      <c r="AW104" s="599" t="s">
        <v>1859</v>
      </c>
    </row>
    <row r="105" spans="1:49" ht="143.4" customHeight="1" thickBot="1" x14ac:dyDescent="0.45">
      <c r="A105" s="261"/>
      <c r="B105" s="1342" t="s">
        <v>523</v>
      </c>
      <c r="C105" s="1147" t="s">
        <v>524</v>
      </c>
      <c r="D105" s="309" t="s">
        <v>516</v>
      </c>
      <c r="E105" s="269">
        <v>0.25</v>
      </c>
      <c r="F105" s="270">
        <v>6</v>
      </c>
      <c r="G105" s="289">
        <v>0</v>
      </c>
      <c r="H105" s="704">
        <v>0</v>
      </c>
      <c r="I105" s="290">
        <v>3</v>
      </c>
      <c r="J105" s="279"/>
      <c r="K105" s="279"/>
      <c r="L105" s="279">
        <f t="shared" si="68"/>
        <v>0.5</v>
      </c>
      <c r="M105" s="280"/>
      <c r="N105" s="280"/>
      <c r="O105" s="280"/>
      <c r="P105" s="275"/>
      <c r="Q105" s="282"/>
      <c r="R105" s="276"/>
      <c r="S105" s="276"/>
      <c r="T105" s="276"/>
      <c r="U105" s="276"/>
      <c r="V105" s="601">
        <f t="shared" si="71"/>
        <v>0</v>
      </c>
      <c r="W105" s="601">
        <f>+V105+P105+AB105</f>
        <v>46</v>
      </c>
      <c r="X105" s="1032">
        <v>46</v>
      </c>
      <c r="Y105" s="1032">
        <v>0</v>
      </c>
      <c r="Z105" s="289"/>
      <c r="AA105" s="289"/>
      <c r="AB105" s="289">
        <f t="shared" si="62"/>
        <v>46</v>
      </c>
      <c r="AC105" s="277"/>
      <c r="AD105" s="278"/>
      <c r="AE105" s="278">
        <v>1</v>
      </c>
      <c r="AF105" s="278"/>
      <c r="AG105" s="278"/>
      <c r="AH105" s="278">
        <f t="shared" si="64"/>
        <v>0.25</v>
      </c>
      <c r="AI105" s="278"/>
      <c r="AJ105" s="278"/>
      <c r="AK105" s="278">
        <v>1</v>
      </c>
      <c r="AL105" s="278"/>
      <c r="AM105" s="278">
        <f t="shared" si="72"/>
        <v>0</v>
      </c>
      <c r="AN105" s="278">
        <f t="shared" si="67"/>
        <v>0.25</v>
      </c>
      <c r="AO105" s="532" t="s">
        <v>1844</v>
      </c>
      <c r="AP105" s="534" t="s">
        <v>1895</v>
      </c>
      <c r="AQ105" s="534" t="s">
        <v>1986</v>
      </c>
      <c r="AR105" s="754" t="s">
        <v>2011</v>
      </c>
      <c r="AS105" s="754" t="s">
        <v>2107</v>
      </c>
      <c r="AT105" s="754" t="s">
        <v>2139</v>
      </c>
      <c r="AU105" s="558" t="s">
        <v>2196</v>
      </c>
      <c r="AV105" s="558" t="s">
        <v>1887</v>
      </c>
      <c r="AW105" s="558" t="s">
        <v>2294</v>
      </c>
    </row>
    <row r="106" spans="1:49" ht="127.8" customHeight="1" thickBot="1" x14ac:dyDescent="0.55000000000000004">
      <c r="A106" s="261"/>
      <c r="B106" s="1339" t="s">
        <v>1655</v>
      </c>
      <c r="C106" s="1340"/>
      <c r="D106" s="309"/>
      <c r="E106" s="266">
        <v>0.3</v>
      </c>
      <c r="F106" s="270"/>
      <c r="G106" s="289"/>
      <c r="H106" s="704"/>
      <c r="I106" s="290"/>
      <c r="J106" s="286">
        <f>+AVERAGE(J107:J118)</f>
        <v>0.625</v>
      </c>
      <c r="K106" s="286">
        <f>+AVERAGE(K107:K118)</f>
        <v>0.63047619047619041</v>
      </c>
      <c r="L106" s="286">
        <f>+AVERAGE(L107:L118)</f>
        <v>0.57985761904761901</v>
      </c>
      <c r="M106" s="287">
        <f>+M107+M108+M109+M110+M111+M112+M113+M114+M115+M116+M117+M118</f>
        <v>0.125</v>
      </c>
      <c r="N106" s="287">
        <f>+N107+N108+N109+N110+N111+N112+N113+N114+N115+N116+N117+N118</f>
        <v>0.21633333333333332</v>
      </c>
      <c r="O106" s="287"/>
      <c r="P106" s="275"/>
      <c r="Q106" s="288"/>
      <c r="R106" s="288"/>
      <c r="S106" s="288"/>
      <c r="T106" s="288"/>
      <c r="U106" s="288"/>
      <c r="V106" s="288"/>
      <c r="W106" s="288"/>
      <c r="X106" s="936"/>
      <c r="Y106" s="936"/>
      <c r="Z106" s="936"/>
      <c r="AA106" s="936"/>
      <c r="AB106" s="936"/>
      <c r="AC106" s="476">
        <f>+AVERAGE(AC107:AC118)</f>
        <v>0.9</v>
      </c>
      <c r="AD106" s="476">
        <f>+AVERAGE(AD107:AD118)</f>
        <v>0.60785353535353537</v>
      </c>
      <c r="AE106" s="476">
        <f>+AVERAGE(AE107:AE118)</f>
        <v>0.45617333182668657</v>
      </c>
      <c r="AF106" s="307">
        <f>+(AF107+AF108+AF109+AF110+AF111+AF112+AF113+AF114+AF115+AF116+AF117+AF118)*E106</f>
        <v>5.4000000000000006E-2</v>
      </c>
      <c r="AG106" s="307">
        <f>+(AG107+AG108+AG109+AG110+AG111+AG112+AG113+AG114+AG115+AG116+AG117+AG118)*E106</f>
        <v>8.9913636363636362E-2</v>
      </c>
      <c r="AH106" s="307">
        <f>+(AH107+AH108+AH109+AH110+AH111+AH112+AH113+AH114+AH115+AH116+AH117+AH118)*E106</f>
        <v>0.10948159963840479</v>
      </c>
      <c r="AI106" s="268">
        <v>0.125</v>
      </c>
      <c r="AJ106" s="268">
        <v>0.32765694444444443</v>
      </c>
      <c r="AK106" s="268">
        <f>+AVERAGE(AK107:AK118)</f>
        <v>0.45015138888888889</v>
      </c>
      <c r="AL106" s="268">
        <f>+(AL107+AL108+AL109+AL110+AL111+AL112+AL113+AL114+AL115+AL116+AL117+AL118)*E106</f>
        <v>3.6000000000000004E-2</v>
      </c>
      <c r="AM106" s="946">
        <f>+(AM107+AM108+AM109+AM110+AM111+AM112+AM113+AM114+AM115+AM116+AM117+AM118)</f>
        <v>0.35318833333333338</v>
      </c>
      <c r="AN106" s="268">
        <f>+(AN107+AN108+AN109+AN110+AN111+AN112+AN113+AN114+AN115+AN116+AN117+AN118)</f>
        <v>0.50018166666666664</v>
      </c>
      <c r="AO106" s="347" t="s">
        <v>1587</v>
      </c>
      <c r="AP106" s="267"/>
      <c r="AQ106" s="267"/>
      <c r="AR106" s="267"/>
      <c r="AS106" s="267"/>
      <c r="AT106" s="755"/>
      <c r="AU106" s="752"/>
      <c r="AV106" s="755"/>
    </row>
    <row r="107" spans="1:49" ht="122.4" customHeight="1" thickBot="1" x14ac:dyDescent="0.55000000000000004">
      <c r="A107" s="261"/>
      <c r="B107" s="1342" t="s">
        <v>525</v>
      </c>
      <c r="C107" s="1147" t="s">
        <v>526</v>
      </c>
      <c r="D107" s="309" t="s">
        <v>516</v>
      </c>
      <c r="E107" s="269">
        <v>0.1</v>
      </c>
      <c r="F107" s="270">
        <v>1</v>
      </c>
      <c r="G107" s="289">
        <v>1</v>
      </c>
      <c r="H107" s="704">
        <v>1</v>
      </c>
      <c r="I107" s="290">
        <v>0</v>
      </c>
      <c r="J107" s="279">
        <f>+G107/F107</f>
        <v>1</v>
      </c>
      <c r="K107" s="279">
        <f t="shared" si="60"/>
        <v>1</v>
      </c>
      <c r="L107" s="279"/>
      <c r="M107" s="280">
        <f>+(G107/F107)*E107</f>
        <v>0.1</v>
      </c>
      <c r="N107" s="280"/>
      <c r="O107" s="280"/>
      <c r="P107" s="275">
        <v>1</v>
      </c>
      <c r="Q107" s="282"/>
      <c r="R107" s="276"/>
      <c r="S107" s="276"/>
      <c r="T107" s="276"/>
      <c r="U107" s="276"/>
      <c r="V107" s="601">
        <f>+Q107+R107+S107+T107+U107</f>
        <v>0</v>
      </c>
      <c r="W107" s="601">
        <f>+V107+P107+AB107</f>
        <v>2</v>
      </c>
      <c r="X107" s="1032"/>
      <c r="Y107" s="1032">
        <v>1</v>
      </c>
      <c r="Z107" s="289"/>
      <c r="AA107" s="289"/>
      <c r="AB107" s="289">
        <f t="shared" si="62"/>
        <v>1</v>
      </c>
      <c r="AC107" s="277">
        <f>+(P107/G107)</f>
        <v>1</v>
      </c>
      <c r="AD107" s="278"/>
      <c r="AE107" s="278"/>
      <c r="AF107" s="278">
        <f>+AC107*E107</f>
        <v>0.1</v>
      </c>
      <c r="AG107" s="278"/>
      <c r="AH107" s="278">
        <f t="shared" si="64"/>
        <v>0</v>
      </c>
      <c r="AI107" s="278">
        <f>+P107/F107</f>
        <v>1</v>
      </c>
      <c r="AJ107" s="278">
        <v>1</v>
      </c>
      <c r="AK107" s="278">
        <v>1</v>
      </c>
      <c r="AL107" s="278">
        <f>+AI107*E107</f>
        <v>0.1</v>
      </c>
      <c r="AM107" s="278">
        <f t="shared" ref="AM107:AM118" si="74">+AJ107*E107</f>
        <v>0.1</v>
      </c>
      <c r="AN107" s="278">
        <f t="shared" si="67"/>
        <v>0.1</v>
      </c>
      <c r="AO107" s="746"/>
      <c r="AP107" s="534" t="s">
        <v>1937</v>
      </c>
      <c r="AQ107" s="267"/>
      <c r="AR107" s="599" t="s">
        <v>1859</v>
      </c>
      <c r="AS107" s="754" t="s">
        <v>2107</v>
      </c>
      <c r="AT107" s="754" t="s">
        <v>2139</v>
      </c>
      <c r="AU107" s="752"/>
      <c r="AV107" s="558" t="s">
        <v>1887</v>
      </c>
      <c r="AW107" s="558" t="s">
        <v>2294</v>
      </c>
    </row>
    <row r="108" spans="1:49" ht="122.4" customHeight="1" thickBot="1" x14ac:dyDescent="0.55000000000000004">
      <c r="A108" s="261"/>
      <c r="B108" s="1342" t="s">
        <v>527</v>
      </c>
      <c r="C108" s="1147" t="s">
        <v>528</v>
      </c>
      <c r="D108" s="309" t="s">
        <v>516</v>
      </c>
      <c r="E108" s="269">
        <v>0.1</v>
      </c>
      <c r="F108" s="270">
        <v>4</v>
      </c>
      <c r="G108" s="289">
        <v>1</v>
      </c>
      <c r="H108" s="704">
        <v>1</v>
      </c>
      <c r="I108" s="290">
        <v>1</v>
      </c>
      <c r="J108" s="279">
        <f>+G108/F108</f>
        <v>0.25</v>
      </c>
      <c r="K108" s="279">
        <f t="shared" si="60"/>
        <v>0.25</v>
      </c>
      <c r="L108" s="279">
        <f t="shared" si="68"/>
        <v>0.25</v>
      </c>
      <c r="M108" s="280">
        <f>+(G108/F108)*E108</f>
        <v>2.5000000000000001E-2</v>
      </c>
      <c r="N108" s="280">
        <f t="shared" si="61"/>
        <v>2.5000000000000001E-2</v>
      </c>
      <c r="O108" s="280"/>
      <c r="P108" s="601">
        <v>0.8</v>
      </c>
      <c r="Q108" s="282">
        <v>0</v>
      </c>
      <c r="R108" s="276">
        <v>1</v>
      </c>
      <c r="S108" s="276">
        <v>0</v>
      </c>
      <c r="T108" s="276">
        <v>0</v>
      </c>
      <c r="U108" s="276">
        <v>0.2</v>
      </c>
      <c r="V108" s="601">
        <f t="shared" ref="V108:V118" si="75">+Q108+R108+S108+T108+U108</f>
        <v>1.2</v>
      </c>
      <c r="W108" s="719">
        <f t="shared" ref="W108:W117" si="76">+V108+P108+AB108</f>
        <v>3</v>
      </c>
      <c r="X108" s="1032">
        <v>1</v>
      </c>
      <c r="Y108" s="1032"/>
      <c r="Z108" s="289"/>
      <c r="AA108" s="289"/>
      <c r="AB108" s="289">
        <f t="shared" si="62"/>
        <v>1</v>
      </c>
      <c r="AC108" s="277">
        <f>+(P108/G108)</f>
        <v>0.8</v>
      </c>
      <c r="AD108" s="278">
        <f>+V108/H108</f>
        <v>1.2</v>
      </c>
      <c r="AE108" s="278">
        <f t="shared" si="63"/>
        <v>1</v>
      </c>
      <c r="AF108" s="278">
        <f>+AC108*E108</f>
        <v>8.0000000000000016E-2</v>
      </c>
      <c r="AG108" s="278">
        <f>+AD108*E108</f>
        <v>0.12</v>
      </c>
      <c r="AH108" s="278">
        <f t="shared" si="64"/>
        <v>0.1</v>
      </c>
      <c r="AI108" s="278">
        <f>+P108/F108</f>
        <v>0.2</v>
      </c>
      <c r="AJ108" s="278">
        <v>0.5</v>
      </c>
      <c r="AK108" s="278">
        <f>+W108/F108</f>
        <v>0.75</v>
      </c>
      <c r="AL108" s="278">
        <f>+AI108*E108</f>
        <v>2.0000000000000004E-2</v>
      </c>
      <c r="AM108" s="945">
        <f t="shared" si="74"/>
        <v>0.05</v>
      </c>
      <c r="AN108" s="278">
        <f>+AK108*E108</f>
        <v>7.5000000000000011E-2</v>
      </c>
      <c r="AO108" s="746"/>
      <c r="AP108" s="534" t="s">
        <v>1895</v>
      </c>
      <c r="AQ108" s="267"/>
      <c r="AR108" s="754" t="s">
        <v>2011</v>
      </c>
      <c r="AS108" s="754" t="s">
        <v>2107</v>
      </c>
      <c r="AT108" s="754" t="s">
        <v>2139</v>
      </c>
      <c r="AU108" s="752"/>
      <c r="AV108" s="558" t="s">
        <v>1887</v>
      </c>
      <c r="AW108" s="558" t="s">
        <v>2294</v>
      </c>
    </row>
    <row r="109" spans="1:49" ht="122.4" customHeight="1" thickBot="1" x14ac:dyDescent="0.55000000000000004">
      <c r="A109" s="261"/>
      <c r="B109" s="1342" t="s">
        <v>529</v>
      </c>
      <c r="C109" s="1147" t="s">
        <v>530</v>
      </c>
      <c r="D109" s="309" t="s">
        <v>516</v>
      </c>
      <c r="E109" s="269">
        <v>0.1</v>
      </c>
      <c r="F109" s="270">
        <v>1</v>
      </c>
      <c r="G109" s="289">
        <v>0</v>
      </c>
      <c r="H109" s="704">
        <v>0</v>
      </c>
      <c r="I109" s="290">
        <v>1</v>
      </c>
      <c r="J109" s="279"/>
      <c r="K109" s="279"/>
      <c r="L109" s="279"/>
      <c r="M109" s="280"/>
      <c r="N109" s="280"/>
      <c r="O109" s="280"/>
      <c r="P109" s="275"/>
      <c r="Q109" s="282"/>
      <c r="R109" s="276"/>
      <c r="S109" s="276"/>
      <c r="T109" s="276"/>
      <c r="U109" s="276">
        <v>1</v>
      </c>
      <c r="V109" s="601">
        <f t="shared" si="75"/>
        <v>1</v>
      </c>
      <c r="W109" s="601">
        <f t="shared" si="76"/>
        <v>2</v>
      </c>
      <c r="X109" s="1032">
        <v>1</v>
      </c>
      <c r="Y109" s="1032"/>
      <c r="Z109" s="289"/>
      <c r="AA109" s="289"/>
      <c r="AB109" s="289">
        <f t="shared" si="62"/>
        <v>1</v>
      </c>
      <c r="AC109" s="277"/>
      <c r="AD109" s="278"/>
      <c r="AE109" s="278">
        <f t="shared" si="63"/>
        <v>1</v>
      </c>
      <c r="AF109" s="278"/>
      <c r="AG109" s="278"/>
      <c r="AH109" s="278">
        <f t="shared" si="64"/>
        <v>0.1</v>
      </c>
      <c r="AI109" s="278"/>
      <c r="AJ109" s="478">
        <v>1</v>
      </c>
      <c r="AK109" s="478">
        <v>1</v>
      </c>
      <c r="AL109" s="278"/>
      <c r="AM109" s="278">
        <f t="shared" si="74"/>
        <v>0.1</v>
      </c>
      <c r="AN109" s="278">
        <f t="shared" si="67"/>
        <v>0.1</v>
      </c>
      <c r="AO109" s="532" t="s">
        <v>1844</v>
      </c>
      <c r="AP109" s="534" t="s">
        <v>1895</v>
      </c>
      <c r="AQ109" s="267"/>
      <c r="AR109" s="754" t="s">
        <v>2011</v>
      </c>
      <c r="AS109" s="754" t="s">
        <v>2107</v>
      </c>
      <c r="AT109" s="754" t="s">
        <v>2139</v>
      </c>
      <c r="AU109" s="752"/>
      <c r="AV109" s="558" t="s">
        <v>1887</v>
      </c>
      <c r="AW109" s="558" t="s">
        <v>2294</v>
      </c>
    </row>
    <row r="110" spans="1:49" ht="122.4" customHeight="1" thickBot="1" x14ac:dyDescent="0.55000000000000004">
      <c r="A110" s="261"/>
      <c r="B110" s="1342" t="s">
        <v>531</v>
      </c>
      <c r="C110" s="1147" t="s">
        <v>532</v>
      </c>
      <c r="D110" s="309" t="s">
        <v>516</v>
      </c>
      <c r="E110" s="269">
        <v>0.1</v>
      </c>
      <c r="F110" s="270">
        <v>1</v>
      </c>
      <c r="G110" s="289">
        <v>0</v>
      </c>
      <c r="H110" s="704">
        <v>0</v>
      </c>
      <c r="I110" s="290">
        <v>0</v>
      </c>
      <c r="J110" s="279"/>
      <c r="K110" s="279"/>
      <c r="L110" s="279"/>
      <c r="M110" s="280"/>
      <c r="N110" s="280"/>
      <c r="O110" s="280"/>
      <c r="P110" s="275"/>
      <c r="Q110" s="282"/>
      <c r="R110" s="276"/>
      <c r="S110" s="276"/>
      <c r="T110" s="276"/>
      <c r="U110" s="276"/>
      <c r="V110" s="601">
        <f t="shared" si="75"/>
        <v>0</v>
      </c>
      <c r="W110" s="601">
        <f>+V110+P110+AB110</f>
        <v>0</v>
      </c>
      <c r="X110" s="1032"/>
      <c r="Y110" s="1032">
        <v>0</v>
      </c>
      <c r="Z110" s="289"/>
      <c r="AA110" s="289"/>
      <c r="AB110" s="289">
        <f t="shared" si="62"/>
        <v>0</v>
      </c>
      <c r="AC110" s="277"/>
      <c r="AD110" s="278"/>
      <c r="AE110" s="278"/>
      <c r="AF110" s="278"/>
      <c r="AG110" s="278"/>
      <c r="AH110" s="278">
        <f t="shared" si="64"/>
        <v>0</v>
      </c>
      <c r="AI110" s="278"/>
      <c r="AJ110" s="278">
        <v>0</v>
      </c>
      <c r="AK110" s="278">
        <f t="shared" si="65"/>
        <v>0</v>
      </c>
      <c r="AL110" s="278"/>
      <c r="AM110" s="278">
        <f t="shared" si="74"/>
        <v>0</v>
      </c>
      <c r="AN110" s="278">
        <f t="shared" si="67"/>
        <v>0</v>
      </c>
      <c r="AO110" s="532" t="s">
        <v>1844</v>
      </c>
      <c r="AP110" s="534" t="s">
        <v>1895</v>
      </c>
      <c r="AQ110" s="267"/>
      <c r="AR110" s="754" t="s">
        <v>2011</v>
      </c>
      <c r="AS110" s="754" t="s">
        <v>2107</v>
      </c>
      <c r="AT110" s="754" t="s">
        <v>2139</v>
      </c>
      <c r="AU110" s="752"/>
      <c r="AV110" s="558" t="s">
        <v>1887</v>
      </c>
      <c r="AW110" s="558" t="s">
        <v>2294</v>
      </c>
    </row>
    <row r="111" spans="1:49" ht="122.4" customHeight="1" thickBot="1" x14ac:dyDescent="0.55000000000000004">
      <c r="A111" s="261"/>
      <c r="B111" s="1342" t="s">
        <v>533</v>
      </c>
      <c r="C111" s="1147" t="s">
        <v>534</v>
      </c>
      <c r="D111" s="309" t="s">
        <v>516</v>
      </c>
      <c r="E111" s="269">
        <v>0.1</v>
      </c>
      <c r="F111" s="270">
        <v>1</v>
      </c>
      <c r="G111" s="289">
        <v>0</v>
      </c>
      <c r="H111" s="704">
        <v>0</v>
      </c>
      <c r="I111" s="290">
        <v>1</v>
      </c>
      <c r="J111" s="279"/>
      <c r="K111" s="279"/>
      <c r="L111" s="279">
        <f t="shared" si="68"/>
        <v>1</v>
      </c>
      <c r="M111" s="280"/>
      <c r="N111" s="280"/>
      <c r="O111" s="280"/>
      <c r="P111" s="311"/>
      <c r="Q111" s="282"/>
      <c r="R111" s="694"/>
      <c r="S111" s="694"/>
      <c r="T111" s="694"/>
      <c r="U111" s="694"/>
      <c r="V111" s="601">
        <f t="shared" si="75"/>
        <v>0</v>
      </c>
      <c r="W111" s="601">
        <f t="shared" si="76"/>
        <v>0</v>
      </c>
      <c r="X111" s="535">
        <v>0</v>
      </c>
      <c r="Y111" s="1032">
        <v>0</v>
      </c>
      <c r="Z111" s="940"/>
      <c r="AA111" s="940"/>
      <c r="AB111" s="289">
        <f t="shared" si="62"/>
        <v>0</v>
      </c>
      <c r="AC111" s="277"/>
      <c r="AD111" s="278"/>
      <c r="AE111" s="278">
        <f t="shared" si="63"/>
        <v>0</v>
      </c>
      <c r="AF111" s="278"/>
      <c r="AG111" s="278"/>
      <c r="AH111" s="278">
        <f t="shared" si="64"/>
        <v>0</v>
      </c>
      <c r="AI111" s="278"/>
      <c r="AJ111" s="278">
        <v>0</v>
      </c>
      <c r="AK111" s="278">
        <f t="shared" si="65"/>
        <v>0</v>
      </c>
      <c r="AL111" s="278"/>
      <c r="AM111" s="278">
        <f t="shared" si="74"/>
        <v>0</v>
      </c>
      <c r="AN111" s="278">
        <f t="shared" si="67"/>
        <v>0</v>
      </c>
      <c r="AO111" s="532" t="s">
        <v>1844</v>
      </c>
      <c r="AP111" s="534" t="s">
        <v>1895</v>
      </c>
      <c r="AQ111" s="267"/>
      <c r="AR111" s="754" t="s">
        <v>2011</v>
      </c>
      <c r="AS111" s="754" t="s">
        <v>2107</v>
      </c>
      <c r="AT111" s="754" t="s">
        <v>2139</v>
      </c>
      <c r="AU111" s="752"/>
      <c r="AV111" s="558" t="s">
        <v>1887</v>
      </c>
      <c r="AW111" s="558" t="s">
        <v>2294</v>
      </c>
    </row>
    <row r="112" spans="1:49" ht="122.4" customHeight="1" thickBot="1" x14ac:dyDescent="0.55000000000000004">
      <c r="A112" s="261"/>
      <c r="B112" s="1342" t="s">
        <v>535</v>
      </c>
      <c r="C112" s="1147" t="s">
        <v>536</v>
      </c>
      <c r="D112" s="309" t="s">
        <v>516</v>
      </c>
      <c r="E112" s="269">
        <v>0.1</v>
      </c>
      <c r="F112" s="270">
        <v>4</v>
      </c>
      <c r="G112" s="289">
        <v>0</v>
      </c>
      <c r="H112" s="704">
        <v>0</v>
      </c>
      <c r="I112" s="290">
        <v>2</v>
      </c>
      <c r="J112" s="279"/>
      <c r="K112" s="279"/>
      <c r="L112" s="279">
        <f t="shared" si="68"/>
        <v>0.5</v>
      </c>
      <c r="M112" s="280"/>
      <c r="N112" s="280"/>
      <c r="O112" s="280"/>
      <c r="P112" s="311"/>
      <c r="Q112" s="282"/>
      <c r="R112" s="694"/>
      <c r="S112" s="694"/>
      <c r="T112" s="694"/>
      <c r="U112" s="694"/>
      <c r="V112" s="601">
        <f t="shared" si="75"/>
        <v>0</v>
      </c>
      <c r="W112" s="601">
        <f t="shared" si="76"/>
        <v>8</v>
      </c>
      <c r="X112" s="535">
        <v>8</v>
      </c>
      <c r="Y112" s="1156"/>
      <c r="Z112" s="940"/>
      <c r="AA112" s="940"/>
      <c r="AB112" s="289">
        <f t="shared" si="62"/>
        <v>8</v>
      </c>
      <c r="AC112" s="277"/>
      <c r="AD112" s="278"/>
      <c r="AE112" s="278">
        <v>1</v>
      </c>
      <c r="AF112" s="278"/>
      <c r="AG112" s="278"/>
      <c r="AH112" s="278">
        <f t="shared" si="64"/>
        <v>0.1</v>
      </c>
      <c r="AI112" s="278"/>
      <c r="AJ112" s="278">
        <v>0</v>
      </c>
      <c r="AK112" s="278">
        <v>1</v>
      </c>
      <c r="AL112" s="278"/>
      <c r="AM112" s="278">
        <f t="shared" si="74"/>
        <v>0</v>
      </c>
      <c r="AN112" s="278">
        <f t="shared" si="67"/>
        <v>0.1</v>
      </c>
      <c r="AO112" s="532" t="s">
        <v>1844</v>
      </c>
      <c r="AP112" s="534" t="s">
        <v>1895</v>
      </c>
      <c r="AQ112" s="267"/>
      <c r="AR112" s="754" t="s">
        <v>2011</v>
      </c>
      <c r="AS112" s="754" t="s">
        <v>2107</v>
      </c>
      <c r="AT112" s="754" t="s">
        <v>2139</v>
      </c>
      <c r="AU112" s="752"/>
      <c r="AV112" s="558" t="s">
        <v>1887</v>
      </c>
      <c r="AW112" s="558" t="s">
        <v>2294</v>
      </c>
    </row>
    <row r="113" spans="1:49" ht="122.4" customHeight="1" thickBot="1" x14ac:dyDescent="0.55000000000000004">
      <c r="A113" s="261"/>
      <c r="B113" s="1342" t="s">
        <v>537</v>
      </c>
      <c r="C113" s="1147" t="s">
        <v>538</v>
      </c>
      <c r="D113" s="309" t="s">
        <v>516</v>
      </c>
      <c r="E113" s="269">
        <v>0.05</v>
      </c>
      <c r="F113" s="270">
        <v>1</v>
      </c>
      <c r="G113" s="289">
        <v>0</v>
      </c>
      <c r="H113" s="704"/>
      <c r="I113" s="290">
        <v>1</v>
      </c>
      <c r="J113" s="279"/>
      <c r="K113" s="279"/>
      <c r="L113" s="279">
        <f t="shared" si="68"/>
        <v>1</v>
      </c>
      <c r="M113" s="280"/>
      <c r="N113" s="280"/>
      <c r="O113" s="280"/>
      <c r="P113" s="275"/>
      <c r="Q113" s="282"/>
      <c r="R113" s="276"/>
      <c r="S113" s="276"/>
      <c r="T113" s="276"/>
      <c r="U113" s="276"/>
      <c r="V113" s="601">
        <f t="shared" si="75"/>
        <v>0</v>
      </c>
      <c r="W113" s="601">
        <f t="shared" si="76"/>
        <v>0</v>
      </c>
      <c r="X113" s="1032">
        <v>0</v>
      </c>
      <c r="Y113" s="1032">
        <v>0</v>
      </c>
      <c r="Z113" s="289"/>
      <c r="AA113" s="289"/>
      <c r="AB113" s="289">
        <f t="shared" si="62"/>
        <v>0</v>
      </c>
      <c r="AC113" s="277"/>
      <c r="AD113" s="278"/>
      <c r="AE113" s="278">
        <f t="shared" si="63"/>
        <v>0</v>
      </c>
      <c r="AF113" s="278"/>
      <c r="AG113" s="278"/>
      <c r="AH113" s="278">
        <f t="shared" si="64"/>
        <v>0</v>
      </c>
      <c r="AI113" s="278"/>
      <c r="AJ113" s="278">
        <v>0</v>
      </c>
      <c r="AK113" s="278">
        <f t="shared" si="65"/>
        <v>0</v>
      </c>
      <c r="AL113" s="278"/>
      <c r="AM113" s="278">
        <f t="shared" si="74"/>
        <v>0</v>
      </c>
      <c r="AN113" s="278">
        <f t="shared" si="67"/>
        <v>0</v>
      </c>
      <c r="AO113" s="532" t="s">
        <v>1844</v>
      </c>
      <c r="AP113" s="534" t="s">
        <v>1895</v>
      </c>
      <c r="AQ113" s="267"/>
      <c r="AR113" s="754" t="s">
        <v>2011</v>
      </c>
      <c r="AS113" s="754" t="s">
        <v>2107</v>
      </c>
      <c r="AT113" s="754" t="s">
        <v>2139</v>
      </c>
      <c r="AU113" s="752"/>
      <c r="AV113" s="558" t="s">
        <v>1887</v>
      </c>
      <c r="AW113" s="558" t="s">
        <v>2294</v>
      </c>
    </row>
    <row r="114" spans="1:49" ht="122.4" customHeight="1" thickBot="1" x14ac:dyDescent="0.55000000000000004">
      <c r="A114" s="261"/>
      <c r="B114" s="1342" t="s">
        <v>539</v>
      </c>
      <c r="C114" s="1147" t="s">
        <v>540</v>
      </c>
      <c r="D114" s="309" t="s">
        <v>516</v>
      </c>
      <c r="E114" s="269">
        <v>0.1</v>
      </c>
      <c r="F114" s="270">
        <v>24</v>
      </c>
      <c r="G114" s="289">
        <v>0</v>
      </c>
      <c r="H114" s="704">
        <v>8</v>
      </c>
      <c r="I114" s="290">
        <v>8</v>
      </c>
      <c r="J114" s="279"/>
      <c r="K114" s="279">
        <f t="shared" si="60"/>
        <v>0.33333333333333331</v>
      </c>
      <c r="L114" s="279">
        <f t="shared" si="68"/>
        <v>0.33333333333333331</v>
      </c>
      <c r="M114" s="280"/>
      <c r="N114" s="280">
        <f t="shared" si="61"/>
        <v>3.3333333333333333E-2</v>
      </c>
      <c r="O114" s="280"/>
      <c r="P114" s="275"/>
      <c r="Q114" s="282">
        <v>2</v>
      </c>
      <c r="R114" s="276">
        <v>0</v>
      </c>
      <c r="S114" s="276">
        <v>0</v>
      </c>
      <c r="T114" s="276">
        <v>4</v>
      </c>
      <c r="U114" s="276">
        <v>8</v>
      </c>
      <c r="V114" s="601">
        <f t="shared" si="75"/>
        <v>14</v>
      </c>
      <c r="W114" s="601">
        <f t="shared" si="76"/>
        <v>19</v>
      </c>
      <c r="X114" s="1032">
        <v>3</v>
      </c>
      <c r="Y114" s="1032">
        <v>2</v>
      </c>
      <c r="Z114" s="289"/>
      <c r="AA114" s="289"/>
      <c r="AB114" s="289">
        <f t="shared" si="62"/>
        <v>5</v>
      </c>
      <c r="AC114" s="277"/>
      <c r="AD114" s="278">
        <v>1</v>
      </c>
      <c r="AE114" s="278">
        <f t="shared" si="63"/>
        <v>0.625</v>
      </c>
      <c r="AF114" s="278"/>
      <c r="AG114" s="278">
        <f>+AD114*E114</f>
        <v>0.1</v>
      </c>
      <c r="AH114" s="278">
        <f t="shared" si="64"/>
        <v>6.25E-2</v>
      </c>
      <c r="AI114" s="278"/>
      <c r="AJ114" s="278">
        <v>0.58333333333333337</v>
      </c>
      <c r="AK114" s="278">
        <f t="shared" si="65"/>
        <v>0.79166666666666663</v>
      </c>
      <c r="AL114" s="278"/>
      <c r="AM114" s="278">
        <f t="shared" si="74"/>
        <v>5.8333333333333341E-2</v>
      </c>
      <c r="AN114" s="278">
        <f t="shared" si="67"/>
        <v>7.9166666666666663E-2</v>
      </c>
      <c r="AO114" s="532" t="s">
        <v>1844</v>
      </c>
      <c r="AP114" s="756" t="s">
        <v>1938</v>
      </c>
      <c r="AQ114" s="267"/>
      <c r="AR114" s="754" t="s">
        <v>2011</v>
      </c>
      <c r="AS114" s="754" t="s">
        <v>2107</v>
      </c>
      <c r="AT114" s="754" t="s">
        <v>2139</v>
      </c>
      <c r="AU114" s="752"/>
      <c r="AV114" s="558" t="s">
        <v>1887</v>
      </c>
      <c r="AW114" s="558" t="s">
        <v>2294</v>
      </c>
    </row>
    <row r="115" spans="1:49" ht="122.4" customHeight="1" thickBot="1" x14ac:dyDescent="0.55000000000000004">
      <c r="A115" s="261"/>
      <c r="B115" s="1342" t="s">
        <v>541</v>
      </c>
      <c r="C115" s="1147" t="s">
        <v>542</v>
      </c>
      <c r="D115" s="309" t="s">
        <v>516</v>
      </c>
      <c r="E115" s="269">
        <v>0.1</v>
      </c>
      <c r="F115" s="270">
        <v>100000</v>
      </c>
      <c r="G115" s="289">
        <v>0</v>
      </c>
      <c r="H115" s="704">
        <v>33000</v>
      </c>
      <c r="I115" s="290">
        <v>47567</v>
      </c>
      <c r="J115" s="279"/>
      <c r="K115" s="279">
        <f t="shared" si="60"/>
        <v>0.33</v>
      </c>
      <c r="L115" s="279">
        <f t="shared" si="68"/>
        <v>0.47566999999999998</v>
      </c>
      <c r="M115" s="280"/>
      <c r="N115" s="280">
        <f t="shared" si="61"/>
        <v>3.3000000000000002E-2</v>
      </c>
      <c r="O115" s="280"/>
      <c r="P115" s="275"/>
      <c r="Q115" s="282">
        <v>0</v>
      </c>
      <c r="R115" s="276">
        <v>0</v>
      </c>
      <c r="S115" s="276">
        <v>2500</v>
      </c>
      <c r="T115" s="276">
        <v>1963</v>
      </c>
      <c r="U115" s="276">
        <v>392</v>
      </c>
      <c r="V115" s="601">
        <f t="shared" si="75"/>
        <v>4855</v>
      </c>
      <c r="W115" s="601">
        <f t="shared" si="76"/>
        <v>6015</v>
      </c>
      <c r="X115" s="1032">
        <v>600</v>
      </c>
      <c r="Y115" s="1032">
        <v>560</v>
      </c>
      <c r="Z115" s="289"/>
      <c r="AA115" s="289"/>
      <c r="AB115" s="289">
        <f t="shared" si="62"/>
        <v>1160</v>
      </c>
      <c r="AC115" s="277"/>
      <c r="AD115" s="278">
        <f>+V115/H115</f>
        <v>0.14712121212121212</v>
      </c>
      <c r="AE115" s="278">
        <f t="shared" si="63"/>
        <v>2.4386654613492546E-2</v>
      </c>
      <c r="AF115" s="278"/>
      <c r="AG115" s="278">
        <f>+AD115*E115</f>
        <v>1.4712121212121213E-2</v>
      </c>
      <c r="AH115" s="278">
        <f t="shared" si="64"/>
        <v>2.4386654613492548E-3</v>
      </c>
      <c r="AI115" s="278"/>
      <c r="AJ115" s="478">
        <v>4.8550000000000003E-2</v>
      </c>
      <c r="AK115" s="478">
        <f t="shared" si="65"/>
        <v>6.0150000000000002E-2</v>
      </c>
      <c r="AL115" s="278"/>
      <c r="AM115" s="278">
        <f t="shared" si="74"/>
        <v>4.8550000000000008E-3</v>
      </c>
      <c r="AN115" s="278">
        <f t="shared" si="67"/>
        <v>6.0150000000000004E-3</v>
      </c>
      <c r="AO115" s="532" t="s">
        <v>1844</v>
      </c>
      <c r="AP115" s="756" t="s">
        <v>1938</v>
      </c>
      <c r="AQ115" s="267"/>
      <c r="AR115" s="754" t="s">
        <v>2011</v>
      </c>
      <c r="AS115" s="754" t="s">
        <v>2107</v>
      </c>
      <c r="AT115" s="754" t="s">
        <v>2139</v>
      </c>
      <c r="AU115" s="752"/>
      <c r="AV115" s="558" t="s">
        <v>1887</v>
      </c>
      <c r="AW115" s="558" t="s">
        <v>2294</v>
      </c>
    </row>
    <row r="116" spans="1:49" ht="122.4" customHeight="1" thickBot="1" x14ac:dyDescent="0.55000000000000004">
      <c r="A116" s="261"/>
      <c r="B116" s="1342" t="s">
        <v>543</v>
      </c>
      <c r="C116" s="1147" t="s">
        <v>544</v>
      </c>
      <c r="D116" s="309" t="s">
        <v>516</v>
      </c>
      <c r="E116" s="269">
        <v>0.05</v>
      </c>
      <c r="F116" s="270">
        <v>1</v>
      </c>
      <c r="G116" s="289">
        <v>0</v>
      </c>
      <c r="H116" s="704">
        <v>1</v>
      </c>
      <c r="I116" s="290">
        <v>0</v>
      </c>
      <c r="J116" s="279"/>
      <c r="K116" s="279">
        <f t="shared" si="60"/>
        <v>1</v>
      </c>
      <c r="L116" s="279"/>
      <c r="M116" s="280"/>
      <c r="N116" s="280">
        <f t="shared" si="61"/>
        <v>0.05</v>
      </c>
      <c r="O116" s="280"/>
      <c r="P116" s="275"/>
      <c r="Q116" s="282">
        <v>0</v>
      </c>
      <c r="R116" s="276">
        <v>0</v>
      </c>
      <c r="S116" s="276">
        <v>0.3</v>
      </c>
      <c r="T116" s="276"/>
      <c r="U116" s="276"/>
      <c r="V116" s="719">
        <f t="shared" si="75"/>
        <v>0.3</v>
      </c>
      <c r="W116" s="601">
        <f t="shared" si="76"/>
        <v>0.3</v>
      </c>
      <c r="X116" s="1032"/>
      <c r="Y116" s="1032">
        <v>0</v>
      </c>
      <c r="Z116" s="289"/>
      <c r="AA116" s="289"/>
      <c r="AB116" s="289">
        <f t="shared" si="62"/>
        <v>0</v>
      </c>
      <c r="AC116" s="277"/>
      <c r="AD116" s="278">
        <f>+V116/H116</f>
        <v>0.3</v>
      </c>
      <c r="AE116" s="278"/>
      <c r="AF116" s="278"/>
      <c r="AG116" s="278">
        <f>+AD116*E116</f>
        <v>1.4999999999999999E-2</v>
      </c>
      <c r="AH116" s="278">
        <f t="shared" si="64"/>
        <v>0</v>
      </c>
      <c r="AI116" s="278"/>
      <c r="AJ116" s="478">
        <v>0.3</v>
      </c>
      <c r="AK116" s="478">
        <f t="shared" si="65"/>
        <v>0.3</v>
      </c>
      <c r="AL116" s="278"/>
      <c r="AM116" s="278">
        <f t="shared" si="74"/>
        <v>1.4999999999999999E-2</v>
      </c>
      <c r="AN116" s="278">
        <f t="shared" si="67"/>
        <v>1.4999999999999999E-2</v>
      </c>
      <c r="AO116" s="532" t="s">
        <v>1844</v>
      </c>
      <c r="AP116" s="756" t="s">
        <v>1939</v>
      </c>
      <c r="AQ116" s="267"/>
      <c r="AR116" s="754" t="s">
        <v>2011</v>
      </c>
      <c r="AS116" s="754" t="s">
        <v>2107</v>
      </c>
      <c r="AT116" s="754" t="s">
        <v>2139</v>
      </c>
      <c r="AU116" s="752"/>
      <c r="AV116" s="558" t="s">
        <v>1887</v>
      </c>
      <c r="AW116" s="558" t="s">
        <v>2294</v>
      </c>
    </row>
    <row r="117" spans="1:49" ht="122.4" customHeight="1" thickBot="1" x14ac:dyDescent="0.55000000000000004">
      <c r="A117" s="261"/>
      <c r="B117" s="1342" t="s">
        <v>545</v>
      </c>
      <c r="C117" s="1147" t="s">
        <v>546</v>
      </c>
      <c r="D117" s="309" t="s">
        <v>516</v>
      </c>
      <c r="E117" s="269">
        <v>0.05</v>
      </c>
      <c r="F117" s="270">
        <v>2</v>
      </c>
      <c r="G117" s="289">
        <v>0</v>
      </c>
      <c r="H117" s="704">
        <v>1</v>
      </c>
      <c r="I117" s="290">
        <v>1</v>
      </c>
      <c r="J117" s="279"/>
      <c r="K117" s="279">
        <f t="shared" si="60"/>
        <v>0.5</v>
      </c>
      <c r="L117" s="279">
        <f t="shared" si="68"/>
        <v>0.5</v>
      </c>
      <c r="M117" s="280"/>
      <c r="N117" s="280">
        <f t="shared" si="61"/>
        <v>2.5000000000000001E-2</v>
      </c>
      <c r="O117" s="280"/>
      <c r="P117" s="275"/>
      <c r="Q117" s="282">
        <v>0</v>
      </c>
      <c r="R117" s="276">
        <v>0</v>
      </c>
      <c r="S117" s="276">
        <v>0</v>
      </c>
      <c r="T117" s="276">
        <v>0</v>
      </c>
      <c r="U117" s="276">
        <v>1</v>
      </c>
      <c r="V117" s="601">
        <f t="shared" si="75"/>
        <v>1</v>
      </c>
      <c r="W117" s="601">
        <f t="shared" si="76"/>
        <v>1</v>
      </c>
      <c r="X117" s="1032">
        <v>0</v>
      </c>
      <c r="Y117" s="1032">
        <v>0</v>
      </c>
      <c r="Z117" s="289"/>
      <c r="AA117" s="289"/>
      <c r="AB117" s="289">
        <f t="shared" si="62"/>
        <v>0</v>
      </c>
      <c r="AC117" s="277"/>
      <c r="AD117" s="278">
        <f>+V117/H117</f>
        <v>1</v>
      </c>
      <c r="AE117" s="278">
        <f t="shared" si="63"/>
        <v>0</v>
      </c>
      <c r="AF117" s="278"/>
      <c r="AG117" s="278">
        <f>+AD117*E117</f>
        <v>0.05</v>
      </c>
      <c r="AH117" s="278">
        <f t="shared" si="64"/>
        <v>0</v>
      </c>
      <c r="AI117" s="278"/>
      <c r="AJ117" s="478">
        <v>0.5</v>
      </c>
      <c r="AK117" s="478">
        <f t="shared" si="65"/>
        <v>0.5</v>
      </c>
      <c r="AL117" s="278"/>
      <c r="AM117" s="278">
        <f t="shared" si="74"/>
        <v>2.5000000000000001E-2</v>
      </c>
      <c r="AN117" s="278">
        <f t="shared" si="67"/>
        <v>2.5000000000000001E-2</v>
      </c>
      <c r="AO117" s="532" t="s">
        <v>1844</v>
      </c>
      <c r="AP117" s="756" t="s">
        <v>1940</v>
      </c>
      <c r="AQ117" s="267"/>
      <c r="AR117" s="754" t="s">
        <v>2011</v>
      </c>
      <c r="AS117" s="754" t="s">
        <v>2107</v>
      </c>
      <c r="AT117" s="754" t="s">
        <v>2139</v>
      </c>
      <c r="AU117" s="752"/>
      <c r="AV117" s="558" t="s">
        <v>1887</v>
      </c>
      <c r="AW117" s="558" t="s">
        <v>2294</v>
      </c>
    </row>
    <row r="118" spans="1:49" ht="122.4" customHeight="1" thickBot="1" x14ac:dyDescent="0.55000000000000004">
      <c r="A118" s="261"/>
      <c r="B118" s="1342" t="s">
        <v>547</v>
      </c>
      <c r="C118" s="1147" t="s">
        <v>548</v>
      </c>
      <c r="D118" s="309" t="s">
        <v>516</v>
      </c>
      <c r="E118" s="269">
        <v>0.05</v>
      </c>
      <c r="F118" s="270">
        <v>1</v>
      </c>
      <c r="G118" s="289">
        <v>0</v>
      </c>
      <c r="H118" s="704">
        <v>1</v>
      </c>
      <c r="I118" s="290">
        <v>0</v>
      </c>
      <c r="J118" s="279"/>
      <c r="K118" s="279">
        <f t="shared" si="60"/>
        <v>1</v>
      </c>
      <c r="L118" s="279"/>
      <c r="M118" s="280"/>
      <c r="N118" s="280">
        <f t="shared" si="61"/>
        <v>0.05</v>
      </c>
      <c r="O118" s="280"/>
      <c r="P118" s="275"/>
      <c r="Q118" s="282">
        <v>0</v>
      </c>
      <c r="R118" s="276">
        <v>0</v>
      </c>
      <c r="S118" s="276">
        <v>0</v>
      </c>
      <c r="T118" s="276">
        <v>0</v>
      </c>
      <c r="U118" s="276">
        <v>0</v>
      </c>
      <c r="V118" s="601">
        <f t="shared" si="75"/>
        <v>0</v>
      </c>
      <c r="W118" s="601">
        <f>+V118+P118+AB118</f>
        <v>0</v>
      </c>
      <c r="X118" s="1032"/>
      <c r="Y118" s="1032"/>
      <c r="Z118" s="289"/>
      <c r="AA118" s="289"/>
      <c r="AB118" s="289">
        <f t="shared" si="62"/>
        <v>0</v>
      </c>
      <c r="AC118" s="277"/>
      <c r="AD118" s="278">
        <f>+V118/H118</f>
        <v>0</v>
      </c>
      <c r="AE118" s="278"/>
      <c r="AF118" s="278"/>
      <c r="AG118" s="278">
        <f>+AD118*E118</f>
        <v>0</v>
      </c>
      <c r="AH118" s="278">
        <f t="shared" si="64"/>
        <v>0</v>
      </c>
      <c r="AI118" s="278"/>
      <c r="AJ118" s="478">
        <v>0</v>
      </c>
      <c r="AK118" s="478">
        <f t="shared" si="65"/>
        <v>0</v>
      </c>
      <c r="AL118" s="278"/>
      <c r="AM118" s="278">
        <f t="shared" si="74"/>
        <v>0</v>
      </c>
      <c r="AN118" s="278">
        <f t="shared" si="67"/>
        <v>0</v>
      </c>
      <c r="AO118" s="532" t="s">
        <v>1844</v>
      </c>
      <c r="AP118" s="756" t="s">
        <v>1941</v>
      </c>
      <c r="AQ118" s="267"/>
      <c r="AR118" s="754" t="s">
        <v>2011</v>
      </c>
      <c r="AS118" s="754" t="s">
        <v>2107</v>
      </c>
      <c r="AT118" s="754" t="s">
        <v>2139</v>
      </c>
      <c r="AU118" s="752"/>
      <c r="AV118" s="558" t="s">
        <v>1887</v>
      </c>
      <c r="AW118" s="558" t="s">
        <v>2294</v>
      </c>
    </row>
    <row r="119" spans="1:49" ht="122.4" customHeight="1" thickBot="1" x14ac:dyDescent="0.55000000000000004">
      <c r="A119" s="261"/>
      <c r="B119" s="1349" t="s">
        <v>1656</v>
      </c>
      <c r="C119" s="1340"/>
      <c r="D119" s="262"/>
      <c r="E119" s="301">
        <v>0.1</v>
      </c>
      <c r="F119" s="302">
        <f>+E119*AF119</f>
        <v>7.759166666666667E-2</v>
      </c>
      <c r="G119" s="285"/>
      <c r="H119" s="928">
        <f>+E119*AG119</f>
        <v>8.2150789473684205E-2</v>
      </c>
      <c r="I119" s="263">
        <f>E119*AH119</f>
        <v>6.3279171311852447E-3</v>
      </c>
      <c r="J119" s="312">
        <f>+(J120+J122+J124+J126)/4</f>
        <v>0.17725490196078431</v>
      </c>
      <c r="K119" s="312">
        <f>+(K120+K122+K124+K126)/4</f>
        <v>0.1495081699346405</v>
      </c>
      <c r="L119" s="312">
        <f>+(L120+L122+L124+L126)/4</f>
        <v>0.34533562091503267</v>
      </c>
      <c r="M119" s="313">
        <f>+(M120+M122+M124+M126)/4</f>
        <v>0.16792156862745097</v>
      </c>
      <c r="N119" s="313">
        <f>+(N120+N122+N124+N126)/4</f>
        <v>0.15253039215686273</v>
      </c>
      <c r="O119" s="313"/>
      <c r="P119" s="275"/>
      <c r="Q119" s="275"/>
      <c r="R119" s="275"/>
      <c r="S119" s="275"/>
      <c r="T119" s="275"/>
      <c r="U119" s="275"/>
      <c r="V119" s="275"/>
      <c r="W119" s="275"/>
      <c r="X119" s="289"/>
      <c r="Y119" s="289"/>
      <c r="Z119" s="289"/>
      <c r="AA119" s="289"/>
      <c r="AB119" s="289"/>
      <c r="AC119" s="306">
        <f>+(AC120+AC122+AC124+AC126)/4</f>
        <v>0.84770833333333329</v>
      </c>
      <c r="AD119" s="306">
        <f>+(AD120+AD122+AD124+AD126)/4</f>
        <v>0.78501096491228073</v>
      </c>
      <c r="AE119" s="306">
        <f>+(AE120+AE122+AE124+AE126)/4</f>
        <v>0.32044171818528938</v>
      </c>
      <c r="AF119" s="314">
        <f>+AF120+AF122+AF124+AF126</f>
        <v>0.7759166666666667</v>
      </c>
      <c r="AG119" s="314">
        <f>+AG120+AG122+AG124+AG126</f>
        <v>0.82150789473684205</v>
      </c>
      <c r="AH119" s="314">
        <f>+AH120+AH122+AH124+AH126</f>
        <v>6.3279171311852442E-2</v>
      </c>
      <c r="AI119" s="265">
        <f>(AI120+AI122+AI124+AI126)/4</f>
        <v>0.14324852941176469</v>
      </c>
      <c r="AJ119" s="265">
        <v>0.2397588235294118</v>
      </c>
      <c r="AK119" s="265">
        <f>(AK120+AK122+AK124+AK126)/4</f>
        <v>0.26794313725490199</v>
      </c>
      <c r="AL119" s="314">
        <f>(AL120+AL122+AL124+AL126)</f>
        <v>0.13347823529411765</v>
      </c>
      <c r="AM119" s="314">
        <f>(AM120*E120)+(AM122*E122)+(AM124*E124)+(AM126*E126)</f>
        <v>0.22248258823529413</v>
      </c>
      <c r="AN119" s="314">
        <f>(AN120*E120)+(AN122*E122)+(AN124*E124)+(AN126*E126)</f>
        <v>0.24614376470588237</v>
      </c>
      <c r="AO119" s="747"/>
      <c r="AP119" s="267"/>
      <c r="AQ119" s="267"/>
      <c r="AR119" s="267"/>
      <c r="AS119" s="267"/>
      <c r="AT119" s="755"/>
      <c r="AU119" s="752"/>
      <c r="AV119" s="755"/>
    </row>
    <row r="120" spans="1:49" ht="122.4" customHeight="1" thickBot="1" x14ac:dyDescent="0.55000000000000004">
      <c r="A120" s="261"/>
      <c r="B120" s="1339" t="s">
        <v>1657</v>
      </c>
      <c r="C120" s="1340"/>
      <c r="D120" s="262"/>
      <c r="E120" s="266">
        <v>0.3</v>
      </c>
      <c r="F120" s="284"/>
      <c r="G120" s="285"/>
      <c r="H120" s="926"/>
      <c r="I120" s="267"/>
      <c r="J120" s="286">
        <f>+AVERAGE(J121)</f>
        <v>0.04</v>
      </c>
      <c r="K120" s="286">
        <f>+AVERAGE(K121)</f>
        <v>4.4999999999999998E-2</v>
      </c>
      <c r="L120" s="286">
        <f>+AVERAGE(L121)</f>
        <v>0.45960000000000001</v>
      </c>
      <c r="M120" s="287">
        <f>+M121</f>
        <v>0.04</v>
      </c>
      <c r="N120" s="287">
        <f>+N121</f>
        <v>4.4999999999999998E-2</v>
      </c>
      <c r="O120" s="287"/>
      <c r="P120" s="275"/>
      <c r="Q120" s="288"/>
      <c r="R120" s="288"/>
      <c r="S120" s="288"/>
      <c r="T120" s="288"/>
      <c r="U120" s="816"/>
      <c r="V120" s="288"/>
      <c r="W120" s="288"/>
      <c r="X120" s="936"/>
      <c r="Y120" s="936"/>
      <c r="Z120" s="936"/>
      <c r="AA120" s="936"/>
      <c r="AB120" s="936"/>
      <c r="AC120" s="476">
        <f>+AVERAGE(AC121)</f>
        <v>0.89749999999999996</v>
      </c>
      <c r="AD120" s="476">
        <v>1</v>
      </c>
      <c r="AE120" s="476">
        <v>1</v>
      </c>
      <c r="AF120" s="307">
        <f>+(AF121)*E120</f>
        <v>0.26924999999999999</v>
      </c>
      <c r="AG120" s="307">
        <f>+(AG121)*E120</f>
        <v>0.3</v>
      </c>
      <c r="AH120" s="307">
        <f>+(AH121)*E120</f>
        <v>7.3759791122715405E-3</v>
      </c>
      <c r="AI120" s="268">
        <f>+AVERAGE(AI121)</f>
        <v>3.5900000000000001E-2</v>
      </c>
      <c r="AJ120" s="268">
        <v>8.6300000000000002E-2</v>
      </c>
      <c r="AK120" s="268">
        <f>+AVERAGE(AK121)</f>
        <v>9.6600000000000005E-2</v>
      </c>
      <c r="AL120" s="268">
        <f>+(AL121)*E120</f>
        <v>1.077E-2</v>
      </c>
      <c r="AM120" s="268">
        <f>+(AM121)</f>
        <v>8.6300000000000002E-2</v>
      </c>
      <c r="AN120" s="268">
        <f>+(AN121)</f>
        <v>9.6600000000000005E-2</v>
      </c>
      <c r="AO120" s="639"/>
      <c r="AP120" s="267"/>
      <c r="AQ120" s="267"/>
      <c r="AR120" s="267"/>
      <c r="AS120" s="267"/>
      <c r="AT120" s="755"/>
      <c r="AU120" s="752"/>
      <c r="AV120" s="755"/>
    </row>
    <row r="121" spans="1:49" ht="122.4" customHeight="1" thickBot="1" x14ac:dyDescent="0.45">
      <c r="A121" s="261"/>
      <c r="B121" s="1342" t="s">
        <v>549</v>
      </c>
      <c r="C121" s="1147" t="s">
        <v>550</v>
      </c>
      <c r="D121" s="309" t="s">
        <v>551</v>
      </c>
      <c r="E121" s="269">
        <v>1</v>
      </c>
      <c r="F121" s="270">
        <v>10000</v>
      </c>
      <c r="G121" s="289">
        <v>400</v>
      </c>
      <c r="H121" s="704">
        <v>450</v>
      </c>
      <c r="I121" s="290">
        <v>4596</v>
      </c>
      <c r="J121" s="279">
        <f>+G121/F121</f>
        <v>0.04</v>
      </c>
      <c r="K121" s="279">
        <f>+H121/F121</f>
        <v>4.4999999999999998E-2</v>
      </c>
      <c r="L121" s="279">
        <f t="shared" ref="L121:L129" si="77">+I121/F121</f>
        <v>0.45960000000000001</v>
      </c>
      <c r="M121" s="280">
        <f>+(G121/F121)*E121</f>
        <v>0.04</v>
      </c>
      <c r="N121" s="280">
        <f t="shared" ref="N121" si="78">+(H121/F121)*E121</f>
        <v>4.4999999999999998E-2</v>
      </c>
      <c r="O121" s="280"/>
      <c r="P121" s="275">
        <v>359</v>
      </c>
      <c r="Q121" s="282">
        <v>52</v>
      </c>
      <c r="R121" s="282">
        <v>142</v>
      </c>
      <c r="S121" s="276">
        <v>273</v>
      </c>
      <c r="T121" s="276">
        <v>26</v>
      </c>
      <c r="U121" s="276">
        <v>1</v>
      </c>
      <c r="V121" s="281">
        <f>+Q121+R121+S121+T121+U121</f>
        <v>494</v>
      </c>
      <c r="W121" s="281">
        <f>+V121+P121+AB121</f>
        <v>966</v>
      </c>
      <c r="X121" s="1032">
        <v>14</v>
      </c>
      <c r="Y121" s="1032">
        <v>99</v>
      </c>
      <c r="Z121" s="289"/>
      <c r="AA121" s="289"/>
      <c r="AB121" s="289">
        <f t="shared" ref="AB121" si="79">+X121+Y121+Z121+AA121</f>
        <v>113</v>
      </c>
      <c r="AC121" s="277">
        <f>+(P121/G121)</f>
        <v>0.89749999999999996</v>
      </c>
      <c r="AD121" s="278">
        <v>1</v>
      </c>
      <c r="AE121" s="278">
        <f>+AB121/I121</f>
        <v>2.4586597040905135E-2</v>
      </c>
      <c r="AF121" s="278">
        <f>+AC121*E121</f>
        <v>0.89749999999999996</v>
      </c>
      <c r="AG121" s="278">
        <f>+AD121*E121</f>
        <v>1</v>
      </c>
      <c r="AH121" s="278">
        <f t="shared" ref="AH121" si="80">+AE121*E121</f>
        <v>2.4586597040905135E-2</v>
      </c>
      <c r="AI121" s="278">
        <f>+P121/F121</f>
        <v>3.5900000000000001E-2</v>
      </c>
      <c r="AJ121" s="278">
        <v>8.6300000000000002E-2</v>
      </c>
      <c r="AK121" s="278">
        <f t="shared" ref="AK121:AK129" si="81">+W121/F121</f>
        <v>9.6600000000000005E-2</v>
      </c>
      <c r="AL121" s="278">
        <f>+AI121*E121</f>
        <v>3.5900000000000001E-2</v>
      </c>
      <c r="AM121" s="278">
        <f>+AJ121*E121</f>
        <v>8.6300000000000002E-2</v>
      </c>
      <c r="AN121" s="278">
        <f t="shared" ref="AN121" si="82">+AK121*E121</f>
        <v>9.6600000000000005E-2</v>
      </c>
      <c r="AO121" s="532" t="s">
        <v>1844</v>
      </c>
      <c r="AP121" s="534" t="s">
        <v>1895</v>
      </c>
      <c r="AQ121" s="534" t="s">
        <v>1986</v>
      </c>
      <c r="AR121" s="754" t="s">
        <v>2011</v>
      </c>
      <c r="AS121" s="529" t="s">
        <v>2061</v>
      </c>
      <c r="AT121" s="558" t="s">
        <v>2139</v>
      </c>
      <c r="AU121" s="558" t="s">
        <v>2196</v>
      </c>
      <c r="AV121" s="558" t="s">
        <v>1887</v>
      </c>
      <c r="AW121" s="558" t="s">
        <v>2294</v>
      </c>
    </row>
    <row r="122" spans="1:49" ht="122.4" customHeight="1" thickBot="1" x14ac:dyDescent="0.55000000000000004">
      <c r="A122" s="261"/>
      <c r="B122" s="1339" t="s">
        <v>1658</v>
      </c>
      <c r="C122" s="1340"/>
      <c r="D122" s="262"/>
      <c r="E122" s="266">
        <v>0.3</v>
      </c>
      <c r="F122" s="270"/>
      <c r="G122" s="289"/>
      <c r="H122" s="704"/>
      <c r="I122" s="290"/>
      <c r="J122" s="286">
        <f>+AVERAGE(J123)</f>
        <v>0.21568627450980393</v>
      </c>
      <c r="K122" s="286">
        <f>+AVERAGE(K123)</f>
        <v>5.7254901960784317E-2</v>
      </c>
      <c r="L122" s="286">
        <f>+AVERAGE(L123)</f>
        <v>0.35843137254901963</v>
      </c>
      <c r="M122" s="287">
        <f>+M123</f>
        <v>0.21568627450980393</v>
      </c>
      <c r="N122" s="287">
        <f>+N123</f>
        <v>5.7254901960784317E-2</v>
      </c>
      <c r="O122" s="287"/>
      <c r="P122" s="275"/>
      <c r="Q122" s="275"/>
      <c r="R122" s="275"/>
      <c r="S122" s="275"/>
      <c r="T122" s="275"/>
      <c r="U122" s="815"/>
      <c r="V122" s="275"/>
      <c r="W122" s="275"/>
      <c r="X122" s="289"/>
      <c r="Y122" s="289"/>
      <c r="Z122" s="289"/>
      <c r="AA122" s="289"/>
      <c r="AB122" s="289"/>
      <c r="AC122" s="476">
        <f>+AVERAGE(AC123)</f>
        <v>1</v>
      </c>
      <c r="AD122" s="476">
        <f>+AVERAGE(AD123)</f>
        <v>1</v>
      </c>
      <c r="AE122" s="476">
        <f>+AVERAGE(AE123)</f>
        <v>6.0831509846827135E-2</v>
      </c>
      <c r="AF122" s="307">
        <f>+(AF123)*E122</f>
        <v>0.3</v>
      </c>
      <c r="AG122" s="307">
        <f>+(AG123)*E122</f>
        <v>0.3</v>
      </c>
      <c r="AH122" s="307">
        <f>+(AH123)*E122</f>
        <v>1.8249452954048138E-2</v>
      </c>
      <c r="AI122" s="268">
        <f>+AVERAGE(AI123)</f>
        <v>0.22596078431372549</v>
      </c>
      <c r="AJ122" s="268">
        <v>0.28556862745098038</v>
      </c>
      <c r="AK122" s="268">
        <f>+AVERAGE(AK123)</f>
        <v>0.30737254901960787</v>
      </c>
      <c r="AL122" s="268">
        <f>+(AL123)*E122</f>
        <v>6.7788235294117649E-2</v>
      </c>
      <c r="AM122" s="268">
        <f>+(AM123)</f>
        <v>0.28556862745098038</v>
      </c>
      <c r="AN122" s="268">
        <f>+(AN123)</f>
        <v>0.30737254901960787</v>
      </c>
      <c r="AO122" s="639"/>
      <c r="AP122" s="267"/>
      <c r="AQ122" s="267"/>
      <c r="AR122" s="267"/>
      <c r="AS122" s="267"/>
      <c r="AT122" s="755"/>
      <c r="AU122" s="752"/>
      <c r="AV122" s="755"/>
    </row>
    <row r="123" spans="1:49" ht="122.4" customHeight="1" thickBot="1" x14ac:dyDescent="0.45">
      <c r="A123" s="261"/>
      <c r="B123" s="1342" t="s">
        <v>552</v>
      </c>
      <c r="C123" s="1147" t="s">
        <v>553</v>
      </c>
      <c r="D123" s="309" t="s">
        <v>551</v>
      </c>
      <c r="E123" s="269">
        <v>1</v>
      </c>
      <c r="F123" s="270">
        <v>12750</v>
      </c>
      <c r="G123" s="289">
        <v>2750</v>
      </c>
      <c r="H123" s="704">
        <v>730</v>
      </c>
      <c r="I123" s="290">
        <v>4570</v>
      </c>
      <c r="J123" s="315">
        <f>+G123/F123</f>
        <v>0.21568627450980393</v>
      </c>
      <c r="K123" s="315">
        <f t="shared" ref="K123" si="83">+H123/F123</f>
        <v>5.7254901960784317E-2</v>
      </c>
      <c r="L123" s="315">
        <f t="shared" si="77"/>
        <v>0.35843137254901963</v>
      </c>
      <c r="M123" s="316">
        <f>+(G123/F123)*E123</f>
        <v>0.21568627450980393</v>
      </c>
      <c r="N123" s="316">
        <f t="shared" ref="N123" si="84">+(H123/F123)*E123</f>
        <v>5.7254901960784317E-2</v>
      </c>
      <c r="O123" s="316"/>
      <c r="P123" s="275">
        <v>2881</v>
      </c>
      <c r="Q123" s="276">
        <v>223</v>
      </c>
      <c r="R123" s="276">
        <f>610-Q123</f>
        <v>387</v>
      </c>
      <c r="S123" s="276">
        <v>109</v>
      </c>
      <c r="T123" s="276">
        <v>0</v>
      </c>
      <c r="U123" s="276">
        <v>41</v>
      </c>
      <c r="V123" s="275">
        <f>+Q123+R123+S123+T123+U123</f>
        <v>760</v>
      </c>
      <c r="W123" s="275">
        <f>+V123+P12+AB123+P123</f>
        <v>3919</v>
      </c>
      <c r="X123" s="1032">
        <v>2</v>
      </c>
      <c r="Y123" s="1032">
        <v>276</v>
      </c>
      <c r="Z123" s="289"/>
      <c r="AA123" s="289"/>
      <c r="AB123" s="289">
        <f t="shared" ref="AB123" si="85">+X123+Y123+Z123+AA123</f>
        <v>278</v>
      </c>
      <c r="AC123" s="277">
        <v>1</v>
      </c>
      <c r="AD123" s="278">
        <v>1</v>
      </c>
      <c r="AE123" s="278">
        <f>+AB123/I123</f>
        <v>6.0831509846827135E-2</v>
      </c>
      <c r="AF123" s="278">
        <f>+AC123*E123</f>
        <v>1</v>
      </c>
      <c r="AG123" s="278">
        <f>+AD123*E123</f>
        <v>1</v>
      </c>
      <c r="AH123" s="278">
        <f t="shared" ref="AH123" si="86">+AE123*E123</f>
        <v>6.0831509846827135E-2</v>
      </c>
      <c r="AI123" s="278">
        <f>+P123/F123</f>
        <v>0.22596078431372549</v>
      </c>
      <c r="AJ123" s="278">
        <v>0.28556862745098038</v>
      </c>
      <c r="AK123" s="278">
        <f t="shared" si="81"/>
        <v>0.30737254901960787</v>
      </c>
      <c r="AL123" s="278">
        <f>+AI123*E123</f>
        <v>0.22596078431372549</v>
      </c>
      <c r="AM123" s="278">
        <f>+AJ123*E123</f>
        <v>0.28556862745098038</v>
      </c>
      <c r="AN123" s="278">
        <f t="shared" ref="AN123" si="87">+AK123*E123</f>
        <v>0.30737254901960787</v>
      </c>
      <c r="AO123" s="532" t="s">
        <v>1844</v>
      </c>
      <c r="AP123" s="534" t="s">
        <v>1895</v>
      </c>
      <c r="AQ123" s="534" t="s">
        <v>1986</v>
      </c>
      <c r="AR123" s="754" t="s">
        <v>2011</v>
      </c>
      <c r="AS123" s="529" t="s">
        <v>2062</v>
      </c>
      <c r="AT123" s="558" t="s">
        <v>2139</v>
      </c>
      <c r="AU123" s="558" t="s">
        <v>2196</v>
      </c>
      <c r="AV123" s="791" t="s">
        <v>1887</v>
      </c>
      <c r="AW123" s="558" t="s">
        <v>2294</v>
      </c>
    </row>
    <row r="124" spans="1:49" ht="122.4" customHeight="1" thickBot="1" x14ac:dyDescent="0.55000000000000004">
      <c r="A124" s="261"/>
      <c r="B124" s="1339" t="s">
        <v>1659</v>
      </c>
      <c r="C124" s="1340"/>
      <c r="D124" s="309"/>
      <c r="E124" s="266">
        <v>0.2</v>
      </c>
      <c r="F124" s="270"/>
      <c r="G124" s="289"/>
      <c r="H124" s="704"/>
      <c r="I124" s="290"/>
      <c r="J124" s="286">
        <f>+AVERAGE(J125)</f>
        <v>0.33</v>
      </c>
      <c r="K124" s="286">
        <f>+AVERAGE(K125)</f>
        <v>0.2</v>
      </c>
      <c r="L124" s="286">
        <f>+AVERAGE(L125)</f>
        <v>0.30220000000000002</v>
      </c>
      <c r="M124" s="287">
        <f>+M125</f>
        <v>0.33</v>
      </c>
      <c r="N124" s="287">
        <f>+N125</f>
        <v>0.2</v>
      </c>
      <c r="O124" s="287"/>
      <c r="P124" s="275"/>
      <c r="Q124" s="275"/>
      <c r="R124" s="275"/>
      <c r="S124" s="275"/>
      <c r="T124" s="275"/>
      <c r="U124" s="815"/>
      <c r="V124" s="275"/>
      <c r="W124" s="275"/>
      <c r="X124" s="289"/>
      <c r="Y124" s="289"/>
      <c r="Z124" s="289"/>
      <c r="AA124" s="289"/>
      <c r="AB124" s="289"/>
      <c r="AC124" s="476">
        <f>+AVERAGE(AC125)</f>
        <v>0.59333333333333338</v>
      </c>
      <c r="AD124" s="476">
        <f>+AVERAGE(AD125)</f>
        <v>0.48899999999999999</v>
      </c>
      <c r="AE124" s="476">
        <f>+AVERAGE(AE125)</f>
        <v>5.4268696227663796E-2</v>
      </c>
      <c r="AF124" s="307">
        <f>+(AF125)*E124</f>
        <v>0.11866666666666668</v>
      </c>
      <c r="AG124" s="307">
        <f>+(AG125)*E124</f>
        <v>9.7799999999999998E-2</v>
      </c>
      <c r="AH124" s="307">
        <f>+(AH125)*E124</f>
        <v>1.085373924553276E-2</v>
      </c>
      <c r="AI124" s="268">
        <f>+AVERAGE(AI125)</f>
        <v>0.1958</v>
      </c>
      <c r="AJ124" s="268">
        <v>0.29360000000000003</v>
      </c>
      <c r="AK124" s="268">
        <f>+AVERAGE(AK125)</f>
        <v>0.32540000000000002</v>
      </c>
      <c r="AL124" s="268">
        <f>+(AL125)*E124</f>
        <v>3.916E-2</v>
      </c>
      <c r="AM124" s="268">
        <f>+(AM125)</f>
        <v>0.29360000000000003</v>
      </c>
      <c r="AN124" s="268">
        <f>+(AN125)</f>
        <v>0.32540000000000002</v>
      </c>
      <c r="AO124" s="639"/>
      <c r="AP124" s="267"/>
      <c r="AQ124" s="267"/>
      <c r="AR124" s="267"/>
      <c r="AS124" s="267"/>
      <c r="AT124" s="755"/>
      <c r="AU124" s="752"/>
      <c r="AV124" s="755"/>
    </row>
    <row r="125" spans="1:49" ht="122.4" customHeight="1" thickBot="1" x14ac:dyDescent="0.45">
      <c r="A125" s="261"/>
      <c r="B125" s="1342" t="s">
        <v>554</v>
      </c>
      <c r="C125" s="1147" t="s">
        <v>555</v>
      </c>
      <c r="D125" s="309" t="s">
        <v>551</v>
      </c>
      <c r="E125" s="269">
        <v>1</v>
      </c>
      <c r="F125" s="270">
        <v>5000</v>
      </c>
      <c r="G125" s="289">
        <v>1650</v>
      </c>
      <c r="H125" s="704">
        <v>1000</v>
      </c>
      <c r="I125" s="290">
        <v>1511</v>
      </c>
      <c r="J125" s="279">
        <f>+G125/F125</f>
        <v>0.33</v>
      </c>
      <c r="K125" s="279">
        <f t="shared" ref="K125" si="88">+H125/F125</f>
        <v>0.2</v>
      </c>
      <c r="L125" s="279">
        <f t="shared" si="77"/>
        <v>0.30220000000000002</v>
      </c>
      <c r="M125" s="280">
        <f>+(G125/F125)*E125</f>
        <v>0.33</v>
      </c>
      <c r="N125" s="280">
        <f t="shared" ref="N125" si="89">+(H125/F125)*E125</f>
        <v>0.2</v>
      </c>
      <c r="O125" s="280"/>
      <c r="P125" s="275">
        <v>979</v>
      </c>
      <c r="Q125" s="276">
        <v>226</v>
      </c>
      <c r="R125" s="276">
        <v>35</v>
      </c>
      <c r="S125" s="276">
        <v>99</v>
      </c>
      <c r="T125" s="276">
        <v>129</v>
      </c>
      <c r="U125" s="276"/>
      <c r="V125" s="275">
        <f>+Q125+R125+S125+T125+U125</f>
        <v>489</v>
      </c>
      <c r="W125" s="275">
        <f>+V125+P125+AB125+77</f>
        <v>1627</v>
      </c>
      <c r="X125" s="1032">
        <v>27</v>
      </c>
      <c r="Y125" s="1032">
        <v>55</v>
      </c>
      <c r="Z125" s="289"/>
      <c r="AA125" s="289"/>
      <c r="AB125" s="289">
        <f t="shared" ref="AB125" si="90">+X125+Y125+Z125+AA125</f>
        <v>82</v>
      </c>
      <c r="AC125" s="277">
        <f>+(P125/G125)</f>
        <v>0.59333333333333338</v>
      </c>
      <c r="AD125" s="278">
        <f>+V125/H125</f>
        <v>0.48899999999999999</v>
      </c>
      <c r="AE125" s="278">
        <f t="shared" ref="AE125" si="91">+AB125/I125</f>
        <v>5.4268696227663796E-2</v>
      </c>
      <c r="AF125" s="278">
        <f>+AC125*E125</f>
        <v>0.59333333333333338</v>
      </c>
      <c r="AG125" s="278">
        <f>+AD125*E125</f>
        <v>0.48899999999999999</v>
      </c>
      <c r="AH125" s="278">
        <f>+AE125*E125</f>
        <v>5.4268696227663796E-2</v>
      </c>
      <c r="AI125" s="278">
        <f>+P125/F125</f>
        <v>0.1958</v>
      </c>
      <c r="AJ125" s="278">
        <v>0.29360000000000003</v>
      </c>
      <c r="AK125" s="278">
        <f t="shared" si="81"/>
        <v>0.32540000000000002</v>
      </c>
      <c r="AL125" s="278">
        <f>+AI125*E125</f>
        <v>0.1958</v>
      </c>
      <c r="AM125" s="278">
        <f>+AJ125*E125</f>
        <v>0.29360000000000003</v>
      </c>
      <c r="AN125" s="278">
        <f t="shared" ref="AN125" si="92">+AK125*E125</f>
        <v>0.32540000000000002</v>
      </c>
      <c r="AO125" s="532" t="s">
        <v>1844</v>
      </c>
      <c r="AP125" s="534" t="s">
        <v>1895</v>
      </c>
      <c r="AQ125" s="534" t="s">
        <v>1986</v>
      </c>
      <c r="AR125" s="754" t="s">
        <v>2011</v>
      </c>
      <c r="AS125" s="529" t="s">
        <v>2063</v>
      </c>
      <c r="AT125" s="558" t="s">
        <v>2139</v>
      </c>
      <c r="AU125" s="599" t="s">
        <v>2220</v>
      </c>
      <c r="AV125" s="599" t="s">
        <v>1859</v>
      </c>
      <c r="AW125" s="558" t="s">
        <v>2294</v>
      </c>
    </row>
    <row r="126" spans="1:49" ht="122.4" customHeight="1" thickBot="1" x14ac:dyDescent="0.55000000000000004">
      <c r="A126" s="261"/>
      <c r="B126" s="1339" t="s">
        <v>1660</v>
      </c>
      <c r="C126" s="1340"/>
      <c r="D126" s="309"/>
      <c r="E126" s="266">
        <v>0.2</v>
      </c>
      <c r="F126" s="270"/>
      <c r="G126" s="289"/>
      <c r="H126" s="704"/>
      <c r="I126" s="290"/>
      <c r="J126" s="286">
        <f>+AVERAGE(J127:J129)</f>
        <v>0.12333333333333334</v>
      </c>
      <c r="K126" s="286">
        <f>+AVERAGE(K127:K129)</f>
        <v>0.29577777777777775</v>
      </c>
      <c r="L126" s="286">
        <f>+AVERAGE(L127:L129)</f>
        <v>0.26111111111111113</v>
      </c>
      <c r="M126" s="287">
        <f>+M127+M128+M129</f>
        <v>8.5999999999999993E-2</v>
      </c>
      <c r="N126" s="287">
        <f>+N127+N128+N129</f>
        <v>0.30786666666666662</v>
      </c>
      <c r="O126" s="287"/>
      <c r="P126" s="275"/>
      <c r="Q126" s="288"/>
      <c r="R126" s="288"/>
      <c r="S126" s="288"/>
      <c r="T126" s="288"/>
      <c r="U126" s="816"/>
      <c r="V126" s="288"/>
      <c r="W126" s="288"/>
      <c r="X126" s="936"/>
      <c r="Y126" s="936"/>
      <c r="Z126" s="936"/>
      <c r="AA126" s="936"/>
      <c r="AB126" s="936"/>
      <c r="AC126" s="476">
        <f>+AVERAGE(AC127:AC129)</f>
        <v>0.9</v>
      </c>
      <c r="AD126" s="476">
        <f>+AVERAGE(AD127:AD129)</f>
        <v>0.65104385964912281</v>
      </c>
      <c r="AE126" s="476">
        <f>+AVERAGE(AE127:AE129)</f>
        <v>0.16666666666666666</v>
      </c>
      <c r="AF126" s="307">
        <f>+(AF127+AF128+AF129)*E126</f>
        <v>8.8000000000000009E-2</v>
      </c>
      <c r="AG126" s="307">
        <f>+(AG127+AG128+AG129)*E126</f>
        <v>0.1237078947368421</v>
      </c>
      <c r="AH126" s="307">
        <f>+(AH127+AH128+AH129)*E126</f>
        <v>2.6800000000000004E-2</v>
      </c>
      <c r="AI126" s="268">
        <f>+AVERAGE(AI127:AI129)</f>
        <v>0.11533333333333333</v>
      </c>
      <c r="AJ126" s="268">
        <v>0.2935666666666667</v>
      </c>
      <c r="AK126" s="268">
        <f>+AVERAGE(AK127:AK129)</f>
        <v>0.34240000000000004</v>
      </c>
      <c r="AL126" s="268">
        <f>+(AL127+AL128+AL129)*E126</f>
        <v>1.5760000000000003E-2</v>
      </c>
      <c r="AM126" s="268">
        <f>+(AM127+AM128+AM129)</f>
        <v>0.26100999999999996</v>
      </c>
      <c r="AN126" s="268">
        <f>+(AN127+AN128+AN129)</f>
        <v>0.29936000000000007</v>
      </c>
      <c r="AO126" s="639"/>
      <c r="AP126" s="267"/>
      <c r="AQ126" s="267"/>
      <c r="AR126" s="267"/>
      <c r="AS126" s="267"/>
      <c r="AT126" s="755"/>
      <c r="AU126" s="752"/>
      <c r="AV126" s="755"/>
    </row>
    <row r="127" spans="1:49" ht="122.4" customHeight="1" thickBot="1" x14ac:dyDescent="0.45">
      <c r="A127" s="261"/>
      <c r="B127" s="1342" t="s">
        <v>556</v>
      </c>
      <c r="C127" s="1147" t="s">
        <v>557</v>
      </c>
      <c r="D127" s="309" t="s">
        <v>551</v>
      </c>
      <c r="E127" s="269">
        <v>0.3</v>
      </c>
      <c r="F127" s="270">
        <v>5</v>
      </c>
      <c r="G127" s="289">
        <v>0.6</v>
      </c>
      <c r="H127" s="704">
        <v>1.52</v>
      </c>
      <c r="I127" s="290">
        <v>1</v>
      </c>
      <c r="J127" s="279">
        <f>+G127/F127</f>
        <v>0.12</v>
      </c>
      <c r="K127" s="279">
        <f t="shared" ref="K127:K129" si="93">+H127/F127</f>
        <v>0.30399999999999999</v>
      </c>
      <c r="L127" s="279">
        <f t="shared" si="77"/>
        <v>0.2</v>
      </c>
      <c r="M127" s="280">
        <f>+(G127/F127)*E127</f>
        <v>3.5999999999999997E-2</v>
      </c>
      <c r="N127" s="280">
        <f t="shared" ref="N127:N129" si="94">+(H127/F127)*E127</f>
        <v>9.1199999999999989E-2</v>
      </c>
      <c r="O127" s="280"/>
      <c r="P127" s="275">
        <v>0.48</v>
      </c>
      <c r="Q127" s="276">
        <v>0</v>
      </c>
      <c r="R127" s="276">
        <v>0.24</v>
      </c>
      <c r="S127" s="276">
        <v>6.4000000000000001E-2</v>
      </c>
      <c r="T127" s="276">
        <v>9.9000000000000032E-2</v>
      </c>
      <c r="U127" s="276">
        <v>3.7999999999999978E-2</v>
      </c>
      <c r="V127" s="274">
        <f>+Q127+R127+S127+T127+U127</f>
        <v>0.441</v>
      </c>
      <c r="W127" s="281">
        <f>+V127+P127+AB127</f>
        <v>1.081</v>
      </c>
      <c r="X127" s="1033">
        <v>0.11</v>
      </c>
      <c r="Y127" s="1033">
        <v>0.05</v>
      </c>
      <c r="Z127" s="941"/>
      <c r="AA127" s="941"/>
      <c r="AB127" s="941">
        <f t="shared" ref="AB127:AB129" si="95">+X127+Y127+Z127+AA127</f>
        <v>0.16</v>
      </c>
      <c r="AC127" s="277">
        <f>+(P127/G127)</f>
        <v>0.8</v>
      </c>
      <c r="AD127" s="278">
        <f>+V127/H127</f>
        <v>0.29013157894736841</v>
      </c>
      <c r="AE127" s="278">
        <f>+AB127/I127</f>
        <v>0.16</v>
      </c>
      <c r="AF127" s="278">
        <f>+AC127*E127</f>
        <v>0.24</v>
      </c>
      <c r="AG127" s="278">
        <f>+AD127*E127</f>
        <v>8.7039473684210514E-2</v>
      </c>
      <c r="AH127" s="278">
        <f>+AE127*E127</f>
        <v>4.8000000000000001E-2</v>
      </c>
      <c r="AI127" s="278">
        <f>+P127/F127</f>
        <v>9.6000000000000002E-2</v>
      </c>
      <c r="AJ127" s="278">
        <v>0.1842</v>
      </c>
      <c r="AK127" s="278">
        <f t="shared" si="81"/>
        <v>0.2162</v>
      </c>
      <c r="AL127" s="278">
        <f>+AI127*E127</f>
        <v>2.8799999999999999E-2</v>
      </c>
      <c r="AM127" s="278">
        <f>+AJ127*E127</f>
        <v>5.5259999999999997E-2</v>
      </c>
      <c r="AN127" s="278">
        <f t="shared" ref="AN127:AN129" si="96">+AK127*E127</f>
        <v>6.4860000000000001E-2</v>
      </c>
      <c r="AO127" s="532" t="s">
        <v>1844</v>
      </c>
      <c r="AP127" s="534" t="s">
        <v>1895</v>
      </c>
      <c r="AQ127" s="534" t="s">
        <v>1986</v>
      </c>
      <c r="AR127" s="754" t="s">
        <v>2011</v>
      </c>
      <c r="AS127" s="754" t="s">
        <v>2107</v>
      </c>
      <c r="AT127" s="558" t="s">
        <v>2139</v>
      </c>
      <c r="AU127" s="599" t="s">
        <v>2220</v>
      </c>
      <c r="AV127" s="599" t="s">
        <v>1859</v>
      </c>
      <c r="AW127" s="558" t="s">
        <v>2294</v>
      </c>
    </row>
    <row r="128" spans="1:49" ht="122.4" customHeight="1" thickBot="1" x14ac:dyDescent="0.45">
      <c r="A128" s="261"/>
      <c r="B128" s="1342" t="s">
        <v>558</v>
      </c>
      <c r="C128" s="1147" t="s">
        <v>559</v>
      </c>
      <c r="D128" s="309" t="s">
        <v>560</v>
      </c>
      <c r="E128" s="269">
        <v>0.5</v>
      </c>
      <c r="F128" s="270">
        <v>6</v>
      </c>
      <c r="G128" s="289">
        <v>0</v>
      </c>
      <c r="H128" s="704">
        <v>2</v>
      </c>
      <c r="I128" s="290">
        <v>2</v>
      </c>
      <c r="J128" s="315">
        <v>0</v>
      </c>
      <c r="K128" s="315">
        <f t="shared" si="93"/>
        <v>0.33333333333333331</v>
      </c>
      <c r="L128" s="315">
        <f>+I128/F128</f>
        <v>0.33333333333333331</v>
      </c>
      <c r="M128" s="280"/>
      <c r="N128" s="280">
        <f t="shared" si="94"/>
        <v>0.16666666666666666</v>
      </c>
      <c r="O128" s="280"/>
      <c r="P128" s="275"/>
      <c r="Q128" s="276">
        <v>0</v>
      </c>
      <c r="R128" s="276">
        <v>1.24</v>
      </c>
      <c r="S128" s="276">
        <v>0.03</v>
      </c>
      <c r="T128" s="276">
        <v>1.4E-2</v>
      </c>
      <c r="U128" s="276">
        <v>4.4999999999999998E-2</v>
      </c>
      <c r="V128" s="275">
        <v>1.3260000000000001</v>
      </c>
      <c r="W128" s="274">
        <f>+V128+P128+AB128</f>
        <v>1.4460000000000002</v>
      </c>
      <c r="X128" s="482">
        <v>4.4999999999999998E-2</v>
      </c>
      <c r="Y128" s="482">
        <v>7.4999999999999997E-2</v>
      </c>
      <c r="Z128" s="290"/>
      <c r="AA128" s="290"/>
      <c r="AB128" s="290">
        <f t="shared" si="95"/>
        <v>0.12</v>
      </c>
      <c r="AC128" s="323"/>
      <c r="AD128" s="278">
        <f>+V128/H128</f>
        <v>0.66300000000000003</v>
      </c>
      <c r="AE128" s="278">
        <f>+AB128/I128</f>
        <v>0.06</v>
      </c>
      <c r="AF128" s="278"/>
      <c r="AG128" s="278">
        <f>+AD128*E128</f>
        <v>0.33150000000000002</v>
      </c>
      <c r="AH128" s="278">
        <f>+AE128*E128</f>
        <v>0.03</v>
      </c>
      <c r="AI128" s="478">
        <v>0</v>
      </c>
      <c r="AJ128" s="278">
        <v>0.2215</v>
      </c>
      <c r="AK128" s="278">
        <f t="shared" si="81"/>
        <v>0.24100000000000002</v>
      </c>
      <c r="AL128" s="278"/>
      <c r="AM128" s="278">
        <f>+AJ128*E128</f>
        <v>0.11075</v>
      </c>
      <c r="AN128" s="278">
        <f t="shared" si="96"/>
        <v>0.12050000000000001</v>
      </c>
      <c r="AO128" s="532" t="s">
        <v>1844</v>
      </c>
      <c r="AP128" s="599" t="s">
        <v>1913</v>
      </c>
      <c r="AQ128" s="267"/>
      <c r="AR128" s="754" t="s">
        <v>2011</v>
      </c>
      <c r="AS128" s="529" t="s">
        <v>2085</v>
      </c>
      <c r="AT128" s="558" t="s">
        <v>2139</v>
      </c>
      <c r="AU128" s="558" t="s">
        <v>2196</v>
      </c>
      <c r="AV128" s="558" t="s">
        <v>1887</v>
      </c>
      <c r="AW128" s="558" t="s">
        <v>2294</v>
      </c>
    </row>
    <row r="129" spans="1:49" ht="122.4" customHeight="1" thickBot="1" x14ac:dyDescent="0.45">
      <c r="A129" s="261"/>
      <c r="B129" s="1342" t="s">
        <v>561</v>
      </c>
      <c r="C129" s="1147" t="s">
        <v>562</v>
      </c>
      <c r="D129" s="568" t="s">
        <v>551</v>
      </c>
      <c r="E129" s="269">
        <v>0.2</v>
      </c>
      <c r="F129" s="270">
        <v>4</v>
      </c>
      <c r="G129" s="289">
        <v>1</v>
      </c>
      <c r="H129" s="704">
        <v>1</v>
      </c>
      <c r="I129" s="290">
        <v>1</v>
      </c>
      <c r="J129" s="279">
        <f>+G129/F129</f>
        <v>0.25</v>
      </c>
      <c r="K129" s="279">
        <f t="shared" si="93"/>
        <v>0.25</v>
      </c>
      <c r="L129" s="330">
        <f t="shared" si="77"/>
        <v>0.25</v>
      </c>
      <c r="M129" s="331">
        <f>+(G129/F129)*E129</f>
        <v>0.05</v>
      </c>
      <c r="N129" s="331">
        <f t="shared" si="94"/>
        <v>0.05</v>
      </c>
      <c r="O129" s="331"/>
      <c r="P129" s="317">
        <v>1</v>
      </c>
      <c r="Q129" s="477">
        <v>0</v>
      </c>
      <c r="R129" s="477">
        <v>0.22</v>
      </c>
      <c r="S129" s="477">
        <v>0.12</v>
      </c>
      <c r="T129" s="477">
        <v>0.21000000000000013</v>
      </c>
      <c r="U129" s="477">
        <v>0.45</v>
      </c>
      <c r="V129" s="317">
        <f t="shared" ref="V129" si="97">+Q129+R129+S129+T129+U129</f>
        <v>1</v>
      </c>
      <c r="W129" s="957">
        <f t="shared" ref="W129" si="98">+V129+P129+AB129</f>
        <v>2.2800000000000002</v>
      </c>
      <c r="X129" s="1034">
        <v>0.14000000000000001</v>
      </c>
      <c r="Y129" s="482">
        <v>0.14000000000000001</v>
      </c>
      <c r="Z129" s="290"/>
      <c r="AA129" s="290"/>
      <c r="AB129" s="290">
        <f t="shared" si="95"/>
        <v>0.28000000000000003</v>
      </c>
      <c r="AC129" s="323">
        <f>+(P129/G129)</f>
        <v>1</v>
      </c>
      <c r="AD129" s="278">
        <f>+V129/H129</f>
        <v>1</v>
      </c>
      <c r="AE129" s="278">
        <f>+AB129/I129</f>
        <v>0.28000000000000003</v>
      </c>
      <c r="AF129" s="278">
        <f>+AC129*E129</f>
        <v>0.2</v>
      </c>
      <c r="AG129" s="278">
        <f>+AD129*E129</f>
        <v>0.2</v>
      </c>
      <c r="AH129" s="278">
        <f>+AE129*E129</f>
        <v>5.6000000000000008E-2</v>
      </c>
      <c r="AI129" s="278">
        <f>+P129/F129</f>
        <v>0.25</v>
      </c>
      <c r="AJ129" s="278">
        <v>0.47499999999999998</v>
      </c>
      <c r="AK129" s="278">
        <f t="shared" si="81"/>
        <v>0.57000000000000006</v>
      </c>
      <c r="AL129" s="278">
        <f>+AI129*E129</f>
        <v>0.05</v>
      </c>
      <c r="AM129" s="278">
        <f>+AJ129*E129</f>
        <v>9.5000000000000001E-2</v>
      </c>
      <c r="AN129" s="278">
        <f t="shared" si="96"/>
        <v>0.11400000000000002</v>
      </c>
      <c r="AO129" s="532" t="s">
        <v>1844</v>
      </c>
      <c r="AP129" s="534" t="s">
        <v>1895</v>
      </c>
      <c r="AQ129" s="534" t="s">
        <v>1986</v>
      </c>
      <c r="AR129" s="754" t="s">
        <v>2011</v>
      </c>
      <c r="AS129" s="754" t="s">
        <v>2107</v>
      </c>
      <c r="AT129" s="558" t="s">
        <v>2139</v>
      </c>
      <c r="AU129" s="599" t="s">
        <v>2220</v>
      </c>
      <c r="AV129" s="558" t="s">
        <v>1887</v>
      </c>
      <c r="AW129" s="558" t="s">
        <v>2294</v>
      </c>
    </row>
    <row r="130" spans="1:49" ht="150.6" customHeight="1" thickBot="1" x14ac:dyDescent="0.55000000000000004">
      <c r="A130" s="261"/>
      <c r="B130" s="1349" t="s">
        <v>1661</v>
      </c>
      <c r="C130" s="1340"/>
      <c r="D130" s="318"/>
      <c r="E130" s="301">
        <v>0.15</v>
      </c>
      <c r="F130" s="302">
        <f>+E130*AF130</f>
        <v>0.12345</v>
      </c>
      <c r="G130" s="285"/>
      <c r="H130" s="928">
        <f>+E130*AG130</f>
        <v>0.11834000541795665</v>
      </c>
      <c r="I130" s="263">
        <f>E130*AH130</f>
        <v>6.5685391120658798E-2</v>
      </c>
      <c r="J130" s="312">
        <f>+(J131+J140+J145+J148+J154+J160)/5</f>
        <v>0.22655250131358057</v>
      </c>
      <c r="K130" s="319">
        <f>+(K131+K140+K145+K148+K154+K160)/6</f>
        <v>0.40396612216494382</v>
      </c>
      <c r="L130" s="265">
        <f>+(L131+L140+L145+L148+L154+L160)/6</f>
        <v>0.29090906847916592</v>
      </c>
      <c r="M130" s="320">
        <f>+(M131+M140+M145+M148+M154+M160)/5</f>
        <v>0.2503571688629197</v>
      </c>
      <c r="N130" s="320">
        <f>+(N131+N140+N145+N148+N154+N160)/6</f>
        <v>0.34713104798682154</v>
      </c>
      <c r="O130" s="320"/>
      <c r="P130" s="290"/>
      <c r="Q130" s="290"/>
      <c r="R130" s="290"/>
      <c r="S130" s="290"/>
      <c r="T130" s="290"/>
      <c r="U130" s="817"/>
      <c r="V130" s="290"/>
      <c r="W130" s="290"/>
      <c r="X130" s="290"/>
      <c r="Y130" s="290"/>
      <c r="Z130" s="290"/>
      <c r="AA130" s="290"/>
      <c r="AB130" s="290"/>
      <c r="AC130" s="319">
        <f>+(AC131+AC140+AC145+AC148+AC154+AC160)/5</f>
        <v>0.95500000000000007</v>
      </c>
      <c r="AD130" s="265">
        <f>+(AD131+AD140+AD145+AD148+AD154+AD160)/6</f>
        <v>0.77299867847723902</v>
      </c>
      <c r="AE130" s="265">
        <f>+(AE131+AE140+AE145+AE148+AE154+AE160)/6</f>
        <v>0.42240063770537456</v>
      </c>
      <c r="AF130" s="320">
        <f>+AF131+AF140+AF145+AF148+AF154+AF160</f>
        <v>0.82300000000000006</v>
      </c>
      <c r="AG130" s="320">
        <f>+AG131+AG140+AG145+AG148+AG154+AG160</f>
        <v>0.78893336945304438</v>
      </c>
      <c r="AH130" s="320">
        <f>+AH131+AH140+AH145+AH148+AH154+AH160</f>
        <v>0.43790260747105869</v>
      </c>
      <c r="AI130" s="265">
        <f>(AI131+AI140+AI145+AI148+AI154+AI160)/5</f>
        <v>0.22548244629073172</v>
      </c>
      <c r="AJ130" s="265">
        <v>0.67944991280412703</v>
      </c>
      <c r="AK130" s="265">
        <f>(AK131+AK140+AK145+AK148+AK154+AK160)/5</f>
        <v>0.73574166511009231</v>
      </c>
      <c r="AL130" s="320">
        <f>(AL131+AL140+AL145+AL148+AL154+AL160)</f>
        <v>0.19044610699286973</v>
      </c>
      <c r="AM130" s="320">
        <f>(AM131*E131)+(AM140*E140)+(AM145*E145)+(AM148*E148)+(AM154*E154)+(AM160*E160)</f>
        <v>0.53503946200167696</v>
      </c>
      <c r="AN130" s="320">
        <f>(AN131*E131)+(AN140*E140)+(AN145*E145)+(AN148*E148)+(AN154*E154)+(AN160*E160)</f>
        <v>0.58026576484522496</v>
      </c>
      <c r="AO130" s="747"/>
      <c r="AP130" s="757" t="s">
        <v>1961</v>
      </c>
      <c r="AQ130" s="267"/>
      <c r="AR130" s="267"/>
      <c r="AS130" s="267"/>
      <c r="AT130" s="755"/>
      <c r="AU130" s="752"/>
      <c r="AV130" s="757" t="s">
        <v>1961</v>
      </c>
    </row>
    <row r="131" spans="1:49" ht="122.4" customHeight="1" thickBot="1" x14ac:dyDescent="0.55000000000000004">
      <c r="A131" s="261"/>
      <c r="B131" s="1339" t="s">
        <v>1662</v>
      </c>
      <c r="C131" s="1340"/>
      <c r="D131" s="575"/>
      <c r="E131" s="266">
        <v>0.3</v>
      </c>
      <c r="F131" s="284"/>
      <c r="G131" s="285"/>
      <c r="H131" s="926"/>
      <c r="I131" s="267"/>
      <c r="J131" s="286">
        <f>+AVERAGE(J132:J139)</f>
        <v>0.10484583990123605</v>
      </c>
      <c r="K131" s="337">
        <f>+AVERAGE(K132:K139)</f>
        <v>0.29872381632299655</v>
      </c>
      <c r="L131" s="268">
        <f>+AVERAGE(L132:L139)</f>
        <v>0.17201691087499532</v>
      </c>
      <c r="M131" s="268">
        <f>+M132+M133+M134+M135+M136+M137+M138+M139</f>
        <v>6.9160844314598499E-2</v>
      </c>
      <c r="N131" s="268">
        <f>+N132+N133+N134+N135+N136+N137+N138+N139</f>
        <v>0.33846857958759585</v>
      </c>
      <c r="O131" s="268"/>
      <c r="P131" s="290"/>
      <c r="Q131" s="321"/>
      <c r="R131" s="321"/>
      <c r="S131" s="321"/>
      <c r="T131" s="321"/>
      <c r="U131" s="818"/>
      <c r="V131" s="321"/>
      <c r="W131" s="321"/>
      <c r="X131" s="321"/>
      <c r="Y131" s="321"/>
      <c r="Z131" s="321"/>
      <c r="AA131" s="321"/>
      <c r="AB131" s="321"/>
      <c r="AC131" s="479">
        <f>+AVERAGE(AC132:AC139)</f>
        <v>1.5</v>
      </c>
      <c r="AD131" s="307">
        <f>+AVERAGE(AD132:AD139)</f>
        <v>0.9198774509803922</v>
      </c>
      <c r="AE131" s="307">
        <f>+AVERAGE(AE132:AE139)</f>
        <v>0.76479353144766693</v>
      </c>
      <c r="AF131" s="307">
        <f>+(AF132+AF133+AF134+AF135+AF136+AF137+AF138+AF139)*E131</f>
        <v>0.435</v>
      </c>
      <c r="AG131" s="307">
        <f>+(AG132+AG133+AG134+AG135+AG136+AG137+AG138+AG139)*E131</f>
        <v>0.25696617647058823</v>
      </c>
      <c r="AH131" s="307">
        <f>+(AH132+AH133+AH134+AH135+AH136+AH137+AH138+AH139)*E131</f>
        <v>0.15011209273182957</v>
      </c>
      <c r="AI131" s="268">
        <f>+AVERAGE(AI132:AI139)</f>
        <v>0.15817612034254738</v>
      </c>
      <c r="AJ131" s="268">
        <v>0.58670067513174595</v>
      </c>
      <c r="AK131" s="268">
        <f>+AVERAGE(AK132:AK139)</f>
        <v>0.71357332555046149</v>
      </c>
      <c r="AL131" s="268">
        <f>+(AL132+AL133+AL134+AL135+AL136+AL137+AL138+AL139)*E131</f>
        <v>3.4655134770647515E-2</v>
      </c>
      <c r="AM131" s="268">
        <f>+(AM132+AM133+AM134+AM135+AM136+AM137+AM138+AM139)</f>
        <v>0.51559228074633057</v>
      </c>
      <c r="AN131" s="268">
        <f>+(AN132+AN133+AN134+AN135+AN136+AN137+AN138+AN139)</f>
        <v>0.61018504948408325</v>
      </c>
      <c r="AO131" s="639"/>
      <c r="AP131" s="267"/>
      <c r="AQ131" s="267"/>
      <c r="AR131" s="267"/>
      <c r="AS131" s="267"/>
      <c r="AT131" s="755"/>
      <c r="AU131" s="752"/>
      <c r="AV131" s="755"/>
    </row>
    <row r="132" spans="1:49" ht="122.4" customHeight="1" thickBot="1" x14ac:dyDescent="0.45">
      <c r="A132" s="261"/>
      <c r="B132" s="1342" t="s">
        <v>563</v>
      </c>
      <c r="C132" s="1302" t="s">
        <v>564</v>
      </c>
      <c r="D132" s="444" t="s">
        <v>565</v>
      </c>
      <c r="E132" s="269">
        <v>0.15</v>
      </c>
      <c r="F132" s="270">
        <v>306059</v>
      </c>
      <c r="G132" s="660">
        <v>40000</v>
      </c>
      <c r="H132" s="704">
        <v>88693</v>
      </c>
      <c r="I132" s="290">
        <v>65498.5</v>
      </c>
      <c r="J132" s="279">
        <f t="shared" ref="J132:J137" si="99">+G132/F132</f>
        <v>0.13069375512564571</v>
      </c>
      <c r="K132" s="332">
        <f t="shared" ref="K132:K163" si="100">+H132/F132</f>
        <v>0.28979053058397236</v>
      </c>
      <c r="L132" s="333">
        <f t="shared" ref="L132:L139" si="101">+I132/F132</f>
        <v>0.21400612300242763</v>
      </c>
      <c r="M132" s="333">
        <f t="shared" ref="M132:M137" si="102">+(G132/F132)*E132</f>
        <v>1.9604063268846856E-2</v>
      </c>
      <c r="N132" s="333">
        <f t="shared" ref="N132:N163" si="103">+(H132/F132)*E132</f>
        <v>4.3468579587595854E-2</v>
      </c>
      <c r="O132" s="333"/>
      <c r="P132" s="322">
        <v>47985</v>
      </c>
      <c r="Q132" s="482">
        <v>3268</v>
      </c>
      <c r="R132" s="687">
        <v>18520</v>
      </c>
      <c r="S132" s="687">
        <v>87295</v>
      </c>
      <c r="T132" s="687">
        <v>17994</v>
      </c>
      <c r="U132" s="687">
        <f>17994-T132</f>
        <v>0</v>
      </c>
      <c r="V132" s="322">
        <f t="shared" ref="V132:V138" si="104">+Q132+R132+S132+T132+U132</f>
        <v>127077</v>
      </c>
      <c r="W132" s="322">
        <f>+V132+P132+AB132</f>
        <v>269742</v>
      </c>
      <c r="X132" s="687">
        <v>35351</v>
      </c>
      <c r="Y132" s="687">
        <v>59329</v>
      </c>
      <c r="Z132" s="322"/>
      <c r="AA132" s="322"/>
      <c r="AB132" s="322">
        <f t="shared" ref="AB132:AB143" si="105">+X132+Y132+Z132+AA132</f>
        <v>94680</v>
      </c>
      <c r="AC132" s="323">
        <v>1</v>
      </c>
      <c r="AD132" s="278">
        <v>1</v>
      </c>
      <c r="AE132" s="278">
        <v>1</v>
      </c>
      <c r="AF132" s="278">
        <f t="shared" ref="AF132:AF137" si="106">+AC132*E132</f>
        <v>0.15</v>
      </c>
      <c r="AG132" s="278">
        <f t="shared" ref="AG132:AG139" si="107">+AD132*E132</f>
        <v>0.15</v>
      </c>
      <c r="AH132" s="278">
        <f t="shared" ref="AH132:AH139" si="108">+AE132*E132</f>
        <v>0.15</v>
      </c>
      <c r="AI132" s="278">
        <f t="shared" ref="AI132:AI137" si="109">+P132/F132</f>
        <v>0.15678349599260274</v>
      </c>
      <c r="AJ132" s="278">
        <v>0.57198775399514468</v>
      </c>
      <c r="AK132" s="278">
        <f t="shared" ref="AK132:AK138" si="110">+W132/F132</f>
        <v>0.88133987237754807</v>
      </c>
      <c r="AL132" s="278">
        <f t="shared" ref="AL132:AL137" si="111">+AI132*E132</f>
        <v>2.3517524398890412E-2</v>
      </c>
      <c r="AM132" s="278">
        <f t="shared" ref="AM132:AM139" si="112">+AJ132*E132</f>
        <v>8.5798163099271699E-2</v>
      </c>
      <c r="AN132" s="278">
        <f t="shared" ref="AN132:AN163" si="113">+AK132*E132</f>
        <v>0.13220098085663221</v>
      </c>
      <c r="AO132" s="532" t="s">
        <v>1844</v>
      </c>
      <c r="AP132" s="529" t="s">
        <v>1886</v>
      </c>
      <c r="AQ132" s="529" t="s">
        <v>1986</v>
      </c>
      <c r="AR132" s="754" t="s">
        <v>2011</v>
      </c>
      <c r="AS132" s="754" t="s">
        <v>2107</v>
      </c>
      <c r="AT132" s="558" t="s">
        <v>2139</v>
      </c>
      <c r="AU132" s="558" t="s">
        <v>2196</v>
      </c>
      <c r="AV132" s="558" t="s">
        <v>1887</v>
      </c>
      <c r="AW132" s="533" t="s">
        <v>1859</v>
      </c>
    </row>
    <row r="133" spans="1:49" ht="132.6" customHeight="1" thickBot="1" x14ac:dyDescent="0.45">
      <c r="A133" s="261"/>
      <c r="B133" s="1342" t="s">
        <v>566</v>
      </c>
      <c r="C133" s="1302" t="s">
        <v>567</v>
      </c>
      <c r="D133" s="520" t="s">
        <v>565</v>
      </c>
      <c r="E133" s="269">
        <v>0.1</v>
      </c>
      <c r="F133" s="270">
        <f>18*4</f>
        <v>72</v>
      </c>
      <c r="G133" s="289">
        <v>4</v>
      </c>
      <c r="H133" s="704">
        <v>18</v>
      </c>
      <c r="I133" s="290">
        <v>18</v>
      </c>
      <c r="J133" s="279">
        <f t="shared" si="99"/>
        <v>5.5555555555555552E-2</v>
      </c>
      <c r="K133" s="332">
        <f t="shared" si="100"/>
        <v>0.25</v>
      </c>
      <c r="L133" s="333">
        <f t="shared" si="101"/>
        <v>0.25</v>
      </c>
      <c r="M133" s="333">
        <f t="shared" si="102"/>
        <v>5.5555555555555558E-3</v>
      </c>
      <c r="N133" s="333">
        <f t="shared" si="103"/>
        <v>2.5000000000000001E-2</v>
      </c>
      <c r="O133" s="333"/>
      <c r="P133" s="325">
        <v>2</v>
      </c>
      <c r="Q133" s="482">
        <v>4</v>
      </c>
      <c r="R133" s="482">
        <v>14</v>
      </c>
      <c r="S133" s="482">
        <v>0</v>
      </c>
      <c r="T133" s="482">
        <v>10</v>
      </c>
      <c r="U133" s="482">
        <v>0</v>
      </c>
      <c r="V133" s="290">
        <f>+Q133+R133+S133+T133+U133</f>
        <v>28</v>
      </c>
      <c r="W133" s="322">
        <f>+V133+P133+AB133</f>
        <v>47</v>
      </c>
      <c r="X133" s="482">
        <v>0</v>
      </c>
      <c r="Y133" s="482">
        <v>17</v>
      </c>
      <c r="Z133" s="290"/>
      <c r="AA133" s="290"/>
      <c r="AB133" s="290">
        <f t="shared" si="105"/>
        <v>17</v>
      </c>
      <c r="AC133" s="323">
        <f>+(P133/G133)</f>
        <v>0.5</v>
      </c>
      <c r="AD133" s="278">
        <v>1</v>
      </c>
      <c r="AE133" s="278">
        <f t="shared" ref="AE133:AE163" si="114">+AB133/I133</f>
        <v>0.94444444444444442</v>
      </c>
      <c r="AF133" s="278">
        <f t="shared" si="106"/>
        <v>0.05</v>
      </c>
      <c r="AG133" s="278">
        <f t="shared" si="107"/>
        <v>0.1</v>
      </c>
      <c r="AH133" s="278">
        <f t="shared" si="108"/>
        <v>9.4444444444444442E-2</v>
      </c>
      <c r="AI133" s="278">
        <f t="shared" si="109"/>
        <v>2.7777777777777776E-2</v>
      </c>
      <c r="AJ133" s="278">
        <v>0.5</v>
      </c>
      <c r="AK133" s="278">
        <f>+AJ133+(AE133*0.25)</f>
        <v>0.73611111111111116</v>
      </c>
      <c r="AL133" s="278">
        <f t="shared" si="111"/>
        <v>2.7777777777777779E-3</v>
      </c>
      <c r="AM133" s="278">
        <f t="shared" si="112"/>
        <v>0.05</v>
      </c>
      <c r="AN133" s="278">
        <f t="shared" si="113"/>
        <v>7.3611111111111113E-2</v>
      </c>
      <c r="AO133" s="532" t="s">
        <v>1844</v>
      </c>
      <c r="AP133" s="758" t="s">
        <v>1919</v>
      </c>
      <c r="AQ133" s="759" t="s">
        <v>2017</v>
      </c>
      <c r="AR133" s="754" t="s">
        <v>2011</v>
      </c>
      <c r="AS133" s="533" t="s">
        <v>2111</v>
      </c>
      <c r="AT133" s="558" t="s">
        <v>2139</v>
      </c>
      <c r="AU133" s="558" t="s">
        <v>2196</v>
      </c>
      <c r="AV133" s="558" t="s">
        <v>1887</v>
      </c>
      <c r="AW133" s="533" t="s">
        <v>1859</v>
      </c>
    </row>
    <row r="134" spans="1:49" ht="122.4" customHeight="1" thickBot="1" x14ac:dyDescent="0.45">
      <c r="A134" s="261"/>
      <c r="B134" s="1342" t="s">
        <v>568</v>
      </c>
      <c r="C134" s="1302" t="s">
        <v>569</v>
      </c>
      <c r="D134" s="582" t="s">
        <v>565</v>
      </c>
      <c r="E134" s="269">
        <v>0.05</v>
      </c>
      <c r="F134" s="270">
        <f>1800*4</f>
        <v>7200</v>
      </c>
      <c r="G134" s="324">
        <v>375</v>
      </c>
      <c r="H134" s="704">
        <v>1800</v>
      </c>
      <c r="I134" s="290">
        <v>840</v>
      </c>
      <c r="J134" s="279">
        <f t="shared" si="99"/>
        <v>5.2083333333333336E-2</v>
      </c>
      <c r="K134" s="332">
        <f t="shared" si="100"/>
        <v>0.25</v>
      </c>
      <c r="L134" s="333">
        <f t="shared" si="101"/>
        <v>0.11666666666666667</v>
      </c>
      <c r="M134" s="333">
        <f t="shared" si="102"/>
        <v>2.604166666666667E-3</v>
      </c>
      <c r="N134" s="333">
        <f t="shared" si="103"/>
        <v>1.2500000000000001E-2</v>
      </c>
      <c r="O134" s="333"/>
      <c r="P134" s="325">
        <v>375</v>
      </c>
      <c r="Q134" s="482">
        <v>9</v>
      </c>
      <c r="R134" s="482">
        <v>591</v>
      </c>
      <c r="S134" s="482">
        <v>728</v>
      </c>
      <c r="T134" s="482">
        <v>205</v>
      </c>
      <c r="U134" s="482">
        <v>0</v>
      </c>
      <c r="V134" s="325">
        <f t="shared" si="104"/>
        <v>1533</v>
      </c>
      <c r="W134" s="322">
        <f t="shared" ref="W134:W136" si="115">+V134+P134+AB134</f>
        <v>2165</v>
      </c>
      <c r="X134" s="482">
        <v>85</v>
      </c>
      <c r="Y134" s="482">
        <v>172</v>
      </c>
      <c r="Z134" s="325"/>
      <c r="AA134" s="325"/>
      <c r="AB134" s="325">
        <f>+X134+Y134+Z134+AA134</f>
        <v>257</v>
      </c>
      <c r="AC134" s="323">
        <v>1</v>
      </c>
      <c r="AD134" s="278">
        <f>+V134/H134</f>
        <v>0.85166666666666668</v>
      </c>
      <c r="AE134" s="278">
        <f t="shared" si="114"/>
        <v>0.30595238095238098</v>
      </c>
      <c r="AF134" s="283">
        <f t="shared" si="106"/>
        <v>0.05</v>
      </c>
      <c r="AG134" s="283">
        <f t="shared" si="107"/>
        <v>4.2583333333333334E-2</v>
      </c>
      <c r="AH134" s="283">
        <f t="shared" si="108"/>
        <v>1.5297619047619049E-2</v>
      </c>
      <c r="AI134" s="278">
        <f t="shared" si="109"/>
        <v>5.2083333333333336E-2</v>
      </c>
      <c r="AJ134" s="278">
        <v>0.26500000000000001</v>
      </c>
      <c r="AK134" s="278">
        <f>+W134/F134</f>
        <v>0.30069444444444443</v>
      </c>
      <c r="AL134" s="278">
        <f t="shared" si="111"/>
        <v>2.604166666666667E-3</v>
      </c>
      <c r="AM134" s="278">
        <f t="shared" si="112"/>
        <v>1.3250000000000001E-2</v>
      </c>
      <c r="AN134" s="278">
        <f t="shared" si="113"/>
        <v>1.5034722222222222E-2</v>
      </c>
      <c r="AO134" s="532" t="s">
        <v>1844</v>
      </c>
      <c r="AP134" s="758" t="s">
        <v>1920</v>
      </c>
      <c r="AQ134" s="759" t="s">
        <v>2017</v>
      </c>
      <c r="AR134" s="754" t="s">
        <v>2011</v>
      </c>
      <c r="AS134" s="754" t="s">
        <v>2107</v>
      </c>
      <c r="AT134" s="558" t="s">
        <v>2139</v>
      </c>
      <c r="AU134" s="558" t="s">
        <v>2196</v>
      </c>
      <c r="AV134" s="533" t="s">
        <v>1859</v>
      </c>
      <c r="AW134" s="533" t="s">
        <v>1859</v>
      </c>
    </row>
    <row r="135" spans="1:49" ht="122.4" customHeight="1" thickBot="1" x14ac:dyDescent="0.45">
      <c r="A135" s="261"/>
      <c r="B135" s="1342" t="s">
        <v>570</v>
      </c>
      <c r="C135" s="1302" t="s">
        <v>571</v>
      </c>
      <c r="D135" s="583" t="s">
        <v>565</v>
      </c>
      <c r="E135" s="269">
        <v>0.1</v>
      </c>
      <c r="F135" s="270">
        <v>1</v>
      </c>
      <c r="G135" s="937">
        <v>0.2</v>
      </c>
      <c r="H135" s="704">
        <v>0.3</v>
      </c>
      <c r="I135" s="290">
        <v>0.25</v>
      </c>
      <c r="J135" s="330">
        <f t="shared" si="99"/>
        <v>0.2</v>
      </c>
      <c r="K135" s="332">
        <f t="shared" si="100"/>
        <v>0.3</v>
      </c>
      <c r="L135" s="333"/>
      <c r="M135" s="333">
        <f t="shared" si="102"/>
        <v>2.0000000000000004E-2</v>
      </c>
      <c r="N135" s="333">
        <f t="shared" si="103"/>
        <v>0.03</v>
      </c>
      <c r="O135" s="333"/>
      <c r="P135" s="325">
        <v>0.2</v>
      </c>
      <c r="Q135" s="482">
        <v>0</v>
      </c>
      <c r="R135" s="482">
        <v>0.625</v>
      </c>
      <c r="S135" s="482">
        <v>3.7499999999999999E-2</v>
      </c>
      <c r="T135" s="482">
        <v>0.54</v>
      </c>
      <c r="U135" s="482">
        <v>0</v>
      </c>
      <c r="V135" s="325">
        <f>+Q135+R135+S135+T135+U135-0.2</f>
        <v>1.0025000000000002</v>
      </c>
      <c r="W135" s="960">
        <f>+V135+P135+AB135</f>
        <v>1.4325000000000001</v>
      </c>
      <c r="X135" s="482">
        <v>0.13</v>
      </c>
      <c r="Y135" s="482">
        <v>0.1</v>
      </c>
      <c r="Z135" s="325"/>
      <c r="AA135" s="325"/>
      <c r="AB135" s="325">
        <f t="shared" si="105"/>
        <v>0.23</v>
      </c>
      <c r="AC135" s="323">
        <f>+P135/G135</f>
        <v>1</v>
      </c>
      <c r="AD135" s="278">
        <v>1</v>
      </c>
      <c r="AE135" s="278">
        <f>+AB135/I135</f>
        <v>0.92</v>
      </c>
      <c r="AF135" s="278">
        <f t="shared" si="106"/>
        <v>0.1</v>
      </c>
      <c r="AG135" s="278">
        <f t="shared" si="107"/>
        <v>0.1</v>
      </c>
      <c r="AH135" s="278">
        <f t="shared" si="108"/>
        <v>9.2000000000000012E-2</v>
      </c>
      <c r="AI135" s="278">
        <f t="shared" si="109"/>
        <v>0.2</v>
      </c>
      <c r="AJ135" s="278">
        <v>1</v>
      </c>
      <c r="AK135" s="278">
        <v>1</v>
      </c>
      <c r="AL135" s="278">
        <f t="shared" si="111"/>
        <v>2.0000000000000004E-2</v>
      </c>
      <c r="AM135" s="278">
        <f t="shared" si="112"/>
        <v>0.1</v>
      </c>
      <c r="AN135" s="278">
        <f t="shared" si="113"/>
        <v>0.1</v>
      </c>
      <c r="AO135" s="532" t="s">
        <v>1844</v>
      </c>
      <c r="AP135" s="533" t="s">
        <v>1921</v>
      </c>
      <c r="AQ135" s="267"/>
      <c r="AR135" s="754" t="s">
        <v>2011</v>
      </c>
      <c r="AS135" s="754" t="s">
        <v>2107</v>
      </c>
      <c r="AT135" s="558" t="s">
        <v>2161</v>
      </c>
      <c r="AU135" s="558" t="s">
        <v>2196</v>
      </c>
      <c r="AV135" s="558" t="s">
        <v>1887</v>
      </c>
      <c r="AW135" s="558" t="s">
        <v>2294</v>
      </c>
    </row>
    <row r="136" spans="1:49" ht="122.4" customHeight="1" thickBot="1" x14ac:dyDescent="0.45">
      <c r="A136" s="261"/>
      <c r="B136" s="1342" t="s">
        <v>572</v>
      </c>
      <c r="C136" s="1302" t="s">
        <v>573</v>
      </c>
      <c r="D136" s="583" t="s">
        <v>565</v>
      </c>
      <c r="E136" s="269">
        <v>0.05</v>
      </c>
      <c r="F136" s="270">
        <v>1</v>
      </c>
      <c r="G136" s="937">
        <v>0.2</v>
      </c>
      <c r="H136" s="704">
        <v>0.3</v>
      </c>
      <c r="I136" s="290">
        <v>0.25</v>
      </c>
      <c r="J136" s="348">
        <f t="shared" si="99"/>
        <v>0.2</v>
      </c>
      <c r="K136" s="933">
        <f t="shared" si="100"/>
        <v>0.3</v>
      </c>
      <c r="L136" s="333"/>
      <c r="M136" s="333">
        <f t="shared" si="102"/>
        <v>1.0000000000000002E-2</v>
      </c>
      <c r="N136" s="333">
        <f t="shared" si="103"/>
        <v>1.4999999999999999E-2</v>
      </c>
      <c r="O136" s="333"/>
      <c r="P136" s="325">
        <v>0.2</v>
      </c>
      <c r="Q136" s="482"/>
      <c r="R136" s="482">
        <v>0.625</v>
      </c>
      <c r="S136" s="482">
        <v>3.7499999999999999E-2</v>
      </c>
      <c r="T136" s="482">
        <v>0</v>
      </c>
      <c r="U136" s="482">
        <v>0.33750000000000002</v>
      </c>
      <c r="V136" s="325">
        <f t="shared" si="104"/>
        <v>1</v>
      </c>
      <c r="W136" s="959">
        <f t="shared" si="115"/>
        <v>1.43</v>
      </c>
      <c r="X136" s="482">
        <v>0.13</v>
      </c>
      <c r="Y136" s="482">
        <v>0.1</v>
      </c>
      <c r="Z136" s="325"/>
      <c r="AA136" s="325"/>
      <c r="AB136" s="325">
        <f t="shared" si="105"/>
        <v>0.23</v>
      </c>
      <c r="AC136" s="323">
        <f>+P136/G136</f>
        <v>1</v>
      </c>
      <c r="AD136" s="278">
        <v>1</v>
      </c>
      <c r="AE136" s="278">
        <f t="shared" si="114"/>
        <v>0.92</v>
      </c>
      <c r="AF136" s="278">
        <f t="shared" si="106"/>
        <v>0.05</v>
      </c>
      <c r="AG136" s="278">
        <f t="shared" si="107"/>
        <v>0.05</v>
      </c>
      <c r="AH136" s="278">
        <f t="shared" si="108"/>
        <v>4.6000000000000006E-2</v>
      </c>
      <c r="AI136" s="278">
        <f t="shared" si="109"/>
        <v>0.2</v>
      </c>
      <c r="AJ136" s="278">
        <v>1</v>
      </c>
      <c r="AK136" s="278">
        <v>1</v>
      </c>
      <c r="AL136" s="278">
        <f t="shared" si="111"/>
        <v>1.0000000000000002E-2</v>
      </c>
      <c r="AM136" s="278">
        <f t="shared" si="112"/>
        <v>0.05</v>
      </c>
      <c r="AN136" s="278">
        <f t="shared" si="113"/>
        <v>0.05</v>
      </c>
      <c r="AO136" s="532" t="s">
        <v>1844</v>
      </c>
      <c r="AP136" s="533" t="s">
        <v>1921</v>
      </c>
      <c r="AQ136" s="267"/>
      <c r="AR136" s="754" t="s">
        <v>2011</v>
      </c>
      <c r="AS136" s="754" t="s">
        <v>2107</v>
      </c>
      <c r="AT136" s="558" t="s">
        <v>2174</v>
      </c>
      <c r="AU136" s="558" t="s">
        <v>2196</v>
      </c>
      <c r="AV136" s="558" t="s">
        <v>1887</v>
      </c>
      <c r="AW136" s="558" t="s">
        <v>2294</v>
      </c>
    </row>
    <row r="137" spans="1:49" ht="122.4" customHeight="1" thickBot="1" x14ac:dyDescent="0.45">
      <c r="A137" s="261"/>
      <c r="B137" s="1342" t="s">
        <v>574</v>
      </c>
      <c r="C137" s="1302" t="s">
        <v>575</v>
      </c>
      <c r="D137" s="583" t="s">
        <v>565</v>
      </c>
      <c r="E137" s="269">
        <v>0.2</v>
      </c>
      <c r="F137" s="270">
        <f>34*4</f>
        <v>136</v>
      </c>
      <c r="G137" s="289">
        <v>6</v>
      </c>
      <c r="H137" s="289">
        <v>34</v>
      </c>
      <c r="I137" s="290">
        <v>19</v>
      </c>
      <c r="J137" s="348">
        <f t="shared" si="99"/>
        <v>4.4117647058823532E-2</v>
      </c>
      <c r="K137" s="947">
        <f t="shared" si="100"/>
        <v>0.25</v>
      </c>
      <c r="L137" s="333">
        <f t="shared" si="101"/>
        <v>0.13970588235294118</v>
      </c>
      <c r="M137" s="333">
        <f t="shared" si="102"/>
        <v>8.8235294117647075E-3</v>
      </c>
      <c r="N137" s="333">
        <f t="shared" si="103"/>
        <v>0.05</v>
      </c>
      <c r="O137" s="333"/>
      <c r="P137" s="325">
        <v>30</v>
      </c>
      <c r="Q137" s="482">
        <v>1</v>
      </c>
      <c r="R137" s="482">
        <v>0</v>
      </c>
      <c r="S137" s="482">
        <v>19</v>
      </c>
      <c r="T137" s="482">
        <v>10</v>
      </c>
      <c r="U137" s="482">
        <v>0</v>
      </c>
      <c r="V137" s="290">
        <f t="shared" si="104"/>
        <v>30</v>
      </c>
      <c r="W137" s="322">
        <f>+V137+P137+AB137</f>
        <v>65</v>
      </c>
      <c r="X137" s="482">
        <v>0</v>
      </c>
      <c r="Y137" s="482">
        <v>5</v>
      </c>
      <c r="Z137" s="290"/>
      <c r="AA137" s="290"/>
      <c r="AB137" s="290">
        <f t="shared" si="105"/>
        <v>5</v>
      </c>
      <c r="AC137" s="323">
        <f>+(P137/G137)</f>
        <v>5</v>
      </c>
      <c r="AD137" s="278">
        <f>+V137/H137</f>
        <v>0.88235294117647056</v>
      </c>
      <c r="AE137" s="278">
        <f t="shared" si="114"/>
        <v>0.26315789473684209</v>
      </c>
      <c r="AF137" s="278">
        <f t="shared" si="106"/>
        <v>1</v>
      </c>
      <c r="AG137" s="278">
        <f t="shared" si="107"/>
        <v>0.17647058823529413</v>
      </c>
      <c r="AH137" s="278">
        <f t="shared" si="108"/>
        <v>5.2631578947368418E-2</v>
      </c>
      <c r="AI137" s="278">
        <f t="shared" si="109"/>
        <v>0.22058823529411764</v>
      </c>
      <c r="AJ137" s="278">
        <v>0.47058823529411764</v>
      </c>
      <c r="AK137" s="278">
        <f t="shared" si="110"/>
        <v>0.47794117647058826</v>
      </c>
      <c r="AL137" s="278">
        <f t="shared" si="111"/>
        <v>4.4117647058823532E-2</v>
      </c>
      <c r="AM137" s="278">
        <f t="shared" si="112"/>
        <v>9.4117647058823528E-2</v>
      </c>
      <c r="AN137" s="278">
        <f t="shared" si="113"/>
        <v>9.5588235294117654E-2</v>
      </c>
      <c r="AO137" s="532" t="s">
        <v>1844</v>
      </c>
      <c r="AP137" s="758" t="s">
        <v>1920</v>
      </c>
      <c r="AQ137" s="759" t="s">
        <v>2017</v>
      </c>
      <c r="AR137" s="754" t="s">
        <v>2011</v>
      </c>
      <c r="AS137" s="754" t="s">
        <v>2107</v>
      </c>
      <c r="AT137" s="558" t="s">
        <v>2139</v>
      </c>
      <c r="AU137" s="558" t="s">
        <v>2196</v>
      </c>
      <c r="AV137" s="558" t="s">
        <v>1887</v>
      </c>
      <c r="AW137" s="558" t="s">
        <v>2294</v>
      </c>
    </row>
    <row r="138" spans="1:49" ht="122.4" customHeight="1" thickBot="1" x14ac:dyDescent="0.45">
      <c r="A138" s="261"/>
      <c r="B138" s="1342" t="s">
        <v>576</v>
      </c>
      <c r="C138" s="1302" t="s">
        <v>577</v>
      </c>
      <c r="D138" s="583" t="s">
        <v>565</v>
      </c>
      <c r="E138" s="269">
        <v>0.3</v>
      </c>
      <c r="F138" s="270">
        <v>2</v>
      </c>
      <c r="G138" s="289">
        <v>0</v>
      </c>
      <c r="H138" s="704">
        <v>1</v>
      </c>
      <c r="I138" s="290">
        <v>0</v>
      </c>
      <c r="J138" s="341"/>
      <c r="K138" s="932">
        <f t="shared" si="100"/>
        <v>0.5</v>
      </c>
      <c r="L138" s="333"/>
      <c r="M138" s="333"/>
      <c r="N138" s="333">
        <f t="shared" si="103"/>
        <v>0.15</v>
      </c>
      <c r="O138" s="333"/>
      <c r="P138" s="290"/>
      <c r="Q138" s="482">
        <v>0.57499999999999996</v>
      </c>
      <c r="R138" s="482">
        <v>0.05</v>
      </c>
      <c r="S138" s="482">
        <v>0</v>
      </c>
      <c r="T138" s="482"/>
      <c r="U138" s="482"/>
      <c r="V138" s="290">
        <f t="shared" si="104"/>
        <v>0.625</v>
      </c>
      <c r="W138" s="290">
        <f>+V138+P138+AB138</f>
        <v>0.625</v>
      </c>
      <c r="X138" s="482"/>
      <c r="Y138" s="482">
        <v>0</v>
      </c>
      <c r="Z138" s="290"/>
      <c r="AA138" s="290"/>
      <c r="AB138" s="290">
        <f t="shared" si="105"/>
        <v>0</v>
      </c>
      <c r="AC138" s="323"/>
      <c r="AD138" s="278">
        <f>+V138/H138</f>
        <v>0.625</v>
      </c>
      <c r="AE138" s="278"/>
      <c r="AF138" s="278"/>
      <c r="AG138" s="278">
        <f t="shared" si="107"/>
        <v>0.1875</v>
      </c>
      <c r="AH138" s="278"/>
      <c r="AI138" s="278"/>
      <c r="AJ138" s="278">
        <v>0.3125</v>
      </c>
      <c r="AK138" s="278">
        <f t="shared" si="110"/>
        <v>0.3125</v>
      </c>
      <c r="AL138" s="278"/>
      <c r="AM138" s="278">
        <f t="shared" si="112"/>
        <v>9.375E-2</v>
      </c>
      <c r="AN138" s="278">
        <f t="shared" si="113"/>
        <v>9.375E-2</v>
      </c>
      <c r="AO138" s="532" t="s">
        <v>1844</v>
      </c>
      <c r="AP138" s="529" t="s">
        <v>1886</v>
      </c>
      <c r="AQ138" s="529" t="s">
        <v>1986</v>
      </c>
      <c r="AR138" s="754" t="s">
        <v>2011</v>
      </c>
      <c r="AS138" s="533" t="s">
        <v>2112</v>
      </c>
      <c r="AT138" s="533" t="s">
        <v>2162</v>
      </c>
      <c r="AU138" s="533" t="s">
        <v>2201</v>
      </c>
      <c r="AV138" s="533" t="s">
        <v>1859</v>
      </c>
      <c r="AW138" s="558" t="s">
        <v>2294</v>
      </c>
    </row>
    <row r="139" spans="1:49" ht="122.4" customHeight="1" thickBot="1" x14ac:dyDescent="0.45">
      <c r="A139" s="261"/>
      <c r="B139" s="1342" t="s">
        <v>578</v>
      </c>
      <c r="C139" s="1302" t="s">
        <v>579</v>
      </c>
      <c r="D139" s="584" t="s">
        <v>565</v>
      </c>
      <c r="E139" s="269">
        <v>0.05</v>
      </c>
      <c r="F139" s="270">
        <f>34*4</f>
        <v>136</v>
      </c>
      <c r="G139" s="289">
        <v>7</v>
      </c>
      <c r="H139" s="704">
        <v>34</v>
      </c>
      <c r="I139" s="290">
        <v>19</v>
      </c>
      <c r="J139" s="279">
        <f>+G139/F139</f>
        <v>5.1470588235294115E-2</v>
      </c>
      <c r="K139" s="332">
        <f t="shared" si="100"/>
        <v>0.25</v>
      </c>
      <c r="L139" s="333">
        <f t="shared" si="101"/>
        <v>0.13970588235294118</v>
      </c>
      <c r="M139" s="333">
        <f>+(G139/F139)*E139</f>
        <v>2.5735294117647058E-3</v>
      </c>
      <c r="N139" s="333">
        <f t="shared" si="103"/>
        <v>1.2500000000000001E-2</v>
      </c>
      <c r="O139" s="333"/>
      <c r="P139" s="290">
        <v>34</v>
      </c>
      <c r="Q139" s="482">
        <v>18</v>
      </c>
      <c r="R139" s="482">
        <v>2</v>
      </c>
      <c r="S139" s="482">
        <v>6</v>
      </c>
      <c r="T139" s="482">
        <v>18</v>
      </c>
      <c r="U139" s="482">
        <v>0</v>
      </c>
      <c r="V139" s="290">
        <f>+Q139+R139+S139+T139+U139</f>
        <v>44</v>
      </c>
      <c r="W139" s="290">
        <f>+V139+P139+AB139</f>
        <v>151.80000000000001</v>
      </c>
      <c r="X139" s="482">
        <v>8.8000000000000007</v>
      </c>
      <c r="Y139" s="482">
        <v>65</v>
      </c>
      <c r="Z139" s="290"/>
      <c r="AA139" s="290"/>
      <c r="AB139" s="290">
        <f t="shared" si="105"/>
        <v>73.8</v>
      </c>
      <c r="AC139" s="323">
        <v>1</v>
      </c>
      <c r="AD139" s="278">
        <v>1</v>
      </c>
      <c r="AE139" s="278">
        <v>1</v>
      </c>
      <c r="AF139" s="278">
        <f>+AC139*E139</f>
        <v>0.05</v>
      </c>
      <c r="AG139" s="278">
        <f t="shared" si="107"/>
        <v>0.05</v>
      </c>
      <c r="AH139" s="278">
        <f t="shared" si="108"/>
        <v>0.05</v>
      </c>
      <c r="AI139" s="278">
        <f>+P139/F139</f>
        <v>0.25</v>
      </c>
      <c r="AJ139" s="278">
        <v>0.57352941176470584</v>
      </c>
      <c r="AK139" s="278">
        <v>1</v>
      </c>
      <c r="AL139" s="278">
        <f>+AI139*E139</f>
        <v>1.2500000000000001E-2</v>
      </c>
      <c r="AM139" s="278">
        <f t="shared" si="112"/>
        <v>2.8676470588235293E-2</v>
      </c>
      <c r="AN139" s="278">
        <f t="shared" si="113"/>
        <v>0.05</v>
      </c>
      <c r="AO139" s="532" t="s">
        <v>1844</v>
      </c>
      <c r="AP139" s="533" t="s">
        <v>1922</v>
      </c>
      <c r="AQ139" s="759" t="s">
        <v>2017</v>
      </c>
      <c r="AR139" s="754" t="s">
        <v>2011</v>
      </c>
      <c r="AS139" s="533" t="s">
        <v>2113</v>
      </c>
      <c r="AT139" s="755"/>
      <c r="AU139" s="558" t="s">
        <v>2196</v>
      </c>
      <c r="AV139" s="533" t="s">
        <v>1859</v>
      </c>
      <c r="AW139" s="558" t="s">
        <v>2294</v>
      </c>
    </row>
    <row r="140" spans="1:49" ht="122.4" customHeight="1" thickBot="1" x14ac:dyDescent="0.55000000000000004">
      <c r="A140" s="261"/>
      <c r="B140" s="1339" t="s">
        <v>1663</v>
      </c>
      <c r="C140" s="1340"/>
      <c r="D140" s="574"/>
      <c r="E140" s="266">
        <v>0.1</v>
      </c>
      <c r="F140" s="270"/>
      <c r="G140" s="289"/>
      <c r="H140" s="704"/>
      <c r="I140" s="290"/>
      <c r="J140" s="286">
        <f>+AVERAGE(J141:J144)</f>
        <v>0.22499999999999998</v>
      </c>
      <c r="K140" s="337">
        <f>+AVERAGE(K141:K144)</f>
        <v>0.29166666666666663</v>
      </c>
      <c r="L140" s="268">
        <f>+AVERAGE(L141:L144)</f>
        <v>0.15</v>
      </c>
      <c r="M140" s="268">
        <f>+M141+M142+M143+M144</f>
        <v>0.23583333333333334</v>
      </c>
      <c r="N140" s="268">
        <f>+N141+N142+N143+N144</f>
        <v>0.27083333333333331</v>
      </c>
      <c r="O140" s="268"/>
      <c r="P140" s="290"/>
      <c r="Q140" s="321"/>
      <c r="R140" s="321"/>
      <c r="S140" s="321"/>
      <c r="T140" s="321"/>
      <c r="U140" s="321"/>
      <c r="V140" s="321"/>
      <c r="W140" s="321"/>
      <c r="X140" s="321"/>
      <c r="Y140" s="321"/>
      <c r="Z140" s="321"/>
      <c r="AA140" s="321"/>
      <c r="AB140" s="321"/>
      <c r="AC140" s="479">
        <f>+AVERAGE(AC141:AC144)</f>
        <v>0.75</v>
      </c>
      <c r="AD140" s="307">
        <f>+AVERAGE(AD141:AD144)</f>
        <v>1</v>
      </c>
      <c r="AE140" s="307">
        <f>+AVERAGE(AE141:AE144)</f>
        <v>0.76666666666666661</v>
      </c>
      <c r="AF140" s="307">
        <f>+(AF141+AF142+AF143+AF144)*E140</f>
        <v>9.0000000000000011E-2</v>
      </c>
      <c r="AG140" s="307">
        <f>+(AG141+AG142+AG143+AG144)*E140</f>
        <v>0.1</v>
      </c>
      <c r="AH140" s="307">
        <f>+(AH141+AH142+AH143+AH144)*E140</f>
        <v>7.6666666666666675E-2</v>
      </c>
      <c r="AI140" s="268">
        <f>+AVERAGE(AI141:AI144)</f>
        <v>0.36958333333333332</v>
      </c>
      <c r="AJ140" s="268">
        <v>0.98750000000000004</v>
      </c>
      <c r="AK140" s="268">
        <f>+AVERAGE(AK141:AK144)</f>
        <v>0.99</v>
      </c>
      <c r="AL140" s="268">
        <f>+(AL141+AL142+AL143+AL144)*E140</f>
        <v>4.7750000000000001E-2</v>
      </c>
      <c r="AM140" s="268">
        <f>+(AM141+AM142+AM143+AM144)</f>
        <v>0.98750000000000004</v>
      </c>
      <c r="AN140" s="268">
        <f>+(AN141+AN142+AN143+AN144)</f>
        <v>0.99</v>
      </c>
      <c r="AO140" s="639"/>
      <c r="AP140" s="267"/>
      <c r="AQ140" s="267"/>
      <c r="AR140" s="267"/>
      <c r="AS140" s="267"/>
      <c r="AT140" s="755"/>
      <c r="AU140" s="752"/>
      <c r="AV140" s="755"/>
    </row>
    <row r="141" spans="1:49" ht="122.4" customHeight="1" thickBot="1" x14ac:dyDescent="0.45">
      <c r="A141" s="261"/>
      <c r="B141" s="1342" t="s">
        <v>580</v>
      </c>
      <c r="C141" s="1147" t="s">
        <v>581</v>
      </c>
      <c r="D141" s="585" t="s">
        <v>565</v>
      </c>
      <c r="E141" s="269">
        <v>0.5</v>
      </c>
      <c r="F141" s="270">
        <v>1000</v>
      </c>
      <c r="G141" s="289">
        <v>250</v>
      </c>
      <c r="H141" s="704">
        <v>250</v>
      </c>
      <c r="I141" s="290">
        <v>250</v>
      </c>
      <c r="J141" s="279">
        <f>+G141/F141</f>
        <v>0.25</v>
      </c>
      <c r="K141" s="332">
        <f t="shared" si="100"/>
        <v>0.25</v>
      </c>
      <c r="L141" s="333"/>
      <c r="M141" s="333">
        <f>+(G141/F141)*E141</f>
        <v>0.125</v>
      </c>
      <c r="N141" s="333">
        <f t="shared" si="103"/>
        <v>0.125</v>
      </c>
      <c r="O141" s="333"/>
      <c r="P141" s="290">
        <v>565</v>
      </c>
      <c r="Q141" s="482">
        <v>186</v>
      </c>
      <c r="R141" s="482">
        <v>97</v>
      </c>
      <c r="S141" s="482">
        <v>259</v>
      </c>
      <c r="T141" s="482">
        <v>30</v>
      </c>
      <c r="U141" s="482">
        <v>0</v>
      </c>
      <c r="V141" s="290">
        <f>+Q141+R141+S141+T141+U141</f>
        <v>572</v>
      </c>
      <c r="W141" s="290">
        <f>+V141+P141+AB141</f>
        <v>1417</v>
      </c>
      <c r="X141" s="290"/>
      <c r="Y141" s="482">
        <f>246+34</f>
        <v>280</v>
      </c>
      <c r="Z141" s="290"/>
      <c r="AA141" s="290"/>
      <c r="AB141" s="290">
        <f t="shared" si="105"/>
        <v>280</v>
      </c>
      <c r="AC141" s="323">
        <v>1</v>
      </c>
      <c r="AD141" s="278">
        <v>1</v>
      </c>
      <c r="AE141" s="278">
        <v>1</v>
      </c>
      <c r="AF141" s="278">
        <f>+AC141*E141</f>
        <v>0.5</v>
      </c>
      <c r="AG141" s="278">
        <f>+AD141*E141</f>
        <v>0.5</v>
      </c>
      <c r="AH141" s="278">
        <f t="shared" ref="AH141:AH163" si="116">+AE141*E141</f>
        <v>0.5</v>
      </c>
      <c r="AI141" s="278">
        <f>+P141/F141</f>
        <v>0.56499999999999995</v>
      </c>
      <c r="AJ141" s="278">
        <v>1</v>
      </c>
      <c r="AK141" s="278">
        <v>1</v>
      </c>
      <c r="AL141" s="278">
        <f>+AI141*E141</f>
        <v>0.28249999999999997</v>
      </c>
      <c r="AM141" s="278">
        <f>+AJ141*E141</f>
        <v>0.5</v>
      </c>
      <c r="AN141" s="278">
        <f t="shared" si="113"/>
        <v>0.5</v>
      </c>
      <c r="AO141" s="532" t="s">
        <v>1844</v>
      </c>
      <c r="AP141" s="529" t="s">
        <v>1886</v>
      </c>
      <c r="AQ141" s="529" t="s">
        <v>1986</v>
      </c>
      <c r="AR141" s="754" t="s">
        <v>2011</v>
      </c>
      <c r="AS141" s="533" t="s">
        <v>2114</v>
      </c>
      <c r="AT141" s="558" t="s">
        <v>2174</v>
      </c>
      <c r="AU141" s="558" t="s">
        <v>2196</v>
      </c>
      <c r="AV141" s="533" t="s">
        <v>1859</v>
      </c>
      <c r="AW141" s="533" t="s">
        <v>1859</v>
      </c>
    </row>
    <row r="142" spans="1:49" ht="122.4" customHeight="1" thickBot="1" x14ac:dyDescent="0.45">
      <c r="A142" s="261"/>
      <c r="B142" s="1342" t="s">
        <v>582</v>
      </c>
      <c r="C142" s="1147" t="s">
        <v>583</v>
      </c>
      <c r="D142" s="586" t="s">
        <v>565</v>
      </c>
      <c r="E142" s="295">
        <v>0.25</v>
      </c>
      <c r="F142" s="270">
        <v>100</v>
      </c>
      <c r="G142" s="289">
        <v>25</v>
      </c>
      <c r="H142" s="704">
        <v>25</v>
      </c>
      <c r="I142" s="290">
        <v>15</v>
      </c>
      <c r="J142" s="279">
        <f>+G142/F142</f>
        <v>0.25</v>
      </c>
      <c r="K142" s="332">
        <f t="shared" si="100"/>
        <v>0.25</v>
      </c>
      <c r="L142" s="333">
        <f>+I142/F142</f>
        <v>0.15</v>
      </c>
      <c r="M142" s="333">
        <f>+(G142/F142)*E142</f>
        <v>6.25E-2</v>
      </c>
      <c r="N142" s="333">
        <f t="shared" si="103"/>
        <v>6.25E-2</v>
      </c>
      <c r="O142" s="333"/>
      <c r="P142" s="290">
        <v>58</v>
      </c>
      <c r="Q142" s="482">
        <v>13</v>
      </c>
      <c r="R142" s="482">
        <v>1</v>
      </c>
      <c r="S142" s="482">
        <v>11</v>
      </c>
      <c r="T142" s="482">
        <v>12</v>
      </c>
      <c r="U142" s="482">
        <v>0</v>
      </c>
      <c r="V142" s="290">
        <f t="shared" ref="V142:V144" si="117">+Q142+R142+S142+T142+U142</f>
        <v>37</v>
      </c>
      <c r="W142" s="290">
        <f t="shared" ref="W142:W144" si="118">+V142+P142+AB142</f>
        <v>96</v>
      </c>
      <c r="X142" s="482">
        <v>1</v>
      </c>
      <c r="Y142" s="482">
        <v>0</v>
      </c>
      <c r="Z142" s="290"/>
      <c r="AA142" s="290"/>
      <c r="AB142" s="290">
        <f t="shared" si="105"/>
        <v>1</v>
      </c>
      <c r="AC142" s="323">
        <v>1</v>
      </c>
      <c r="AD142" s="278">
        <v>1</v>
      </c>
      <c r="AE142" s="278">
        <f t="shared" si="114"/>
        <v>6.6666666666666666E-2</v>
      </c>
      <c r="AF142" s="278">
        <f>+AC142*E142</f>
        <v>0.25</v>
      </c>
      <c r="AG142" s="278">
        <f>+AD142*E142</f>
        <v>0.25</v>
      </c>
      <c r="AH142" s="278">
        <f t="shared" si="116"/>
        <v>1.6666666666666666E-2</v>
      </c>
      <c r="AI142" s="278">
        <f>+P142/F142</f>
        <v>0.57999999999999996</v>
      </c>
      <c r="AJ142" s="278">
        <v>0.95</v>
      </c>
      <c r="AK142" s="278">
        <f>+W142/F142</f>
        <v>0.96</v>
      </c>
      <c r="AL142" s="278">
        <f>+AI142*E142</f>
        <v>0.14499999999999999</v>
      </c>
      <c r="AM142" s="278">
        <f>+AJ142*E142</f>
        <v>0.23749999999999999</v>
      </c>
      <c r="AN142" s="278">
        <f t="shared" si="113"/>
        <v>0.24</v>
      </c>
      <c r="AO142" s="532" t="s">
        <v>1844</v>
      </c>
      <c r="AP142" s="759" t="s">
        <v>1923</v>
      </c>
      <c r="AQ142" s="759" t="s">
        <v>2017</v>
      </c>
      <c r="AR142" s="754" t="s">
        <v>2011</v>
      </c>
      <c r="AS142" s="754" t="s">
        <v>2107</v>
      </c>
      <c r="AT142" s="558" t="s">
        <v>2139</v>
      </c>
      <c r="AU142" s="558" t="s">
        <v>2196</v>
      </c>
      <c r="AV142" s="558" t="s">
        <v>1887</v>
      </c>
      <c r="AW142" s="533" t="s">
        <v>1859</v>
      </c>
    </row>
    <row r="143" spans="1:49" ht="122.4" customHeight="1" thickBot="1" x14ac:dyDescent="0.45">
      <c r="A143" s="261"/>
      <c r="B143" s="1342" t="s">
        <v>584</v>
      </c>
      <c r="C143" s="1147" t="s">
        <v>585</v>
      </c>
      <c r="D143" s="585" t="s">
        <v>565</v>
      </c>
      <c r="E143" s="269">
        <v>0.15</v>
      </c>
      <c r="F143" s="270">
        <v>6</v>
      </c>
      <c r="G143" s="289">
        <v>1</v>
      </c>
      <c r="H143" s="704">
        <v>2</v>
      </c>
      <c r="I143" s="290">
        <v>1</v>
      </c>
      <c r="J143" s="279">
        <f>+G143/F143</f>
        <v>0.16666666666666666</v>
      </c>
      <c r="K143" s="332">
        <f t="shared" si="100"/>
        <v>0.33333333333333331</v>
      </c>
      <c r="L143" s="333"/>
      <c r="M143" s="333">
        <f>+(G143/F143)*E143</f>
        <v>2.4999999999999998E-2</v>
      </c>
      <c r="N143" s="333">
        <f t="shared" si="103"/>
        <v>4.9999999999999996E-2</v>
      </c>
      <c r="O143" s="333"/>
      <c r="P143" s="290">
        <v>2</v>
      </c>
      <c r="Q143" s="482">
        <v>1</v>
      </c>
      <c r="R143" s="482">
        <v>1</v>
      </c>
      <c r="S143" s="482">
        <v>12</v>
      </c>
      <c r="T143" s="482">
        <v>4</v>
      </c>
      <c r="U143" s="482">
        <v>0</v>
      </c>
      <c r="V143" s="290">
        <f t="shared" si="117"/>
        <v>18</v>
      </c>
      <c r="W143" s="290">
        <f t="shared" si="118"/>
        <v>36</v>
      </c>
      <c r="X143" s="482">
        <v>6</v>
      </c>
      <c r="Y143" s="482">
        <v>10</v>
      </c>
      <c r="Z143" s="290"/>
      <c r="AA143" s="290"/>
      <c r="AB143" s="290">
        <f t="shared" si="105"/>
        <v>16</v>
      </c>
      <c r="AC143" s="323">
        <v>1</v>
      </c>
      <c r="AD143" s="278">
        <v>1</v>
      </c>
      <c r="AE143" s="278">
        <v>1</v>
      </c>
      <c r="AF143" s="278">
        <f>+AC143*E143</f>
        <v>0.15</v>
      </c>
      <c r="AG143" s="278">
        <f>+AD143*E143</f>
        <v>0.15</v>
      </c>
      <c r="AH143" s="278">
        <f t="shared" si="116"/>
        <v>0.15</v>
      </c>
      <c r="AI143" s="278">
        <f>+P143/F143</f>
        <v>0.33333333333333331</v>
      </c>
      <c r="AJ143" s="278">
        <v>1</v>
      </c>
      <c r="AK143" s="278">
        <v>1</v>
      </c>
      <c r="AL143" s="278">
        <f>+AI143*E143</f>
        <v>4.9999999999999996E-2</v>
      </c>
      <c r="AM143" s="278">
        <f>+AJ143*E143</f>
        <v>0.15</v>
      </c>
      <c r="AN143" s="278">
        <f t="shared" si="113"/>
        <v>0.15</v>
      </c>
      <c r="AO143" s="532" t="s">
        <v>1844</v>
      </c>
      <c r="AP143" s="529" t="s">
        <v>1886</v>
      </c>
      <c r="AQ143" s="529" t="s">
        <v>1986</v>
      </c>
      <c r="AR143" s="754" t="s">
        <v>2011</v>
      </c>
      <c r="AS143" s="754" t="s">
        <v>2107</v>
      </c>
      <c r="AT143" s="754" t="s">
        <v>2107</v>
      </c>
      <c r="AU143" s="558" t="s">
        <v>2196</v>
      </c>
      <c r="AV143" s="558" t="s">
        <v>1887</v>
      </c>
      <c r="AW143" s="558" t="s">
        <v>2294</v>
      </c>
    </row>
    <row r="144" spans="1:49" ht="122.4" customHeight="1" thickBot="1" x14ac:dyDescent="0.45">
      <c r="A144" s="261"/>
      <c r="B144" s="1342" t="s">
        <v>586</v>
      </c>
      <c r="C144" s="1147" t="s">
        <v>587</v>
      </c>
      <c r="D144" s="585" t="s">
        <v>565</v>
      </c>
      <c r="E144" s="269">
        <v>0.1</v>
      </c>
      <c r="F144" s="270">
        <v>150</v>
      </c>
      <c r="G144" s="289">
        <v>35</v>
      </c>
      <c r="H144" s="704">
        <v>50</v>
      </c>
      <c r="I144" s="290">
        <v>25</v>
      </c>
      <c r="J144" s="279">
        <f>+G144/F144</f>
        <v>0.23333333333333334</v>
      </c>
      <c r="K144" s="332">
        <f t="shared" si="100"/>
        <v>0.33333333333333331</v>
      </c>
      <c r="L144" s="333"/>
      <c r="M144" s="333">
        <f>+(G144/F144)*E144</f>
        <v>2.3333333333333334E-2</v>
      </c>
      <c r="N144" s="333">
        <f t="shared" si="103"/>
        <v>3.3333333333333333E-2</v>
      </c>
      <c r="O144" s="333"/>
      <c r="P144" s="290">
        <v>0</v>
      </c>
      <c r="Q144" s="482">
        <v>0</v>
      </c>
      <c r="R144" s="482">
        <v>120</v>
      </c>
      <c r="S144" s="482">
        <v>0</v>
      </c>
      <c r="T144" s="482">
        <v>60</v>
      </c>
      <c r="U144" s="482">
        <v>0</v>
      </c>
      <c r="V144" s="290">
        <f t="shared" si="117"/>
        <v>180</v>
      </c>
      <c r="W144" s="290">
        <f t="shared" si="118"/>
        <v>230</v>
      </c>
      <c r="X144" s="482">
        <v>0</v>
      </c>
      <c r="Y144" s="482">
        <v>50</v>
      </c>
      <c r="Z144" s="290"/>
      <c r="AA144" s="290"/>
      <c r="AB144" s="290">
        <f>+X144+Y144+Z144+AA144</f>
        <v>50</v>
      </c>
      <c r="AC144" s="343">
        <f>+(P144/G144)</f>
        <v>0</v>
      </c>
      <c r="AD144" s="278">
        <v>1</v>
      </c>
      <c r="AE144" s="278">
        <v>1</v>
      </c>
      <c r="AF144" s="278">
        <f>+AC144*E144</f>
        <v>0</v>
      </c>
      <c r="AG144" s="278">
        <f>+AD144*E144</f>
        <v>0.1</v>
      </c>
      <c r="AH144" s="278">
        <f t="shared" si="116"/>
        <v>0.1</v>
      </c>
      <c r="AI144" s="278">
        <f>+P144/F144</f>
        <v>0</v>
      </c>
      <c r="AJ144" s="278">
        <v>1</v>
      </c>
      <c r="AK144" s="278">
        <v>1</v>
      </c>
      <c r="AL144" s="278">
        <f>+AI144*E144</f>
        <v>0</v>
      </c>
      <c r="AM144" s="278">
        <f>+AJ144*E144</f>
        <v>0.1</v>
      </c>
      <c r="AN144" s="278">
        <f t="shared" si="113"/>
        <v>0.1</v>
      </c>
      <c r="AO144" s="532" t="s">
        <v>1844</v>
      </c>
      <c r="AP144" s="529" t="s">
        <v>1886</v>
      </c>
      <c r="AQ144" s="529" t="s">
        <v>1986</v>
      </c>
      <c r="AR144" s="754" t="s">
        <v>2011</v>
      </c>
      <c r="AS144" s="754" t="s">
        <v>2107</v>
      </c>
      <c r="AT144" s="754" t="s">
        <v>2161</v>
      </c>
      <c r="AU144" s="558" t="s">
        <v>2196</v>
      </c>
      <c r="AV144" s="558" t="s">
        <v>1887</v>
      </c>
      <c r="AW144" s="558" t="s">
        <v>2294</v>
      </c>
    </row>
    <row r="145" spans="1:49" ht="122.4" customHeight="1" thickBot="1" x14ac:dyDescent="0.55000000000000004">
      <c r="A145" s="261"/>
      <c r="B145" s="1339" t="s">
        <v>1664</v>
      </c>
      <c r="C145" s="1340"/>
      <c r="D145" s="309"/>
      <c r="E145" s="266">
        <v>0.1</v>
      </c>
      <c r="F145" s="270"/>
      <c r="G145" s="289"/>
      <c r="H145" s="704"/>
      <c r="I145" s="290"/>
      <c r="J145" s="705">
        <f>+AVERAGE(J146:J147)</f>
        <v>0.15208333333333332</v>
      </c>
      <c r="K145" s="286">
        <f>+AVERAGE(K146:K147)</f>
        <v>0.25</v>
      </c>
      <c r="L145" s="1369">
        <f>+AVERAGE(L146:L147)</f>
        <v>0.25</v>
      </c>
      <c r="M145" s="268">
        <f>+M146+M147</f>
        <v>0.24379166666666666</v>
      </c>
      <c r="N145" s="268">
        <f>+N146+N147</f>
        <v>0.25</v>
      </c>
      <c r="O145" s="268"/>
      <c r="P145" s="290"/>
      <c r="Q145" s="321"/>
      <c r="R145" s="321"/>
      <c r="S145" s="321"/>
      <c r="T145" s="321"/>
      <c r="U145" s="321"/>
      <c r="V145" s="321"/>
      <c r="W145" s="321"/>
      <c r="X145" s="321"/>
      <c r="Y145" s="321"/>
      <c r="Z145" s="321"/>
      <c r="AA145" s="321"/>
      <c r="AB145" s="321"/>
      <c r="AC145" s="948">
        <f>+AVERAGE(AC146:AC148)</f>
        <v>1</v>
      </c>
      <c r="AD145" s="479">
        <f>+AVERAGE(AD146:AD148)</f>
        <v>0.94944444444444454</v>
      </c>
      <c r="AE145" s="1151">
        <f>+AVERAGE(AE146:AE147)</f>
        <v>0.18694444444444444</v>
      </c>
      <c r="AF145" s="307">
        <f>+(AF146+AF147)*E145</f>
        <v>0.1</v>
      </c>
      <c r="AG145" s="307">
        <f>+(AG146+AG147)*E145</f>
        <v>0.1</v>
      </c>
      <c r="AH145" s="307">
        <f>+(AH146+AH147)*E145</f>
        <v>2.9423888888888895E-2</v>
      </c>
      <c r="AI145" s="268">
        <f>+AVERAGE(AI146:AI147)</f>
        <v>0.1892361111111111</v>
      </c>
      <c r="AJ145" s="268">
        <v>0.67138888888888903</v>
      </c>
      <c r="AK145" s="268">
        <f>+AVERAGE(AK146:AK147)</f>
        <v>0.71812500000000001</v>
      </c>
      <c r="AL145" s="268">
        <f>+(AL146+AL147)*E145</f>
        <v>2.5790972222222222E-2</v>
      </c>
      <c r="AM145" s="268">
        <f>+(AM146+AM147)</f>
        <v>0.59612777777777781</v>
      </c>
      <c r="AN145" s="268">
        <f>+(AN146+AN147)</f>
        <v>0.6696875000000001</v>
      </c>
      <c r="AO145" s="639"/>
      <c r="AP145" s="267"/>
      <c r="AQ145" s="267"/>
      <c r="AR145" s="267"/>
      <c r="AS145" s="267"/>
      <c r="AT145" s="755"/>
      <c r="AU145" s="752"/>
      <c r="AV145" s="755"/>
    </row>
    <row r="146" spans="1:49" ht="122.4" customHeight="1" thickBot="1" x14ac:dyDescent="0.45">
      <c r="A146" s="261"/>
      <c r="B146" s="1342" t="s">
        <v>588</v>
      </c>
      <c r="C146" s="1147" t="s">
        <v>589</v>
      </c>
      <c r="D146" s="585" t="s">
        <v>565</v>
      </c>
      <c r="E146" s="269">
        <v>0.19</v>
      </c>
      <c r="F146" s="270">
        <f>1800*4</f>
        <v>7200</v>
      </c>
      <c r="G146" s="289">
        <v>30</v>
      </c>
      <c r="H146" s="289">
        <v>1800</v>
      </c>
      <c r="I146" s="290">
        <v>1800</v>
      </c>
      <c r="J146" s="348">
        <f>+G146/F146</f>
        <v>4.1666666666666666E-3</v>
      </c>
      <c r="K146" s="279">
        <f t="shared" si="100"/>
        <v>0.25</v>
      </c>
      <c r="L146" s="332">
        <f>+I146/F146</f>
        <v>0.25</v>
      </c>
      <c r="M146" s="333">
        <f>+(G146/F146)*E146</f>
        <v>7.9166666666666665E-4</v>
      </c>
      <c r="N146" s="333">
        <f t="shared" si="103"/>
        <v>4.7500000000000001E-2</v>
      </c>
      <c r="O146" s="333"/>
      <c r="P146" s="290">
        <v>565</v>
      </c>
      <c r="Q146" s="482">
        <v>0</v>
      </c>
      <c r="R146" s="482">
        <v>0</v>
      </c>
      <c r="S146" s="482">
        <v>2756</v>
      </c>
      <c r="T146" s="482">
        <v>0</v>
      </c>
      <c r="U146" s="482">
        <v>0</v>
      </c>
      <c r="V146" s="290">
        <f>+Q146+R146+S146+T146+U146</f>
        <v>2756</v>
      </c>
      <c r="W146" s="290">
        <f>+V146+P146+2502+AB146-115</f>
        <v>5733</v>
      </c>
      <c r="X146" s="482"/>
      <c r="Y146" s="482">
        <v>25</v>
      </c>
      <c r="Z146" s="290"/>
      <c r="AA146" s="290"/>
      <c r="AB146" s="290">
        <f t="shared" ref="AB146:AB163" si="119">+X146+Y146+Z146+AA146</f>
        <v>25</v>
      </c>
      <c r="AC146" s="480">
        <v>1</v>
      </c>
      <c r="AD146" s="278">
        <v>1</v>
      </c>
      <c r="AE146" s="283">
        <f t="shared" si="114"/>
        <v>1.3888888888888888E-2</v>
      </c>
      <c r="AF146" s="278">
        <f>+AC146*E146</f>
        <v>0.19</v>
      </c>
      <c r="AG146" s="278">
        <f>+AD146*E146</f>
        <v>0.19</v>
      </c>
      <c r="AH146" s="278">
        <f t="shared" si="116"/>
        <v>2.638888888888889E-3</v>
      </c>
      <c r="AI146" s="278">
        <f>+P146/F146</f>
        <v>7.8472222222222221E-2</v>
      </c>
      <c r="AJ146" s="278">
        <v>0.7927777777777778</v>
      </c>
      <c r="AK146" s="278">
        <f t="shared" ref="AK146:AK163" si="120">+W146/F146</f>
        <v>0.79625000000000001</v>
      </c>
      <c r="AL146" s="278">
        <f>+AI146*E146</f>
        <v>1.4909722222222222E-2</v>
      </c>
      <c r="AM146" s="278">
        <f>+AJ146*E146</f>
        <v>0.15062777777777778</v>
      </c>
      <c r="AN146" s="278">
        <f t="shared" si="113"/>
        <v>0.15128749999999999</v>
      </c>
      <c r="AO146" s="532" t="s">
        <v>1844</v>
      </c>
      <c r="AP146" s="533" t="s">
        <v>1923</v>
      </c>
      <c r="AQ146" s="529" t="s">
        <v>1986</v>
      </c>
      <c r="AR146" s="759" t="s">
        <v>1923</v>
      </c>
      <c r="AS146" s="759" t="s">
        <v>2115</v>
      </c>
      <c r="AT146" s="754" t="s">
        <v>2107</v>
      </c>
      <c r="AU146" s="558" t="s">
        <v>2196</v>
      </c>
      <c r="AV146" s="533" t="s">
        <v>1859</v>
      </c>
      <c r="AW146" s="558" t="s">
        <v>2294</v>
      </c>
    </row>
    <row r="147" spans="1:49" ht="122.4" customHeight="1" thickBot="1" x14ac:dyDescent="0.45">
      <c r="A147" s="261"/>
      <c r="B147" s="1342" t="s">
        <v>590</v>
      </c>
      <c r="C147" s="1147" t="s">
        <v>591</v>
      </c>
      <c r="D147" s="587" t="s">
        <v>565</v>
      </c>
      <c r="E147" s="269">
        <v>0.81</v>
      </c>
      <c r="F147" s="270">
        <v>1</v>
      </c>
      <c r="G147" s="289">
        <v>0.3</v>
      </c>
      <c r="H147" s="704">
        <v>0.25</v>
      </c>
      <c r="I147" s="290">
        <v>0.25</v>
      </c>
      <c r="J147" s="341">
        <f>+G147/F147</f>
        <v>0.3</v>
      </c>
      <c r="K147" s="279">
        <f t="shared" si="100"/>
        <v>0.25</v>
      </c>
      <c r="L147" s="332">
        <f t="shared" ref="L147:L163" si="121">+I147/F147</f>
        <v>0.25</v>
      </c>
      <c r="M147" s="333">
        <f>+(G147/F147)*E147</f>
        <v>0.24299999999999999</v>
      </c>
      <c r="N147" s="333">
        <f t="shared" si="103"/>
        <v>0.20250000000000001</v>
      </c>
      <c r="O147" s="333"/>
      <c r="P147" s="290">
        <v>0.3</v>
      </c>
      <c r="Q147" s="482">
        <v>6.25E-2</v>
      </c>
      <c r="R147" s="482">
        <v>0.185</v>
      </c>
      <c r="S147" s="482">
        <v>0</v>
      </c>
      <c r="T147" s="482">
        <v>0</v>
      </c>
      <c r="U147" s="482">
        <v>2.5000000000000001E-3</v>
      </c>
      <c r="V147" s="290">
        <f>+Q147+R147+S147+T147+U147</f>
        <v>0.25</v>
      </c>
      <c r="W147" s="290">
        <f>+V147+P147+AB147</f>
        <v>0.64</v>
      </c>
      <c r="X147" s="482">
        <v>0</v>
      </c>
      <c r="Y147" s="482">
        <f>0.06+0.03</f>
        <v>0.09</v>
      </c>
      <c r="Z147" s="290"/>
      <c r="AA147" s="290"/>
      <c r="AB147" s="290">
        <f t="shared" si="119"/>
        <v>0.09</v>
      </c>
      <c r="AC147" s="323">
        <v>1</v>
      </c>
      <c r="AD147" s="278">
        <f>+V147/H147</f>
        <v>1</v>
      </c>
      <c r="AE147" s="278">
        <f t="shared" si="114"/>
        <v>0.36</v>
      </c>
      <c r="AF147" s="278">
        <f>+AC147*E147</f>
        <v>0.81</v>
      </c>
      <c r="AG147" s="278">
        <f>+AD147*E147</f>
        <v>0.81</v>
      </c>
      <c r="AH147" s="278">
        <f t="shared" si="116"/>
        <v>0.29160000000000003</v>
      </c>
      <c r="AI147" s="278">
        <f>+P147/F147</f>
        <v>0.3</v>
      </c>
      <c r="AJ147" s="278">
        <v>0.55000000000000004</v>
      </c>
      <c r="AK147" s="278">
        <f t="shared" si="120"/>
        <v>0.64</v>
      </c>
      <c r="AL147" s="278">
        <f>+AI147*E147</f>
        <v>0.24299999999999999</v>
      </c>
      <c r="AM147" s="278">
        <f>+AJ147*E147</f>
        <v>0.44550000000000006</v>
      </c>
      <c r="AN147" s="278">
        <f t="shared" si="113"/>
        <v>0.51840000000000008</v>
      </c>
      <c r="AO147" s="532" t="s">
        <v>1844</v>
      </c>
      <c r="AP147" s="529" t="s">
        <v>1886</v>
      </c>
      <c r="AQ147" s="529" t="s">
        <v>1986</v>
      </c>
      <c r="AR147" s="754" t="s">
        <v>2011</v>
      </c>
      <c r="AS147" s="754" t="s">
        <v>2107</v>
      </c>
      <c r="AT147" s="754" t="s">
        <v>2107</v>
      </c>
      <c r="AU147" s="558" t="s">
        <v>2196</v>
      </c>
      <c r="AV147" s="558" t="s">
        <v>1887</v>
      </c>
      <c r="AW147" s="558" t="s">
        <v>2294</v>
      </c>
    </row>
    <row r="148" spans="1:49" ht="122.4" customHeight="1" thickBot="1" x14ac:dyDescent="0.55000000000000004">
      <c r="A148" s="261"/>
      <c r="B148" s="1335" t="s">
        <v>1665</v>
      </c>
      <c r="C148" s="1336"/>
      <c r="D148" s="571"/>
      <c r="E148" s="266">
        <v>0.05</v>
      </c>
      <c r="F148" s="270"/>
      <c r="G148" s="289"/>
      <c r="H148" s="704"/>
      <c r="I148" s="290"/>
      <c r="J148" s="286">
        <f>+AVERAGE(J149:J153)</f>
        <v>0.21333333333333335</v>
      </c>
      <c r="K148" s="286">
        <f>+AVERAGE(K149:K153)</f>
        <v>0.57199999999999995</v>
      </c>
      <c r="L148" s="286">
        <f>+AVERAGE(L149:L153)</f>
        <v>0.3125</v>
      </c>
      <c r="M148" s="268">
        <f>+M149+M150+M151+M152+M153</f>
        <v>0.128</v>
      </c>
      <c r="N148" s="268">
        <f>+N149+N150+N151+N152+N153</f>
        <v>0.57200000000000006</v>
      </c>
      <c r="O148" s="268"/>
      <c r="P148" s="290"/>
      <c r="Q148" s="321"/>
      <c r="R148" s="321"/>
      <c r="S148" s="321"/>
      <c r="T148" s="321"/>
      <c r="U148" s="321"/>
      <c r="V148" s="321"/>
      <c r="W148" s="321"/>
      <c r="X148" s="321"/>
      <c r="Y148" s="321"/>
      <c r="Z148" s="321"/>
      <c r="AA148" s="321"/>
      <c r="AB148" s="321"/>
      <c r="AC148" s="479">
        <f>+AVERAGE(AC149:AC153)</f>
        <v>1</v>
      </c>
      <c r="AD148" s="307">
        <f>+AVERAGE(AD149:AD153)</f>
        <v>0.84833333333333338</v>
      </c>
      <c r="AE148" s="307">
        <f>+AVERAGE(AE149:AE153)</f>
        <v>0.40899918367346944</v>
      </c>
      <c r="AF148" s="307">
        <f>+(AF149+AF150+AF151+AF152+AF153)*E148</f>
        <v>3.0000000000000006E-2</v>
      </c>
      <c r="AG148" s="307">
        <f>+(AG149+AG150+AG151+AG152+AG153)*E148</f>
        <v>4.2416666666666665E-2</v>
      </c>
      <c r="AH148" s="307">
        <f>+(AH149+AH150+AH151+AH152+AH153)*E148</f>
        <v>2.0449959183673469E-2</v>
      </c>
      <c r="AI148" s="268">
        <f>+AVERAGE(AI149:AI153)</f>
        <v>0.21666666666666667</v>
      </c>
      <c r="AJ148" s="268">
        <v>0.64</v>
      </c>
      <c r="AK148" s="268">
        <f>+AVERAGE(AK149:AK153)</f>
        <v>0.69359999999999999</v>
      </c>
      <c r="AL148" s="268">
        <f>+(AL149+AL150+AL151+AL152+AL153)*E148</f>
        <v>6.5000000000000006E-3</v>
      </c>
      <c r="AM148" s="268">
        <f>+(AM149+AM150+AM151+AM152+AM153)</f>
        <v>0.64</v>
      </c>
      <c r="AN148" s="268">
        <f>+(AN149+AN150+AN151+AN152+AN153)</f>
        <v>0.69359999999999999</v>
      </c>
      <c r="AO148" s="639"/>
      <c r="AP148" s="267"/>
      <c r="AQ148" s="267"/>
      <c r="AR148" s="267"/>
      <c r="AS148" s="267"/>
      <c r="AT148" s="755"/>
      <c r="AU148" s="752"/>
      <c r="AV148" s="755"/>
    </row>
    <row r="149" spans="1:49" ht="122.4" customHeight="1" thickBot="1" x14ac:dyDescent="0.45">
      <c r="A149" s="261"/>
      <c r="B149" s="1345" t="s">
        <v>592</v>
      </c>
      <c r="C149" s="1346" t="s">
        <v>593</v>
      </c>
      <c r="D149" s="444" t="s">
        <v>565</v>
      </c>
      <c r="E149" s="269">
        <v>0.2</v>
      </c>
      <c r="F149" s="270">
        <v>1</v>
      </c>
      <c r="G149" s="289">
        <v>7.0000000000000007E-2</v>
      </c>
      <c r="H149" s="704">
        <v>0.48</v>
      </c>
      <c r="I149" s="290">
        <v>5.5E-2</v>
      </c>
      <c r="J149" s="279">
        <f>+G149/F149</f>
        <v>7.0000000000000007E-2</v>
      </c>
      <c r="K149" s="279">
        <f t="shared" si="100"/>
        <v>0.48</v>
      </c>
      <c r="L149" s="332">
        <f t="shared" si="121"/>
        <v>5.5E-2</v>
      </c>
      <c r="M149" s="333">
        <f>+(G149/F149)*E149</f>
        <v>1.4000000000000002E-2</v>
      </c>
      <c r="N149" s="333">
        <f t="shared" si="103"/>
        <v>9.6000000000000002E-2</v>
      </c>
      <c r="O149" s="333"/>
      <c r="P149" s="290">
        <v>0.08</v>
      </c>
      <c r="Q149" s="482">
        <v>0.12</v>
      </c>
      <c r="R149" s="482">
        <v>0.28000000000000003</v>
      </c>
      <c r="S149" s="482">
        <v>0</v>
      </c>
      <c r="T149" s="482">
        <v>0.41</v>
      </c>
      <c r="U149" s="482">
        <v>0</v>
      </c>
      <c r="V149" s="290">
        <f>+Q149+R149+S149+T149+U149</f>
        <v>0.81</v>
      </c>
      <c r="W149" s="290">
        <f>+V149+P149+AB149</f>
        <v>0.94799999999999995</v>
      </c>
      <c r="X149" s="482">
        <v>3.6999999999999998E-2</v>
      </c>
      <c r="Y149" s="482">
        <v>2.1000000000000001E-2</v>
      </c>
      <c r="Z149" s="290"/>
      <c r="AA149" s="290"/>
      <c r="AB149" s="290">
        <f t="shared" si="119"/>
        <v>5.7999999999999996E-2</v>
      </c>
      <c r="AC149" s="323">
        <v>1</v>
      </c>
      <c r="AD149" s="278">
        <v>1</v>
      </c>
      <c r="AE149" s="278">
        <v>1</v>
      </c>
      <c r="AF149" s="278">
        <f>+AC149*E149</f>
        <v>0.2</v>
      </c>
      <c r="AG149" s="278">
        <f>+AD149*E149</f>
        <v>0.2</v>
      </c>
      <c r="AH149" s="278">
        <f t="shared" si="116"/>
        <v>0.2</v>
      </c>
      <c r="AI149" s="278">
        <f>+P149/F149</f>
        <v>0.08</v>
      </c>
      <c r="AJ149" s="278">
        <v>0.89</v>
      </c>
      <c r="AK149" s="278">
        <f t="shared" si="120"/>
        <v>0.94799999999999995</v>
      </c>
      <c r="AL149" s="278">
        <f>+AI149*E149</f>
        <v>1.6E-2</v>
      </c>
      <c r="AM149" s="278">
        <f>+AJ149*E149</f>
        <v>0.17800000000000002</v>
      </c>
      <c r="AN149" s="278">
        <f t="shared" si="113"/>
        <v>0.18959999999999999</v>
      </c>
      <c r="AO149" s="532" t="s">
        <v>1844</v>
      </c>
      <c r="AP149" s="529" t="s">
        <v>1886</v>
      </c>
      <c r="AQ149" s="529" t="s">
        <v>1986</v>
      </c>
      <c r="AR149" s="754" t="s">
        <v>2011</v>
      </c>
      <c r="AS149" s="754" t="s">
        <v>2107</v>
      </c>
      <c r="AT149" s="754" t="s">
        <v>2107</v>
      </c>
      <c r="AU149" s="558" t="s">
        <v>2196</v>
      </c>
      <c r="AV149" s="558" t="s">
        <v>1887</v>
      </c>
      <c r="AW149" s="558" t="s">
        <v>2294</v>
      </c>
    </row>
    <row r="150" spans="1:49" ht="122.4" customHeight="1" thickBot="1" x14ac:dyDescent="0.45">
      <c r="A150" s="261"/>
      <c r="B150" s="1355" t="s">
        <v>594</v>
      </c>
      <c r="C150" s="1356" t="s">
        <v>595</v>
      </c>
      <c r="D150" s="588" t="s">
        <v>565</v>
      </c>
      <c r="E150" s="269">
        <v>0.2</v>
      </c>
      <c r="F150" s="270">
        <v>1</v>
      </c>
      <c r="G150" s="289">
        <v>7.0000000000000007E-2</v>
      </c>
      <c r="H150" s="704">
        <v>0.48</v>
      </c>
      <c r="I150" s="290">
        <v>0.245</v>
      </c>
      <c r="J150" s="279">
        <f>+G150/F150</f>
        <v>7.0000000000000007E-2</v>
      </c>
      <c r="K150" s="279">
        <f t="shared" si="100"/>
        <v>0.48</v>
      </c>
      <c r="L150" s="332">
        <f t="shared" si="121"/>
        <v>0.245</v>
      </c>
      <c r="M150" s="333">
        <f>+(G150/F150)*E150</f>
        <v>1.4000000000000002E-2</v>
      </c>
      <c r="N150" s="333">
        <f t="shared" si="103"/>
        <v>9.6000000000000002E-2</v>
      </c>
      <c r="O150" s="333"/>
      <c r="P150" s="290">
        <v>7.0000000000000007E-2</v>
      </c>
      <c r="Q150" s="482">
        <v>0.12</v>
      </c>
      <c r="R150" s="482">
        <v>0.18</v>
      </c>
      <c r="S150" s="482">
        <v>0</v>
      </c>
      <c r="T150" s="482">
        <v>0.14000000000000001</v>
      </c>
      <c r="U150" s="482">
        <v>0</v>
      </c>
      <c r="V150" s="290">
        <f t="shared" ref="V150:V153" si="122">+Q150+R150+S150+T150+U150</f>
        <v>0.44</v>
      </c>
      <c r="W150" s="290">
        <f t="shared" ref="W150:W153" si="123">+V150+P150+AB150</f>
        <v>0.63</v>
      </c>
      <c r="X150" s="482">
        <v>0.09</v>
      </c>
      <c r="Y150" s="482">
        <v>0.03</v>
      </c>
      <c r="Z150" s="290"/>
      <c r="AA150" s="290"/>
      <c r="AB150" s="290">
        <f t="shared" si="119"/>
        <v>0.12</v>
      </c>
      <c r="AC150" s="323">
        <f>+(P150/G150)</f>
        <v>1</v>
      </c>
      <c r="AD150" s="278">
        <f>+V150/H150</f>
        <v>0.91666666666666674</v>
      </c>
      <c r="AE150" s="278">
        <f t="shared" si="114"/>
        <v>0.48979591836734693</v>
      </c>
      <c r="AF150" s="278">
        <f>+AC150*E150</f>
        <v>0.2</v>
      </c>
      <c r="AG150" s="278">
        <f>+AD150*E150</f>
        <v>0.18333333333333335</v>
      </c>
      <c r="AH150" s="278">
        <f t="shared" si="116"/>
        <v>9.7959183673469397E-2</v>
      </c>
      <c r="AI150" s="278">
        <f>+P150/F150</f>
        <v>7.0000000000000007E-2</v>
      </c>
      <c r="AJ150" s="278">
        <v>0.51</v>
      </c>
      <c r="AK150" s="278">
        <f t="shared" si="120"/>
        <v>0.63</v>
      </c>
      <c r="AL150" s="278">
        <f>+AI150*E150</f>
        <v>1.4000000000000002E-2</v>
      </c>
      <c r="AM150" s="278">
        <f>+AJ150*E150</f>
        <v>0.10200000000000001</v>
      </c>
      <c r="AN150" s="278">
        <f t="shared" si="113"/>
        <v>0.126</v>
      </c>
      <c r="AO150" s="532" t="s">
        <v>1844</v>
      </c>
      <c r="AP150" s="529" t="s">
        <v>1886</v>
      </c>
      <c r="AQ150" s="529" t="s">
        <v>1986</v>
      </c>
      <c r="AR150" s="754" t="s">
        <v>2011</v>
      </c>
      <c r="AS150" s="754" t="s">
        <v>2107</v>
      </c>
      <c r="AT150" s="754" t="s">
        <v>2107</v>
      </c>
      <c r="AU150" s="558" t="s">
        <v>2196</v>
      </c>
      <c r="AV150" s="558" t="s">
        <v>1887</v>
      </c>
      <c r="AW150" s="558" t="s">
        <v>2294</v>
      </c>
    </row>
    <row r="151" spans="1:49" ht="122.4" customHeight="1" thickBot="1" x14ac:dyDescent="0.45">
      <c r="A151" s="261"/>
      <c r="B151" s="1345" t="s">
        <v>596</v>
      </c>
      <c r="C151" s="1346" t="s">
        <v>597</v>
      </c>
      <c r="D151" s="444" t="s">
        <v>565</v>
      </c>
      <c r="E151" s="269">
        <v>0.2</v>
      </c>
      <c r="F151" s="270">
        <v>1</v>
      </c>
      <c r="G151" s="289">
        <v>0.5</v>
      </c>
      <c r="H151" s="704">
        <v>0.5</v>
      </c>
      <c r="I151" s="290">
        <v>0.5</v>
      </c>
      <c r="J151" s="279">
        <f>+G151/F151</f>
        <v>0.5</v>
      </c>
      <c r="K151" s="279">
        <f t="shared" si="100"/>
        <v>0.5</v>
      </c>
      <c r="L151" s="332"/>
      <c r="M151" s="333">
        <f>+(G151/F151)*E151</f>
        <v>0.1</v>
      </c>
      <c r="N151" s="333">
        <f t="shared" si="103"/>
        <v>0.1</v>
      </c>
      <c r="O151" s="333"/>
      <c r="P151" s="290">
        <v>0.5</v>
      </c>
      <c r="Q151" s="482">
        <v>0.25</v>
      </c>
      <c r="R151" s="482">
        <v>0.33</v>
      </c>
      <c r="S151" s="482">
        <v>0</v>
      </c>
      <c r="T151" s="482">
        <v>0.1</v>
      </c>
      <c r="U151" s="482">
        <v>0</v>
      </c>
      <c r="V151" s="290">
        <f t="shared" si="122"/>
        <v>0.68</v>
      </c>
      <c r="W151" s="290">
        <f>+V151+P151+AB151</f>
        <v>1.3451000000000002</v>
      </c>
      <c r="X151" s="482">
        <v>4.1700000000000001E-2</v>
      </c>
      <c r="Y151" s="482">
        <v>0.1234</v>
      </c>
      <c r="Z151" s="290"/>
      <c r="AA151" s="290"/>
      <c r="AB151" s="290">
        <f>+X151+Y151+Z151+AA151</f>
        <v>0.1651</v>
      </c>
      <c r="AC151" s="323">
        <f>+(P151/G151)</f>
        <v>1</v>
      </c>
      <c r="AD151" s="278">
        <v>1</v>
      </c>
      <c r="AE151" s="278">
        <f>+AB151/I151</f>
        <v>0.33019999999999999</v>
      </c>
      <c r="AF151" s="278">
        <f>+AC151*E151</f>
        <v>0.2</v>
      </c>
      <c r="AG151" s="278">
        <f>+AD151*E151</f>
        <v>0.2</v>
      </c>
      <c r="AH151" s="278">
        <f t="shared" si="116"/>
        <v>6.6040000000000001E-2</v>
      </c>
      <c r="AI151" s="278">
        <f>+P151/F151</f>
        <v>0.5</v>
      </c>
      <c r="AJ151" s="278">
        <v>1</v>
      </c>
      <c r="AK151" s="278">
        <v>1</v>
      </c>
      <c r="AL151" s="278">
        <f>+AI151*E151</f>
        <v>0.1</v>
      </c>
      <c r="AM151" s="278">
        <f>+AJ151*E151</f>
        <v>0.2</v>
      </c>
      <c r="AN151" s="278">
        <f t="shared" si="113"/>
        <v>0.2</v>
      </c>
      <c r="AO151" s="532" t="s">
        <v>1844</v>
      </c>
      <c r="AP151" s="529" t="s">
        <v>1886</v>
      </c>
      <c r="AQ151" s="529" t="s">
        <v>1588</v>
      </c>
      <c r="AR151" s="754" t="s">
        <v>2011</v>
      </c>
      <c r="AS151" s="754" t="s">
        <v>2107</v>
      </c>
      <c r="AT151" s="754" t="s">
        <v>2107</v>
      </c>
      <c r="AU151" s="558" t="s">
        <v>2196</v>
      </c>
      <c r="AV151" s="558" t="s">
        <v>1887</v>
      </c>
      <c r="AW151" s="558" t="s">
        <v>2294</v>
      </c>
    </row>
    <row r="152" spans="1:49" ht="122.4" customHeight="1" thickBot="1" x14ac:dyDescent="0.45">
      <c r="A152" s="261"/>
      <c r="B152" s="1355" t="s">
        <v>598</v>
      </c>
      <c r="C152" s="1356" t="s">
        <v>599</v>
      </c>
      <c r="D152" s="588" t="s">
        <v>565</v>
      </c>
      <c r="E152" s="269">
        <v>0.2</v>
      </c>
      <c r="F152" s="270">
        <v>1</v>
      </c>
      <c r="G152" s="289">
        <v>0</v>
      </c>
      <c r="H152" s="704">
        <v>0.4</v>
      </c>
      <c r="I152" s="290">
        <v>0.4</v>
      </c>
      <c r="J152" s="279"/>
      <c r="K152" s="279">
        <f t="shared" si="100"/>
        <v>0.4</v>
      </c>
      <c r="L152" s="332">
        <f t="shared" si="121"/>
        <v>0.4</v>
      </c>
      <c r="M152" s="333"/>
      <c r="N152" s="333">
        <f t="shared" si="103"/>
        <v>8.0000000000000016E-2</v>
      </c>
      <c r="O152" s="333"/>
      <c r="P152" s="290"/>
      <c r="Q152" s="482">
        <v>0.06</v>
      </c>
      <c r="R152" s="482">
        <v>0.19</v>
      </c>
      <c r="S152" s="482">
        <v>0.1</v>
      </c>
      <c r="T152" s="482">
        <v>0</v>
      </c>
      <c r="U152" s="482">
        <v>0</v>
      </c>
      <c r="V152" s="290">
        <f t="shared" si="122"/>
        <v>0.35</v>
      </c>
      <c r="W152" s="290">
        <f t="shared" si="123"/>
        <v>0.43999999999999995</v>
      </c>
      <c r="X152" s="482">
        <v>0</v>
      </c>
      <c r="Y152" s="482">
        <v>0.09</v>
      </c>
      <c r="Z152" s="290"/>
      <c r="AA152" s="290"/>
      <c r="AB152" s="290">
        <f t="shared" si="119"/>
        <v>0.09</v>
      </c>
      <c r="AC152" s="323"/>
      <c r="AD152" s="278">
        <f>+V152/H152</f>
        <v>0.87499999999999989</v>
      </c>
      <c r="AE152" s="278">
        <f t="shared" si="114"/>
        <v>0.22499999999999998</v>
      </c>
      <c r="AF152" s="278"/>
      <c r="AG152" s="278">
        <f>+AD152*E152</f>
        <v>0.17499999999999999</v>
      </c>
      <c r="AH152" s="278">
        <f t="shared" si="116"/>
        <v>4.4999999999999998E-2</v>
      </c>
      <c r="AI152" s="278"/>
      <c r="AJ152" s="278">
        <v>0.35</v>
      </c>
      <c r="AK152" s="278">
        <f t="shared" si="120"/>
        <v>0.43999999999999995</v>
      </c>
      <c r="AL152" s="278"/>
      <c r="AM152" s="278">
        <f>+AJ152*E152</f>
        <v>6.9999999999999993E-2</v>
      </c>
      <c r="AN152" s="278">
        <f t="shared" si="113"/>
        <v>8.7999999999999995E-2</v>
      </c>
      <c r="AO152" s="532" t="s">
        <v>1844</v>
      </c>
      <c r="AP152" s="529" t="s">
        <v>1886</v>
      </c>
      <c r="AQ152" s="529" t="s">
        <v>1986</v>
      </c>
      <c r="AR152" s="754" t="s">
        <v>2011</v>
      </c>
      <c r="AS152" s="754" t="s">
        <v>2107</v>
      </c>
      <c r="AT152" s="754" t="s">
        <v>2107</v>
      </c>
      <c r="AU152" s="558" t="s">
        <v>2196</v>
      </c>
      <c r="AV152" s="558" t="s">
        <v>1887</v>
      </c>
      <c r="AW152" s="558" t="s">
        <v>2294</v>
      </c>
    </row>
    <row r="153" spans="1:49" ht="122.4" customHeight="1" thickBot="1" x14ac:dyDescent="0.45">
      <c r="A153" s="261"/>
      <c r="B153" s="1345" t="s">
        <v>600</v>
      </c>
      <c r="C153" s="1346" t="s">
        <v>601</v>
      </c>
      <c r="D153" s="444" t="s">
        <v>565</v>
      </c>
      <c r="E153" s="269">
        <v>0.2</v>
      </c>
      <c r="F153" s="270">
        <v>1</v>
      </c>
      <c r="G153" s="289">
        <v>0</v>
      </c>
      <c r="H153" s="704">
        <v>1</v>
      </c>
      <c r="I153" s="290">
        <v>0.55000000000000004</v>
      </c>
      <c r="J153" s="279"/>
      <c r="K153" s="279">
        <f t="shared" si="100"/>
        <v>1</v>
      </c>
      <c r="L153" s="332">
        <f t="shared" si="121"/>
        <v>0.55000000000000004</v>
      </c>
      <c r="M153" s="333"/>
      <c r="N153" s="333">
        <f t="shared" si="103"/>
        <v>0.2</v>
      </c>
      <c r="O153" s="333"/>
      <c r="P153" s="290"/>
      <c r="Q153" s="482">
        <v>0.15</v>
      </c>
      <c r="R153" s="482">
        <v>0.05</v>
      </c>
      <c r="S153" s="482">
        <v>0.2</v>
      </c>
      <c r="T153" s="482">
        <v>0.05</v>
      </c>
      <c r="U153" s="482">
        <v>0</v>
      </c>
      <c r="V153" s="290">
        <f t="shared" si="122"/>
        <v>0.45</v>
      </c>
      <c r="W153" s="290">
        <f t="shared" si="123"/>
        <v>0.45</v>
      </c>
      <c r="X153" s="482">
        <v>0</v>
      </c>
      <c r="Y153" s="482">
        <v>0</v>
      </c>
      <c r="Z153" s="290"/>
      <c r="AA153" s="290"/>
      <c r="AB153" s="290">
        <f t="shared" si="119"/>
        <v>0</v>
      </c>
      <c r="AC153" s="323"/>
      <c r="AD153" s="278">
        <f>+V153/H153</f>
        <v>0.45</v>
      </c>
      <c r="AE153" s="278">
        <f t="shared" si="114"/>
        <v>0</v>
      </c>
      <c r="AF153" s="278"/>
      <c r="AG153" s="278">
        <f>+AD153*E153</f>
        <v>9.0000000000000011E-2</v>
      </c>
      <c r="AH153" s="278">
        <f t="shared" si="116"/>
        <v>0</v>
      </c>
      <c r="AI153" s="278"/>
      <c r="AJ153" s="278">
        <v>0.45</v>
      </c>
      <c r="AK153" s="278">
        <f t="shared" si="120"/>
        <v>0.45</v>
      </c>
      <c r="AL153" s="278"/>
      <c r="AM153" s="278">
        <f>+AJ153*E153</f>
        <v>9.0000000000000011E-2</v>
      </c>
      <c r="AN153" s="278">
        <f t="shared" si="113"/>
        <v>9.0000000000000011E-2</v>
      </c>
      <c r="AO153" s="532" t="s">
        <v>1844</v>
      </c>
      <c r="AP153" s="529" t="s">
        <v>1886</v>
      </c>
      <c r="AQ153" s="529" t="s">
        <v>1986</v>
      </c>
      <c r="AR153" s="754" t="s">
        <v>2011</v>
      </c>
      <c r="AS153" s="754" t="s">
        <v>2107</v>
      </c>
      <c r="AT153" s="754" t="s">
        <v>2107</v>
      </c>
      <c r="AU153" s="558" t="s">
        <v>2196</v>
      </c>
      <c r="AV153" s="558" t="s">
        <v>1887</v>
      </c>
      <c r="AW153" s="558" t="s">
        <v>2294</v>
      </c>
    </row>
    <row r="154" spans="1:49" ht="122.4" customHeight="1" thickBot="1" x14ac:dyDescent="0.55000000000000004">
      <c r="A154" s="261"/>
      <c r="B154" s="1347" t="s">
        <v>1666</v>
      </c>
      <c r="C154" s="1348"/>
      <c r="D154" s="576"/>
      <c r="E154" s="266">
        <v>0.3</v>
      </c>
      <c r="F154" s="270"/>
      <c r="G154" s="289"/>
      <c r="H154" s="704"/>
      <c r="I154" s="290"/>
      <c r="J154" s="286">
        <f>+AVERAGE(J155:J159)</f>
        <v>0.4375</v>
      </c>
      <c r="K154" s="286">
        <f>+AVERAGE(K155:K159)</f>
        <v>0.34500000000000003</v>
      </c>
      <c r="L154" s="286">
        <f>+AVERAGE(L155:L159)</f>
        <v>0.25</v>
      </c>
      <c r="M154" s="268">
        <f>+M155+M156+M157+M158+M159</f>
        <v>0.57500000000000007</v>
      </c>
      <c r="N154" s="268">
        <f>+N155+N156+N157+N158+N159</f>
        <v>0.28500000000000003</v>
      </c>
      <c r="O154" s="268"/>
      <c r="P154" s="290"/>
      <c r="Q154" s="321"/>
      <c r="R154" s="321"/>
      <c r="S154" s="321"/>
      <c r="T154" s="321"/>
      <c r="U154" s="321"/>
      <c r="V154" s="321"/>
      <c r="W154" s="321"/>
      <c r="X154" s="321"/>
      <c r="Y154" s="321"/>
      <c r="Z154" s="321"/>
      <c r="AA154" s="321"/>
      <c r="AB154" s="321"/>
      <c r="AC154" s="479">
        <f>+AVERAGE(AC155:AC159)</f>
        <v>0.52500000000000002</v>
      </c>
      <c r="AD154" s="307">
        <f>+AVERAGE(AD155:AD159)</f>
        <v>0.92033684210526323</v>
      </c>
      <c r="AE154" s="307">
        <f>+AVERAGE(AE155:AE159)</f>
        <v>0.40699999999999992</v>
      </c>
      <c r="AF154" s="307">
        <f>+(AF155+AF156+AF157+AF158+AF159)*E154</f>
        <v>0.16800000000000001</v>
      </c>
      <c r="AG154" s="307">
        <f>+(AG155+AG156+AG157+AG158+AG159)*E154</f>
        <v>0.28955052631578948</v>
      </c>
      <c r="AH154" s="307">
        <f>+(AH155+AH156+AH157+AH158+AH159)*E154</f>
        <v>0.16125000000000003</v>
      </c>
      <c r="AI154" s="268">
        <f>+AVERAGE(AI155:AI159)</f>
        <v>0.19375000000000001</v>
      </c>
      <c r="AJ154" s="268">
        <v>0.51166</v>
      </c>
      <c r="AK154" s="268">
        <f>+AVERAGE(AK155:AK159)</f>
        <v>0.56340999999999997</v>
      </c>
      <c r="AL154" s="268">
        <f>+(AL155+AL156+AL157+AL158+AL159)*E154</f>
        <v>7.5749999999999998E-2</v>
      </c>
      <c r="AM154" s="268">
        <f>+(AM155+AM156+AM157+AM158+AM159)</f>
        <v>0.63333000000000006</v>
      </c>
      <c r="AN154" s="268">
        <f>+(AN155+AN156+AN157+AN158+AN159)</f>
        <v>0.65520500000000004</v>
      </c>
      <c r="AO154" s="639"/>
      <c r="AP154" s="267"/>
      <c r="AQ154" s="267"/>
      <c r="AR154" s="267"/>
      <c r="AS154" s="267"/>
      <c r="AT154" s="755"/>
      <c r="AU154" s="752"/>
      <c r="AV154" s="755"/>
    </row>
    <row r="155" spans="1:49" ht="176.4" customHeight="1" thickBot="1" x14ac:dyDescent="0.45">
      <c r="A155" s="261"/>
      <c r="B155" s="1345" t="s">
        <v>602</v>
      </c>
      <c r="C155" s="1346" t="s">
        <v>603</v>
      </c>
      <c r="D155" s="444" t="s">
        <v>565</v>
      </c>
      <c r="E155" s="269">
        <v>0.45</v>
      </c>
      <c r="F155" s="270">
        <v>16</v>
      </c>
      <c r="G155" s="289">
        <v>16</v>
      </c>
      <c r="H155" s="704">
        <v>4</v>
      </c>
      <c r="I155" s="290">
        <v>4</v>
      </c>
      <c r="J155" s="279">
        <f>+G155/F155</f>
        <v>1</v>
      </c>
      <c r="K155" s="279">
        <f t="shared" si="100"/>
        <v>0.25</v>
      </c>
      <c r="L155" s="332"/>
      <c r="M155" s="333">
        <f>+(G155/F155)*E155</f>
        <v>0.45</v>
      </c>
      <c r="N155" s="333">
        <f t="shared" si="103"/>
        <v>0.1125</v>
      </c>
      <c r="O155" s="333"/>
      <c r="P155" s="290">
        <v>8</v>
      </c>
      <c r="Q155" s="482">
        <v>2</v>
      </c>
      <c r="R155" s="482">
        <v>2</v>
      </c>
      <c r="S155" s="482"/>
      <c r="T155" s="482">
        <v>45</v>
      </c>
      <c r="U155" s="482">
        <v>1</v>
      </c>
      <c r="V155" s="290">
        <f>+Q155+R155+S155+T155+U155</f>
        <v>50</v>
      </c>
      <c r="W155" s="482">
        <f>+V155+P155+AB155</f>
        <v>76</v>
      </c>
      <c r="X155" s="482">
        <v>4</v>
      </c>
      <c r="Y155" s="482">
        <v>14</v>
      </c>
      <c r="Z155" s="290"/>
      <c r="AA155" s="290"/>
      <c r="AB155" s="290">
        <f t="shared" si="119"/>
        <v>18</v>
      </c>
      <c r="AC155" s="323">
        <v>1</v>
      </c>
      <c r="AD155" s="278">
        <v>1</v>
      </c>
      <c r="AE155" s="278">
        <v>1</v>
      </c>
      <c r="AF155" s="278">
        <f>+AC155*E155</f>
        <v>0.45</v>
      </c>
      <c r="AG155" s="278">
        <f>+AD155*E155</f>
        <v>0.45</v>
      </c>
      <c r="AH155" s="278">
        <f t="shared" si="116"/>
        <v>0.45</v>
      </c>
      <c r="AI155" s="278">
        <f>+P155/F155</f>
        <v>0.5</v>
      </c>
      <c r="AJ155" s="278">
        <v>1</v>
      </c>
      <c r="AK155" s="278">
        <v>1</v>
      </c>
      <c r="AL155" s="278">
        <f>+AI155*E155</f>
        <v>0.22500000000000001</v>
      </c>
      <c r="AM155" s="278">
        <f>+AJ155*E155</f>
        <v>0.45</v>
      </c>
      <c r="AN155" s="278">
        <f t="shared" si="113"/>
        <v>0.45</v>
      </c>
      <c r="AO155" s="532" t="s">
        <v>1844</v>
      </c>
      <c r="AP155" s="558" t="s">
        <v>1895</v>
      </c>
      <c r="AQ155" s="529" t="s">
        <v>1986</v>
      </c>
      <c r="AR155" s="754" t="s">
        <v>2011</v>
      </c>
      <c r="AS155" s="759" t="s">
        <v>2116</v>
      </c>
      <c r="AT155" s="812" t="s">
        <v>2163</v>
      </c>
      <c r="AU155" s="558" t="s">
        <v>2196</v>
      </c>
      <c r="AV155" s="558" t="s">
        <v>1887</v>
      </c>
      <c r="AW155" s="558" t="s">
        <v>2294</v>
      </c>
    </row>
    <row r="156" spans="1:49" ht="122.4" customHeight="1" thickBot="1" x14ac:dyDescent="0.45">
      <c r="A156" s="261"/>
      <c r="B156" s="1342" t="s">
        <v>604</v>
      </c>
      <c r="C156" s="1302" t="s">
        <v>605</v>
      </c>
      <c r="D156" s="583" t="s">
        <v>565</v>
      </c>
      <c r="E156" s="269">
        <v>0.3</v>
      </c>
      <c r="F156" s="270">
        <v>4</v>
      </c>
      <c r="G156" s="289">
        <v>1</v>
      </c>
      <c r="H156" s="704">
        <v>1</v>
      </c>
      <c r="I156" s="290">
        <v>1</v>
      </c>
      <c r="J156" s="279">
        <f>+G156/F156</f>
        <v>0.25</v>
      </c>
      <c r="K156" s="279">
        <f t="shared" si="100"/>
        <v>0.25</v>
      </c>
      <c r="L156" s="332">
        <f t="shared" si="121"/>
        <v>0.25</v>
      </c>
      <c r="M156" s="333">
        <f>+(G156/F156)*E156</f>
        <v>7.4999999999999997E-2</v>
      </c>
      <c r="N156" s="333">
        <f t="shared" si="103"/>
        <v>7.4999999999999997E-2</v>
      </c>
      <c r="O156" s="333"/>
      <c r="P156" s="290">
        <v>0</v>
      </c>
      <c r="Q156" s="482">
        <v>1</v>
      </c>
      <c r="R156" s="482">
        <v>0</v>
      </c>
      <c r="S156" s="482">
        <v>0</v>
      </c>
      <c r="T156" s="482">
        <v>0</v>
      </c>
      <c r="U156" s="482">
        <v>0</v>
      </c>
      <c r="V156" s="290">
        <f t="shared" ref="V156:V159" si="124">+Q156+R156+S156+T156+U156</f>
        <v>1</v>
      </c>
      <c r="W156" s="290">
        <f t="shared" ref="W156:W158" si="125">+V156+P156+AB156</f>
        <v>1</v>
      </c>
      <c r="X156" s="482">
        <v>0</v>
      </c>
      <c r="Y156" s="482">
        <v>0</v>
      </c>
      <c r="Z156" s="290"/>
      <c r="AA156" s="290"/>
      <c r="AB156" s="290">
        <f t="shared" si="119"/>
        <v>0</v>
      </c>
      <c r="AC156" s="323">
        <f>+(P156/G156)</f>
        <v>0</v>
      </c>
      <c r="AD156" s="278">
        <f>+V156/H156</f>
        <v>1</v>
      </c>
      <c r="AE156" s="278">
        <f t="shared" si="114"/>
        <v>0</v>
      </c>
      <c r="AF156" s="278">
        <f>+AC156*E156</f>
        <v>0</v>
      </c>
      <c r="AG156" s="278">
        <f>+AD156*E156</f>
        <v>0.3</v>
      </c>
      <c r="AH156" s="278">
        <f t="shared" si="116"/>
        <v>0</v>
      </c>
      <c r="AI156" s="278">
        <f>+P156/F156</f>
        <v>0</v>
      </c>
      <c r="AJ156" s="278">
        <v>0.25</v>
      </c>
      <c r="AK156" s="278">
        <f t="shared" si="120"/>
        <v>0.25</v>
      </c>
      <c r="AL156" s="278">
        <f>+AI156*E156</f>
        <v>0</v>
      </c>
      <c r="AM156" s="278">
        <f>+AJ156*E156</f>
        <v>7.4999999999999997E-2</v>
      </c>
      <c r="AN156" s="278">
        <f t="shared" si="113"/>
        <v>7.4999999999999997E-2</v>
      </c>
      <c r="AO156" s="532" t="s">
        <v>1844</v>
      </c>
      <c r="AP156" s="558" t="s">
        <v>1895</v>
      </c>
      <c r="AQ156" s="529" t="s">
        <v>1986</v>
      </c>
      <c r="AR156" s="754" t="s">
        <v>2011</v>
      </c>
      <c r="AS156" s="754" t="s">
        <v>2107</v>
      </c>
      <c r="AT156" s="754" t="s">
        <v>2107</v>
      </c>
      <c r="AU156" s="558" t="s">
        <v>2196</v>
      </c>
      <c r="AV156" s="558" t="s">
        <v>1887</v>
      </c>
      <c r="AW156" s="558" t="s">
        <v>2294</v>
      </c>
    </row>
    <row r="157" spans="1:49" ht="122.4" customHeight="1" thickBot="1" x14ac:dyDescent="0.45">
      <c r="A157" s="261"/>
      <c r="B157" s="1342" t="s">
        <v>606</v>
      </c>
      <c r="C157" s="1302" t="s">
        <v>607</v>
      </c>
      <c r="D157" s="583" t="s">
        <v>565</v>
      </c>
      <c r="E157" s="269">
        <v>0.1</v>
      </c>
      <c r="F157" s="270">
        <v>1</v>
      </c>
      <c r="G157" s="289">
        <v>0.25</v>
      </c>
      <c r="H157" s="704">
        <v>0.47499999999999998</v>
      </c>
      <c r="I157" s="290">
        <v>0.25</v>
      </c>
      <c r="J157" s="279">
        <f>+G157/F157</f>
        <v>0.25</v>
      </c>
      <c r="K157" s="279">
        <f t="shared" si="100"/>
        <v>0.47499999999999998</v>
      </c>
      <c r="L157" s="332">
        <f t="shared" si="121"/>
        <v>0.25</v>
      </c>
      <c r="M157" s="333">
        <f>+(G157/F157)*E157</f>
        <v>2.5000000000000001E-2</v>
      </c>
      <c r="N157" s="333">
        <f t="shared" si="103"/>
        <v>4.7500000000000001E-2</v>
      </c>
      <c r="O157" s="333"/>
      <c r="P157" s="290">
        <v>2.5000000000000001E-2</v>
      </c>
      <c r="Q157" s="482">
        <v>0</v>
      </c>
      <c r="R157" s="482">
        <v>0.05</v>
      </c>
      <c r="S157" s="482"/>
      <c r="T157" s="729">
        <v>4.24E-2</v>
      </c>
      <c r="U157" s="482">
        <v>0.2409</v>
      </c>
      <c r="V157" s="847">
        <f t="shared" si="124"/>
        <v>0.33330000000000004</v>
      </c>
      <c r="W157" s="1039">
        <f t="shared" si="125"/>
        <v>0.39830000000000004</v>
      </c>
      <c r="X157" s="729">
        <v>0.01</v>
      </c>
      <c r="Y157" s="1152">
        <v>0.03</v>
      </c>
      <c r="Z157" s="847"/>
      <c r="AA157" s="847"/>
      <c r="AB157" s="847">
        <f>+X157+Y157+Z157+AA157</f>
        <v>0.04</v>
      </c>
      <c r="AC157" s="323">
        <f>+(P157/G157)</f>
        <v>0.1</v>
      </c>
      <c r="AD157" s="278">
        <f>+V157/H157</f>
        <v>0.70168421052631591</v>
      </c>
      <c r="AE157" s="278">
        <f t="shared" si="114"/>
        <v>0.16</v>
      </c>
      <c r="AF157" s="278">
        <f>+AC157*E157</f>
        <v>1.0000000000000002E-2</v>
      </c>
      <c r="AG157" s="278">
        <f>+AD157*E157</f>
        <v>7.0168421052631588E-2</v>
      </c>
      <c r="AH157" s="278">
        <f t="shared" si="116"/>
        <v>1.6E-2</v>
      </c>
      <c r="AI157" s="278">
        <f>+P157/F157</f>
        <v>2.5000000000000001E-2</v>
      </c>
      <c r="AJ157" s="278">
        <v>0.35830000000000006</v>
      </c>
      <c r="AK157" s="278">
        <f t="shared" si="120"/>
        <v>0.39830000000000004</v>
      </c>
      <c r="AL157" s="278">
        <f>+AI157*E157</f>
        <v>2.5000000000000005E-3</v>
      </c>
      <c r="AM157" s="278">
        <f>+AJ157*E157</f>
        <v>3.5830000000000008E-2</v>
      </c>
      <c r="AN157" s="278">
        <f t="shared" si="113"/>
        <v>3.9830000000000004E-2</v>
      </c>
      <c r="AO157" s="532" t="s">
        <v>1844</v>
      </c>
      <c r="AP157" s="558" t="s">
        <v>1895</v>
      </c>
      <c r="AQ157" s="529" t="s">
        <v>1986</v>
      </c>
      <c r="AR157" s="754" t="s">
        <v>2011</v>
      </c>
      <c r="AS157" s="754" t="s">
        <v>2107</v>
      </c>
      <c r="AT157" s="754" t="s">
        <v>2107</v>
      </c>
      <c r="AU157" s="558" t="s">
        <v>2196</v>
      </c>
      <c r="AV157" s="533" t="s">
        <v>1859</v>
      </c>
      <c r="AW157" s="558" t="s">
        <v>2294</v>
      </c>
    </row>
    <row r="158" spans="1:49" ht="170.4" customHeight="1" thickBot="1" x14ac:dyDescent="0.45">
      <c r="A158" s="261"/>
      <c r="B158" s="1342" t="s">
        <v>608</v>
      </c>
      <c r="C158" s="1147" t="s">
        <v>609</v>
      </c>
      <c r="D158" s="583" t="s">
        <v>565</v>
      </c>
      <c r="E158" s="269">
        <v>0.1</v>
      </c>
      <c r="F158" s="270">
        <v>4</v>
      </c>
      <c r="G158" s="289">
        <v>1</v>
      </c>
      <c r="H158" s="704">
        <v>1</v>
      </c>
      <c r="I158" s="290">
        <v>1</v>
      </c>
      <c r="J158" s="279">
        <f>+G158/F158</f>
        <v>0.25</v>
      </c>
      <c r="K158" s="279">
        <f t="shared" si="100"/>
        <v>0.25</v>
      </c>
      <c r="L158" s="332">
        <f t="shared" si="121"/>
        <v>0.25</v>
      </c>
      <c r="M158" s="333">
        <f>+(G158/F158)*E158</f>
        <v>2.5000000000000001E-2</v>
      </c>
      <c r="N158" s="333">
        <f t="shared" si="103"/>
        <v>2.5000000000000001E-2</v>
      </c>
      <c r="O158" s="333"/>
      <c r="P158" s="730">
        <v>1</v>
      </c>
      <c r="Q158" s="482">
        <v>0</v>
      </c>
      <c r="R158" s="482">
        <v>0</v>
      </c>
      <c r="S158" s="482">
        <v>0.5</v>
      </c>
      <c r="T158" s="482">
        <v>0.5</v>
      </c>
      <c r="U158" s="482">
        <v>0</v>
      </c>
      <c r="V158" s="290">
        <f t="shared" si="124"/>
        <v>1</v>
      </c>
      <c r="W158" s="290">
        <f t="shared" si="125"/>
        <v>2.5550000000000002</v>
      </c>
      <c r="X158" s="482">
        <v>0</v>
      </c>
      <c r="Y158" s="482">
        <f>0.505+0.05</f>
        <v>0.55500000000000005</v>
      </c>
      <c r="Z158" s="290"/>
      <c r="AA158" s="290"/>
      <c r="AB158" s="290">
        <f t="shared" si="119"/>
        <v>0.55500000000000005</v>
      </c>
      <c r="AC158" s="323">
        <f>+(P158/G158)</f>
        <v>1</v>
      </c>
      <c r="AD158" s="278">
        <f>+V158/H158</f>
        <v>1</v>
      </c>
      <c r="AE158" s="278">
        <f t="shared" si="114"/>
        <v>0.55500000000000005</v>
      </c>
      <c r="AF158" s="278">
        <f>+AC158*E158</f>
        <v>0.1</v>
      </c>
      <c r="AG158" s="278">
        <f>+AD158*E158</f>
        <v>0.1</v>
      </c>
      <c r="AH158" s="278">
        <f t="shared" si="116"/>
        <v>5.5500000000000008E-2</v>
      </c>
      <c r="AI158" s="278">
        <f>+P158/F158</f>
        <v>0.25</v>
      </c>
      <c r="AJ158" s="278">
        <v>0.5</v>
      </c>
      <c r="AK158" s="278">
        <f t="shared" si="120"/>
        <v>0.63875000000000004</v>
      </c>
      <c r="AL158" s="278">
        <f>+AI158*E158</f>
        <v>2.5000000000000001E-2</v>
      </c>
      <c r="AM158" s="278">
        <f>+AJ158*E158</f>
        <v>0.05</v>
      </c>
      <c r="AN158" s="278">
        <f t="shared" si="113"/>
        <v>6.3875000000000001E-2</v>
      </c>
      <c r="AO158" s="532" t="s">
        <v>1844</v>
      </c>
      <c r="AP158" s="558" t="s">
        <v>1895</v>
      </c>
      <c r="AQ158" s="529" t="s">
        <v>1986</v>
      </c>
      <c r="AR158" s="754" t="s">
        <v>2011</v>
      </c>
      <c r="AS158" s="754" t="s">
        <v>2107</v>
      </c>
      <c r="AT158" s="754" t="s">
        <v>2107</v>
      </c>
      <c r="AU158" s="558" t="s">
        <v>2196</v>
      </c>
      <c r="AV158" s="558" t="s">
        <v>1887</v>
      </c>
      <c r="AW158" s="558" t="s">
        <v>2294</v>
      </c>
    </row>
    <row r="159" spans="1:49" ht="122.4" customHeight="1" thickBot="1" x14ac:dyDescent="0.45">
      <c r="A159" s="261"/>
      <c r="B159" s="1342" t="s">
        <v>610</v>
      </c>
      <c r="C159" s="1147" t="s">
        <v>611</v>
      </c>
      <c r="D159" s="583" t="s">
        <v>565</v>
      </c>
      <c r="E159" s="269">
        <v>0.05</v>
      </c>
      <c r="F159" s="270">
        <v>1</v>
      </c>
      <c r="G159" s="289">
        <v>0</v>
      </c>
      <c r="H159" s="704">
        <v>0.5</v>
      </c>
      <c r="I159" s="290">
        <v>0.25</v>
      </c>
      <c r="J159" s="279"/>
      <c r="K159" s="279">
        <f t="shared" si="100"/>
        <v>0.5</v>
      </c>
      <c r="L159" s="332">
        <f t="shared" si="121"/>
        <v>0.25</v>
      </c>
      <c r="M159" s="333"/>
      <c r="N159" s="333">
        <f t="shared" si="103"/>
        <v>2.5000000000000001E-2</v>
      </c>
      <c r="O159" s="333"/>
      <c r="P159" s="290"/>
      <c r="Q159" s="482">
        <v>0</v>
      </c>
      <c r="R159" s="482">
        <v>0.05</v>
      </c>
      <c r="S159" s="482">
        <v>0.15</v>
      </c>
      <c r="T159" s="482">
        <v>0.25</v>
      </c>
      <c r="U159" s="482">
        <v>0</v>
      </c>
      <c r="V159" s="290">
        <f t="shared" si="124"/>
        <v>0.45</v>
      </c>
      <c r="W159" s="290">
        <f>+V159+P159+AB159</f>
        <v>0.53</v>
      </c>
      <c r="X159" s="482">
        <v>0.01</v>
      </c>
      <c r="Y159" s="482">
        <v>7.0000000000000007E-2</v>
      </c>
      <c r="Z159" s="290"/>
      <c r="AA159" s="290"/>
      <c r="AB159" s="290">
        <f t="shared" si="119"/>
        <v>0.08</v>
      </c>
      <c r="AC159" s="323"/>
      <c r="AD159" s="278">
        <f>+V159/H159</f>
        <v>0.9</v>
      </c>
      <c r="AE159" s="278">
        <f t="shared" si="114"/>
        <v>0.32</v>
      </c>
      <c r="AF159" s="278"/>
      <c r="AG159" s="278">
        <f>+AD159*E159</f>
        <v>4.5000000000000005E-2</v>
      </c>
      <c r="AH159" s="278">
        <f t="shared" si="116"/>
        <v>1.6E-2</v>
      </c>
      <c r="AI159" s="278"/>
      <c r="AJ159" s="278">
        <v>0.45</v>
      </c>
      <c r="AK159" s="278">
        <f t="shared" si="120"/>
        <v>0.53</v>
      </c>
      <c r="AL159" s="278"/>
      <c r="AM159" s="278">
        <f>+AJ159*E159</f>
        <v>2.2500000000000003E-2</v>
      </c>
      <c r="AN159" s="278">
        <f t="shared" si="113"/>
        <v>2.6500000000000003E-2</v>
      </c>
      <c r="AO159" s="532" t="s">
        <v>1844</v>
      </c>
      <c r="AP159" s="599" t="s">
        <v>1913</v>
      </c>
      <c r="AQ159" s="267"/>
      <c r="AR159" s="754" t="s">
        <v>2011</v>
      </c>
      <c r="AS159" s="754" t="s">
        <v>2107</v>
      </c>
      <c r="AT159" s="754" t="s">
        <v>2107</v>
      </c>
      <c r="AU159" s="558" t="s">
        <v>2196</v>
      </c>
      <c r="AV159" s="558" t="s">
        <v>1887</v>
      </c>
      <c r="AW159" s="558" t="s">
        <v>2294</v>
      </c>
    </row>
    <row r="160" spans="1:49" ht="88.8" customHeight="1" thickBot="1" x14ac:dyDescent="0.55000000000000004">
      <c r="A160" s="261"/>
      <c r="B160" s="1339" t="s">
        <v>1667</v>
      </c>
      <c r="C160" s="1340"/>
      <c r="D160" s="309"/>
      <c r="E160" s="266">
        <v>0.15</v>
      </c>
      <c r="F160" s="270"/>
      <c r="G160" s="289"/>
      <c r="H160" s="704"/>
      <c r="I160" s="290"/>
      <c r="J160" s="286"/>
      <c r="K160" s="286">
        <f>+AVERAGE(K161:K163)</f>
        <v>0.66640624999999998</v>
      </c>
      <c r="L160" s="286">
        <f>+AVERAGE(L161:L163)</f>
        <v>0.61093750000000002</v>
      </c>
      <c r="M160" s="268"/>
      <c r="N160" s="268">
        <f>+N161+N162+N163</f>
        <v>0.36648437499999997</v>
      </c>
      <c r="O160" s="268"/>
      <c r="P160" s="290"/>
      <c r="Q160" s="321"/>
      <c r="R160" s="321"/>
      <c r="S160" s="321"/>
      <c r="T160" s="321"/>
      <c r="U160" s="321"/>
      <c r="V160" s="321"/>
      <c r="W160" s="321"/>
      <c r="X160" s="321"/>
      <c r="Y160" s="321"/>
      <c r="Z160" s="321"/>
      <c r="AA160" s="321"/>
      <c r="AB160" s="321"/>
      <c r="AC160" s="479"/>
      <c r="AD160" s="307">
        <f>+AVERAGE(AD161:AD163)</f>
        <v>0</v>
      </c>
      <c r="AE160" s="307">
        <f>+AVERAGE(AE161:AE163)</f>
        <v>0</v>
      </c>
      <c r="AF160" s="307"/>
      <c r="AG160" s="307">
        <f>+(AG161+AG162+AG163)*E160</f>
        <v>0</v>
      </c>
      <c r="AH160" s="307">
        <f>+(AH161+AH162+AH163)*E160</f>
        <v>0</v>
      </c>
      <c r="AI160" s="268"/>
      <c r="AJ160" s="638">
        <v>0</v>
      </c>
      <c r="AK160" s="638">
        <f>+AVERAGE(AK161:AK163)</f>
        <v>0</v>
      </c>
      <c r="AL160" s="268">
        <f>+(AL161+AL162+AL163)*E160</f>
        <v>0</v>
      </c>
      <c r="AM160" s="268">
        <f>+(AM161+AM162+AM163)</f>
        <v>0</v>
      </c>
      <c r="AN160" s="268">
        <f>+(AN161+AN162+AN163)</f>
        <v>0</v>
      </c>
      <c r="AO160" s="639"/>
      <c r="AP160" s="760" t="s">
        <v>1962</v>
      </c>
      <c r="AQ160" s="267"/>
      <c r="AR160" s="267"/>
      <c r="AS160" s="267"/>
      <c r="AT160" s="755"/>
      <c r="AU160" s="752"/>
      <c r="AV160" s="755"/>
    </row>
    <row r="161" spans="1:49" ht="122.4" customHeight="1" thickBot="1" x14ac:dyDescent="0.45">
      <c r="A161" s="261"/>
      <c r="B161" s="1342" t="s">
        <v>612</v>
      </c>
      <c r="C161" s="1147" t="s">
        <v>613</v>
      </c>
      <c r="D161" s="585" t="s">
        <v>1548</v>
      </c>
      <c r="E161" s="269">
        <v>0.35</v>
      </c>
      <c r="F161" s="270">
        <v>640</v>
      </c>
      <c r="G161" s="289">
        <v>0</v>
      </c>
      <c r="H161" s="704">
        <v>213</v>
      </c>
      <c r="I161" s="290">
        <v>213</v>
      </c>
      <c r="J161" s="279"/>
      <c r="K161" s="279">
        <f t="shared" si="100"/>
        <v>0.33281250000000001</v>
      </c>
      <c r="L161" s="332">
        <f t="shared" si="121"/>
        <v>0.33281250000000001</v>
      </c>
      <c r="M161" s="333"/>
      <c r="N161" s="333">
        <f t="shared" si="103"/>
        <v>0.116484375</v>
      </c>
      <c r="O161" s="333"/>
      <c r="P161" s="290"/>
      <c r="Q161" s="482">
        <v>0</v>
      </c>
      <c r="R161" s="482">
        <v>0</v>
      </c>
      <c r="S161" s="482">
        <v>0</v>
      </c>
      <c r="T161" s="482">
        <v>0</v>
      </c>
      <c r="U161" s="482">
        <v>0</v>
      </c>
      <c r="V161" s="290">
        <f>+Q161+R161+S161+T161+U161</f>
        <v>0</v>
      </c>
      <c r="W161" s="290">
        <f>+V161+P161+AB161</f>
        <v>0</v>
      </c>
      <c r="X161" s="482">
        <v>0</v>
      </c>
      <c r="Y161" s="482">
        <v>0</v>
      </c>
      <c r="Z161" s="290"/>
      <c r="AA161" s="290"/>
      <c r="AB161" s="290">
        <f t="shared" si="119"/>
        <v>0</v>
      </c>
      <c r="AC161" s="323"/>
      <c r="AD161" s="278">
        <f>+V161/H161</f>
        <v>0</v>
      </c>
      <c r="AE161" s="278">
        <f t="shared" si="114"/>
        <v>0</v>
      </c>
      <c r="AF161" s="278"/>
      <c r="AG161" s="278">
        <f>+AD161*E161</f>
        <v>0</v>
      </c>
      <c r="AH161" s="278">
        <f t="shared" si="116"/>
        <v>0</v>
      </c>
      <c r="AI161" s="278"/>
      <c r="AJ161" s="278">
        <v>0</v>
      </c>
      <c r="AK161" s="278">
        <f>+W161/F161</f>
        <v>0</v>
      </c>
      <c r="AL161" s="278"/>
      <c r="AM161" s="278">
        <f>+AJ161*E161</f>
        <v>0</v>
      </c>
      <c r="AN161" s="278">
        <f t="shared" si="113"/>
        <v>0</v>
      </c>
      <c r="AO161" s="532" t="s">
        <v>1844</v>
      </c>
      <c r="AP161" s="599" t="s">
        <v>1913</v>
      </c>
      <c r="AQ161" s="529" t="s">
        <v>1986</v>
      </c>
      <c r="AR161" s="754" t="s">
        <v>2011</v>
      </c>
      <c r="AS161" s="558" t="s">
        <v>2107</v>
      </c>
      <c r="AT161" s="558" t="s">
        <v>2139</v>
      </c>
      <c r="AU161" s="558" t="s">
        <v>2196</v>
      </c>
      <c r="AV161" s="558" t="s">
        <v>1887</v>
      </c>
      <c r="AW161" s="558" t="s">
        <v>2294</v>
      </c>
    </row>
    <row r="162" spans="1:49" ht="122.4" customHeight="1" thickBot="1" x14ac:dyDescent="0.45">
      <c r="A162" s="261"/>
      <c r="B162" s="1342" t="s">
        <v>614</v>
      </c>
      <c r="C162" s="1147" t="s">
        <v>615</v>
      </c>
      <c r="D162" s="585" t="s">
        <v>1548</v>
      </c>
      <c r="E162" s="269">
        <v>0.4</v>
      </c>
      <c r="F162" s="270">
        <v>2</v>
      </c>
      <c r="G162" s="289">
        <v>0</v>
      </c>
      <c r="H162" s="704">
        <v>0</v>
      </c>
      <c r="I162" s="290">
        <v>1</v>
      </c>
      <c r="J162" s="279"/>
      <c r="K162" s="279"/>
      <c r="L162" s="332">
        <f t="shared" si="121"/>
        <v>0.5</v>
      </c>
      <c r="M162" s="333"/>
      <c r="N162" s="333"/>
      <c r="O162" s="333"/>
      <c r="P162" s="290"/>
      <c r="Q162" s="482"/>
      <c r="R162" s="482"/>
      <c r="S162" s="482"/>
      <c r="T162" s="482"/>
      <c r="U162" s="482"/>
      <c r="V162" s="290">
        <f t="shared" ref="V162:V163" si="126">+Q162+R162+S162+T162+U162</f>
        <v>0</v>
      </c>
      <c r="W162" s="290">
        <f t="shared" ref="W162" si="127">+V162+P162+AB162</f>
        <v>0</v>
      </c>
      <c r="X162" s="482">
        <v>0</v>
      </c>
      <c r="Y162" s="482">
        <v>0</v>
      </c>
      <c r="Z162" s="290"/>
      <c r="AA162" s="290"/>
      <c r="AB162" s="290">
        <f t="shared" si="119"/>
        <v>0</v>
      </c>
      <c r="AC162" s="323"/>
      <c r="AD162" s="278"/>
      <c r="AE162" s="278">
        <f t="shared" si="114"/>
        <v>0</v>
      </c>
      <c r="AF162" s="278"/>
      <c r="AG162" s="278"/>
      <c r="AH162" s="278">
        <f t="shared" si="116"/>
        <v>0</v>
      </c>
      <c r="AI162" s="278"/>
      <c r="AJ162" s="278"/>
      <c r="AK162" s="278">
        <f t="shared" si="120"/>
        <v>0</v>
      </c>
      <c r="AL162" s="278"/>
      <c r="AM162" s="278">
        <f>+AJ162*E162</f>
        <v>0</v>
      </c>
      <c r="AN162" s="278">
        <f>+AK162*E162</f>
        <v>0</v>
      </c>
      <c r="AO162" s="532" t="s">
        <v>1844</v>
      </c>
      <c r="AP162" s="526" t="s">
        <v>1886</v>
      </c>
      <c r="AQ162" s="529" t="s">
        <v>1986</v>
      </c>
      <c r="AR162" s="754" t="s">
        <v>2011</v>
      </c>
      <c r="AS162" s="558" t="s">
        <v>2107</v>
      </c>
      <c r="AT162" s="558" t="s">
        <v>2139</v>
      </c>
      <c r="AU162" s="558" t="s">
        <v>2196</v>
      </c>
      <c r="AV162" s="558" t="s">
        <v>1887</v>
      </c>
      <c r="AW162" s="558" t="s">
        <v>2294</v>
      </c>
    </row>
    <row r="163" spans="1:49" ht="122.4" customHeight="1" thickBot="1" x14ac:dyDescent="0.45">
      <c r="A163" s="261"/>
      <c r="B163" s="1342" t="s">
        <v>616</v>
      </c>
      <c r="C163" s="1147" t="s">
        <v>617</v>
      </c>
      <c r="D163" s="585" t="s">
        <v>1548</v>
      </c>
      <c r="E163" s="269">
        <v>0.25</v>
      </c>
      <c r="F163" s="270">
        <v>1</v>
      </c>
      <c r="G163" s="289">
        <v>0</v>
      </c>
      <c r="H163" s="704">
        <v>1</v>
      </c>
      <c r="I163" s="290">
        <v>1</v>
      </c>
      <c r="J163" s="279"/>
      <c r="K163" s="279">
        <f t="shared" si="100"/>
        <v>1</v>
      </c>
      <c r="L163" s="332">
        <f t="shared" si="121"/>
        <v>1</v>
      </c>
      <c r="M163" s="333"/>
      <c r="N163" s="333">
        <f t="shared" si="103"/>
        <v>0.25</v>
      </c>
      <c r="O163" s="333"/>
      <c r="P163" s="290"/>
      <c r="Q163" s="482">
        <v>0</v>
      </c>
      <c r="R163" s="482">
        <v>0</v>
      </c>
      <c r="S163" s="482">
        <v>0</v>
      </c>
      <c r="T163" s="482">
        <v>0</v>
      </c>
      <c r="U163" s="482">
        <v>0</v>
      </c>
      <c r="V163" s="290">
        <f t="shared" si="126"/>
        <v>0</v>
      </c>
      <c r="W163" s="290">
        <f>+V163+P163+AB163</f>
        <v>0</v>
      </c>
      <c r="X163" s="482">
        <v>0</v>
      </c>
      <c r="Y163" s="482">
        <v>0</v>
      </c>
      <c r="Z163" s="290"/>
      <c r="AA163" s="290"/>
      <c r="AB163" s="290">
        <f t="shared" si="119"/>
        <v>0</v>
      </c>
      <c r="AC163" s="323"/>
      <c r="AD163" s="278">
        <f>+V163/H163</f>
        <v>0</v>
      </c>
      <c r="AE163" s="278">
        <f t="shared" si="114"/>
        <v>0</v>
      </c>
      <c r="AF163" s="278"/>
      <c r="AG163" s="278">
        <f>+AD163*E163</f>
        <v>0</v>
      </c>
      <c r="AH163" s="278">
        <f t="shared" si="116"/>
        <v>0</v>
      </c>
      <c r="AI163" s="278"/>
      <c r="AJ163" s="278">
        <v>0</v>
      </c>
      <c r="AK163" s="278">
        <f t="shared" si="120"/>
        <v>0</v>
      </c>
      <c r="AL163" s="278"/>
      <c r="AM163" s="278">
        <f>+AJ163*E163</f>
        <v>0</v>
      </c>
      <c r="AN163" s="278">
        <f t="shared" si="113"/>
        <v>0</v>
      </c>
      <c r="AO163" s="532" t="s">
        <v>1844</v>
      </c>
      <c r="AP163" s="599" t="s">
        <v>1913</v>
      </c>
      <c r="AQ163" s="529" t="s">
        <v>1986</v>
      </c>
      <c r="AR163" s="759" t="s">
        <v>2032</v>
      </c>
      <c r="AS163" s="558" t="s">
        <v>2107</v>
      </c>
      <c r="AT163" s="558" t="s">
        <v>2139</v>
      </c>
      <c r="AU163" s="558" t="s">
        <v>2196</v>
      </c>
      <c r="AV163" s="558" t="s">
        <v>1887</v>
      </c>
      <c r="AW163" s="558" t="s">
        <v>2294</v>
      </c>
    </row>
    <row r="164" spans="1:49" ht="94.2" customHeight="1" thickBot="1" x14ac:dyDescent="0.55000000000000004">
      <c r="A164" s="261"/>
      <c r="B164" s="1350" t="s">
        <v>1668</v>
      </c>
      <c r="C164" s="1336"/>
      <c r="D164" s="569"/>
      <c r="E164" s="301">
        <v>0.2</v>
      </c>
      <c r="F164" s="302">
        <f>+E164*AF164</f>
        <v>0.1569418604651163</v>
      </c>
      <c r="G164" s="285"/>
      <c r="H164" s="928">
        <f>+E164*AG164</f>
        <v>0.17263425799862631</v>
      </c>
      <c r="I164" s="263">
        <f>E164*AH164</f>
        <v>0.10729536644538998</v>
      </c>
      <c r="J164" s="326">
        <f>+(J165+J170+J173+J176+J182+J184+J187)/7</f>
        <v>0.23893651055292212</v>
      </c>
      <c r="K164" s="326">
        <f>+(K165+K170+K173+K176+K182+K184+K187)/7</f>
        <v>0.28593294105804123</v>
      </c>
      <c r="L164" s="1063">
        <f>+(L165+L170+L173+L176+L182+L184+L187)/7</f>
        <v>0.27823918362960776</v>
      </c>
      <c r="M164" s="958">
        <f>+(M165+M170+M173+M176+M182+M184+M187)/7</f>
        <v>0.22368966475650506</v>
      </c>
      <c r="N164" s="958">
        <f>+(N165+N170+N173+N176+N182+N184+N187)/7</f>
        <v>0.2870384761939736</v>
      </c>
      <c r="O164" s="958"/>
      <c r="P164" s="471"/>
      <c r="Q164" s="267"/>
      <c r="R164" s="267"/>
      <c r="S164" s="267"/>
      <c r="T164" s="267"/>
      <c r="U164" s="267"/>
      <c r="V164" s="267"/>
      <c r="W164" s="267"/>
      <c r="X164" s="267"/>
      <c r="Y164" s="267"/>
      <c r="Z164" s="267"/>
      <c r="AA164" s="267"/>
      <c r="AB164" s="267"/>
      <c r="AC164" s="319">
        <f>+(AC165+AC170+AC173+AC176+AC182+AC184+AC187)/7</f>
        <v>0.91621262458471764</v>
      </c>
      <c r="AD164" s="265">
        <f>+(AD165+AD170+AD173+AD176+AD182+AD184+AD187)/7</f>
        <v>0.93306223549163236</v>
      </c>
      <c r="AE164" s="265">
        <f>+(AE165+AE170+AE173+AE176+AE182+AE184+AE187)/7</f>
        <v>0.60946435222873763</v>
      </c>
      <c r="AF164" s="314">
        <f>AF165+AF170+AF173+AF176+AF182+AF184+AF187</f>
        <v>0.78470930232558145</v>
      </c>
      <c r="AG164" s="314">
        <f>AG165+AG170+AG173+AG176+AG182+AG184+AG187</f>
        <v>0.86317128999313142</v>
      </c>
      <c r="AH164" s="314">
        <f>AH165+AH170+AH173+AH176+AH182+AH184+AH187</f>
        <v>0.53647683222694986</v>
      </c>
      <c r="AI164" s="265">
        <f>(AI165+AI170+AI173+AI176+AI182+AI184+AI187)/7</f>
        <v>0.26532184592777297</v>
      </c>
      <c r="AJ164" s="265">
        <v>0.58130025930285478</v>
      </c>
      <c r="AK164" s="265">
        <f>(AK165+AK170+AK173+AK176+AK182+AK184+AK187)/7</f>
        <v>0.73018811213974943</v>
      </c>
      <c r="AL164" s="314">
        <f>(AL165+AL170+AL173+AL176+AL182+AL184+AL187)</f>
        <v>0.20257591878811407</v>
      </c>
      <c r="AM164" s="314">
        <f>(AM165*E165)+(AM170*E170)+(AM173*E173)+(AM176*E176)+(AM182*E182)+(AM184*E184)+(AM187*E187)</f>
        <v>0.50415658631572002</v>
      </c>
      <c r="AN164" s="314">
        <f>(AN165*E165)+(AN170*E170)+(AN173*E173)+(AN176*E176)+(AN182*E182)+(AN184*E184)+(AN187*E187)</f>
        <v>0.65715982293075492</v>
      </c>
      <c r="AO164" s="747"/>
      <c r="AP164" s="267"/>
      <c r="AQ164" s="267"/>
      <c r="AR164" s="267"/>
      <c r="AS164" s="267"/>
      <c r="AT164" s="755"/>
      <c r="AU164" s="752"/>
      <c r="AV164" s="755"/>
    </row>
    <row r="165" spans="1:49" ht="122.4" customHeight="1" thickBot="1" x14ac:dyDescent="0.55000000000000004">
      <c r="A165" s="261"/>
      <c r="B165" s="1351" t="s">
        <v>1669</v>
      </c>
      <c r="C165" s="1352"/>
      <c r="D165" s="445"/>
      <c r="E165" s="266">
        <v>0.35</v>
      </c>
      <c r="F165" s="270"/>
      <c r="G165" s="285"/>
      <c r="H165" s="926"/>
      <c r="I165" s="267"/>
      <c r="J165" s="286">
        <f>+AVERAGE(J166:J169)</f>
        <v>0.3125</v>
      </c>
      <c r="K165" s="286">
        <f>+AVERAGE(K166:K169)</f>
        <v>0.39083333333333331</v>
      </c>
      <c r="L165" s="286">
        <f>+AVERAGE(L166:L169)</f>
        <v>0.32791666666666669</v>
      </c>
      <c r="M165" s="268">
        <f>+M166+M167+M168+M169</f>
        <v>0.3125</v>
      </c>
      <c r="N165" s="268">
        <f>+N166+N167+N168+N169</f>
        <v>0.39083333333333331</v>
      </c>
      <c r="O165" s="268"/>
      <c r="P165" s="290"/>
      <c r="Q165" s="321"/>
      <c r="R165" s="321"/>
      <c r="S165" s="321"/>
      <c r="T165" s="321"/>
      <c r="U165" s="321"/>
      <c r="V165" s="321"/>
      <c r="W165" s="321"/>
      <c r="X165" s="321"/>
      <c r="Y165" s="321"/>
      <c r="Z165" s="321"/>
      <c r="AA165" s="321"/>
      <c r="AB165" s="321"/>
      <c r="AC165" s="479">
        <f>+AVERAGE(AC166:AC169)</f>
        <v>0.51</v>
      </c>
      <c r="AD165" s="307">
        <f>+AVERAGE(AD166:AD169)</f>
        <v>0.63698630136986301</v>
      </c>
      <c r="AE165" s="307">
        <f>+AVERAGE(AE166:AE169)</f>
        <v>0.55435185185185176</v>
      </c>
      <c r="AF165" s="307">
        <f>+(AF166+AF167+AF168+AF169)*E165</f>
        <v>0.17849999999999999</v>
      </c>
      <c r="AG165" s="307">
        <f>+(AG166+AG167+AG168+AG169)*E165</f>
        <v>0.22294520547945204</v>
      </c>
      <c r="AH165" s="307">
        <f>+(AH166+AH167+AH168+AH169)*E165</f>
        <v>0.19402314814814811</v>
      </c>
      <c r="AI165" s="268">
        <f>+AVERAGE(AI166:AI169)</f>
        <v>0.17541666666666667</v>
      </c>
      <c r="AJ165" s="268">
        <v>0.41416666666666668</v>
      </c>
      <c r="AK165" s="268">
        <f>+AVERAGE(AK166:AK169)</f>
        <v>0.59729166666666667</v>
      </c>
      <c r="AL165" s="268">
        <f>+(AL166+AL167+AL168+AL169)*E165</f>
        <v>6.139583333333333E-2</v>
      </c>
      <c r="AM165" s="268">
        <f>+(AM166+AM167+AM168+AM169)</f>
        <v>0.41416666666666668</v>
      </c>
      <c r="AN165" s="268">
        <f>+(AN166+AN167+AN168+AN169)</f>
        <v>0.59729166666666667</v>
      </c>
      <c r="AO165" s="639"/>
      <c r="AP165" s="267"/>
      <c r="AQ165" s="267"/>
      <c r="AR165" s="267"/>
      <c r="AS165" s="267"/>
      <c r="AT165" s="755"/>
      <c r="AU165" s="752"/>
      <c r="AV165" s="755"/>
    </row>
    <row r="166" spans="1:49" ht="122.4" customHeight="1" thickBot="1" x14ac:dyDescent="0.45">
      <c r="A166" s="261"/>
      <c r="B166" s="1355" t="s">
        <v>618</v>
      </c>
      <c r="C166" s="1356" t="s">
        <v>619</v>
      </c>
      <c r="D166" s="588" t="s">
        <v>620</v>
      </c>
      <c r="E166" s="269">
        <v>0.25</v>
      </c>
      <c r="F166" s="270">
        <v>12</v>
      </c>
      <c r="G166" s="289">
        <v>3</v>
      </c>
      <c r="H166" s="704">
        <v>4</v>
      </c>
      <c r="I166" s="290">
        <v>5</v>
      </c>
      <c r="J166" s="279">
        <f>+G166/F166</f>
        <v>0.25</v>
      </c>
      <c r="K166" s="279">
        <f t="shared" ref="K166:K174" si="128">+H166/F166</f>
        <v>0.33333333333333331</v>
      </c>
      <c r="L166" s="279">
        <f t="shared" ref="L166:L191" si="129">+I166/F166</f>
        <v>0.41666666666666669</v>
      </c>
      <c r="M166" s="333">
        <f>+(G166/F166)*E166</f>
        <v>6.25E-2</v>
      </c>
      <c r="N166" s="333">
        <f>+(H166/F166)*E166</f>
        <v>8.3333333333333329E-2</v>
      </c>
      <c r="O166" s="333"/>
      <c r="P166" s="290">
        <v>0</v>
      </c>
      <c r="Q166" s="482">
        <v>0</v>
      </c>
      <c r="R166" s="482">
        <v>0</v>
      </c>
      <c r="S166" s="482">
        <v>1</v>
      </c>
      <c r="T166" s="482">
        <v>0</v>
      </c>
      <c r="U166" s="482">
        <v>0</v>
      </c>
      <c r="V166" s="290">
        <f>+Q166+R166+S166+T166+U166</f>
        <v>1</v>
      </c>
      <c r="W166" s="290">
        <f t="shared" ref="W166" si="130">+V166+P166+AB166</f>
        <v>4</v>
      </c>
      <c r="X166" s="482">
        <v>2</v>
      </c>
      <c r="Y166" s="482">
        <v>1</v>
      </c>
      <c r="Z166" s="290"/>
      <c r="AA166" s="290"/>
      <c r="AB166" s="290">
        <f t="shared" ref="AB166:AB169" si="131">+X166+Y166+Z166+AA166</f>
        <v>3</v>
      </c>
      <c r="AC166" s="323">
        <f>+(P166/G166)</f>
        <v>0</v>
      </c>
      <c r="AD166" s="278">
        <f>+V166/H166</f>
        <v>0.25</v>
      </c>
      <c r="AE166" s="278">
        <f t="shared" ref="AE166:AE168" si="132">+AB166/I166</f>
        <v>0.6</v>
      </c>
      <c r="AF166" s="278">
        <f>+AC166*E166</f>
        <v>0</v>
      </c>
      <c r="AG166" s="278">
        <f>+AD166*E166</f>
        <v>6.25E-2</v>
      </c>
      <c r="AH166" s="278">
        <f t="shared" ref="AH166:AH169" si="133">+AE166*E166</f>
        <v>0.15</v>
      </c>
      <c r="AI166" s="278">
        <f>+P166/F166</f>
        <v>0</v>
      </c>
      <c r="AJ166" s="278">
        <v>8.3333333333333329E-2</v>
      </c>
      <c r="AK166" s="278">
        <f t="shared" ref="AK166:AK168" si="134">+W166/F166</f>
        <v>0.33333333333333331</v>
      </c>
      <c r="AL166" s="278">
        <f>+AI166*E166</f>
        <v>0</v>
      </c>
      <c r="AM166" s="278">
        <f>+AJ166*E166</f>
        <v>2.0833333333333332E-2</v>
      </c>
      <c r="AN166" s="278">
        <f t="shared" ref="AN166:AN169" si="135">+AK166*E166</f>
        <v>8.3333333333333329E-2</v>
      </c>
      <c r="AO166" s="532" t="s">
        <v>1844</v>
      </c>
      <c r="AP166" s="558" t="s">
        <v>1895</v>
      </c>
      <c r="AQ166" s="558" t="s">
        <v>1986</v>
      </c>
      <c r="AR166" s="558" t="s">
        <v>2009</v>
      </c>
      <c r="AS166" s="558" t="s">
        <v>2107</v>
      </c>
      <c r="AT166" s="558" t="s">
        <v>2139</v>
      </c>
      <c r="AU166" s="558" t="s">
        <v>2196</v>
      </c>
      <c r="AV166" s="558" t="s">
        <v>1887</v>
      </c>
      <c r="AW166" s="558" t="s">
        <v>2294</v>
      </c>
    </row>
    <row r="167" spans="1:49" ht="122.4" customHeight="1" thickBot="1" x14ac:dyDescent="0.45">
      <c r="A167" s="261"/>
      <c r="B167" s="1345" t="s">
        <v>621</v>
      </c>
      <c r="C167" s="1346" t="s">
        <v>622</v>
      </c>
      <c r="D167" s="444" t="s">
        <v>620</v>
      </c>
      <c r="E167" s="269">
        <v>0.25</v>
      </c>
      <c r="F167" s="270">
        <v>1</v>
      </c>
      <c r="G167" s="289">
        <v>0.5</v>
      </c>
      <c r="H167" s="704">
        <v>0.73</v>
      </c>
      <c r="I167" s="290">
        <v>0.27</v>
      </c>
      <c r="J167" s="279">
        <f>+G167/F167</f>
        <v>0.5</v>
      </c>
      <c r="K167" s="279">
        <f t="shared" si="128"/>
        <v>0.73</v>
      </c>
      <c r="L167" s="279">
        <f t="shared" si="129"/>
        <v>0.27</v>
      </c>
      <c r="M167" s="333">
        <f>+(G167/F167)*E167</f>
        <v>0.125</v>
      </c>
      <c r="N167" s="333">
        <f t="shared" ref="N167:N191" si="136">+(H167/F167)*E167</f>
        <v>0.1825</v>
      </c>
      <c r="O167" s="333"/>
      <c r="P167" s="290">
        <v>0.27</v>
      </c>
      <c r="Q167" s="729">
        <v>0.35</v>
      </c>
      <c r="R167" s="482">
        <v>0.05</v>
      </c>
      <c r="S167" s="482">
        <v>0</v>
      </c>
      <c r="T167" s="482">
        <v>0</v>
      </c>
      <c r="U167" s="482">
        <v>0</v>
      </c>
      <c r="V167" s="290">
        <f t="shared" ref="V167:V169" si="137">+Q167+R167+S167+T167+U167</f>
        <v>0.39999999999999997</v>
      </c>
      <c r="W167" s="290">
        <f>+V167+P167+AB167+0.06</f>
        <v>0.88500000000000001</v>
      </c>
      <c r="X167" s="482">
        <v>0.09</v>
      </c>
      <c r="Y167" s="482">
        <v>6.5000000000000002E-2</v>
      </c>
      <c r="Z167" s="290"/>
      <c r="AA167" s="290"/>
      <c r="AB167" s="290">
        <f t="shared" si="131"/>
        <v>0.155</v>
      </c>
      <c r="AC167" s="323">
        <f>+(P167/G167)</f>
        <v>0.54</v>
      </c>
      <c r="AD167" s="278">
        <f>+V167/H167</f>
        <v>0.54794520547945202</v>
      </c>
      <c r="AE167" s="278">
        <f>+AB167/I167</f>
        <v>0.57407407407407407</v>
      </c>
      <c r="AF167" s="278">
        <f>+AC167*E167</f>
        <v>0.13500000000000001</v>
      </c>
      <c r="AG167" s="278">
        <f>+AD167*E167</f>
        <v>0.13698630136986301</v>
      </c>
      <c r="AH167" s="278">
        <f t="shared" si="133"/>
        <v>0.14351851851851852</v>
      </c>
      <c r="AI167" s="278">
        <f>+P167/F167</f>
        <v>0.27</v>
      </c>
      <c r="AJ167" s="278">
        <v>0.66999999999999993</v>
      </c>
      <c r="AK167" s="278">
        <f t="shared" si="134"/>
        <v>0.88500000000000001</v>
      </c>
      <c r="AL167" s="278">
        <f>+AI167*E167</f>
        <v>6.7500000000000004E-2</v>
      </c>
      <c r="AM167" s="278">
        <f>+AJ167*E167</f>
        <v>0.16749999999999998</v>
      </c>
      <c r="AN167" s="278">
        <f t="shared" si="135"/>
        <v>0.22125</v>
      </c>
      <c r="AO167" s="532" t="s">
        <v>1844</v>
      </c>
      <c r="AP167" s="558" t="s">
        <v>1895</v>
      </c>
      <c r="AQ167" s="558" t="s">
        <v>1986</v>
      </c>
      <c r="AR167" s="558" t="s">
        <v>2009</v>
      </c>
      <c r="AS167" s="558" t="s">
        <v>2107</v>
      </c>
      <c r="AT167" s="558" t="s">
        <v>2139</v>
      </c>
      <c r="AU167" s="558" t="s">
        <v>2196</v>
      </c>
      <c r="AV167" s="558" t="s">
        <v>1887</v>
      </c>
      <c r="AW167" s="558" t="s">
        <v>2294</v>
      </c>
    </row>
    <row r="168" spans="1:49" ht="122.4" customHeight="1" thickBot="1" x14ac:dyDescent="0.45">
      <c r="A168" s="261"/>
      <c r="B168" s="1345" t="s">
        <v>623</v>
      </c>
      <c r="C168" s="1346" t="s">
        <v>624</v>
      </c>
      <c r="D168" s="444" t="s">
        <v>620</v>
      </c>
      <c r="E168" s="269">
        <v>0.25</v>
      </c>
      <c r="F168" s="270">
        <v>16</v>
      </c>
      <c r="G168" s="289">
        <v>4</v>
      </c>
      <c r="H168" s="704">
        <v>4</v>
      </c>
      <c r="I168" s="290">
        <v>6</v>
      </c>
      <c r="J168" s="279">
        <f>+G168/F168</f>
        <v>0.25</v>
      </c>
      <c r="K168" s="279">
        <f t="shared" si="128"/>
        <v>0.25</v>
      </c>
      <c r="L168" s="279">
        <f t="shared" si="129"/>
        <v>0.375</v>
      </c>
      <c r="M168" s="333">
        <f>+(G168/F168)*E168</f>
        <v>6.25E-2</v>
      </c>
      <c r="N168" s="333">
        <f t="shared" si="136"/>
        <v>6.25E-2</v>
      </c>
      <c r="O168" s="333"/>
      <c r="P168" s="290">
        <v>2</v>
      </c>
      <c r="Q168" s="482">
        <v>1</v>
      </c>
      <c r="R168" s="482">
        <v>0</v>
      </c>
      <c r="S168" s="482">
        <v>2</v>
      </c>
      <c r="T168" s="482">
        <v>0</v>
      </c>
      <c r="U168" s="482">
        <v>0</v>
      </c>
      <c r="V168" s="290">
        <f t="shared" si="137"/>
        <v>3</v>
      </c>
      <c r="W168" s="290">
        <f>+V168+P168+AB168</f>
        <v>7</v>
      </c>
      <c r="X168" s="482">
        <v>0</v>
      </c>
      <c r="Y168" s="482">
        <v>2</v>
      </c>
      <c r="Z168" s="290"/>
      <c r="AA168" s="290"/>
      <c r="AB168" s="290">
        <f t="shared" si="131"/>
        <v>2</v>
      </c>
      <c r="AC168" s="323">
        <f>+(P168/G168)</f>
        <v>0.5</v>
      </c>
      <c r="AD168" s="278">
        <f>+V168/H168</f>
        <v>0.75</v>
      </c>
      <c r="AE168" s="278">
        <f t="shared" si="132"/>
        <v>0.33333333333333331</v>
      </c>
      <c r="AF168" s="278">
        <f>+AC168*E168</f>
        <v>0.125</v>
      </c>
      <c r="AG168" s="278">
        <f>+AD168*E168</f>
        <v>0.1875</v>
      </c>
      <c r="AH168" s="278">
        <f t="shared" si="133"/>
        <v>8.3333333333333329E-2</v>
      </c>
      <c r="AI168" s="278">
        <f>+P168/F168</f>
        <v>0.125</v>
      </c>
      <c r="AJ168" s="278">
        <v>0.3125</v>
      </c>
      <c r="AK168" s="278">
        <f t="shared" si="134"/>
        <v>0.4375</v>
      </c>
      <c r="AL168" s="278">
        <f>+AI168*E168</f>
        <v>3.125E-2</v>
      </c>
      <c r="AM168" s="278">
        <f>+AJ168*E168</f>
        <v>7.8125E-2</v>
      </c>
      <c r="AN168" s="278">
        <f t="shared" si="135"/>
        <v>0.109375</v>
      </c>
      <c r="AO168" s="532" t="s">
        <v>1844</v>
      </c>
      <c r="AP168" s="558" t="s">
        <v>1895</v>
      </c>
      <c r="AQ168" s="558" t="s">
        <v>1986</v>
      </c>
      <c r="AR168" s="558" t="s">
        <v>2009</v>
      </c>
      <c r="AS168" s="558" t="s">
        <v>2107</v>
      </c>
      <c r="AT168" s="558" t="s">
        <v>2139</v>
      </c>
      <c r="AU168" s="558" t="s">
        <v>2196</v>
      </c>
      <c r="AV168" s="558" t="s">
        <v>1887</v>
      </c>
      <c r="AW168" s="558" t="s">
        <v>2294</v>
      </c>
    </row>
    <row r="169" spans="1:49" ht="122.4" customHeight="1" thickBot="1" x14ac:dyDescent="0.45">
      <c r="A169" s="261"/>
      <c r="B169" s="1345" t="s">
        <v>625</v>
      </c>
      <c r="C169" s="1346" t="s">
        <v>626</v>
      </c>
      <c r="D169" s="444" t="s">
        <v>620</v>
      </c>
      <c r="E169" s="269">
        <v>0.25</v>
      </c>
      <c r="F169" s="270">
        <v>1200</v>
      </c>
      <c r="G169" s="289">
        <v>300</v>
      </c>
      <c r="H169" s="704">
        <v>300</v>
      </c>
      <c r="I169" s="290">
        <v>300</v>
      </c>
      <c r="J169" s="279">
        <f>+G169/F169</f>
        <v>0.25</v>
      </c>
      <c r="K169" s="279">
        <f t="shared" si="128"/>
        <v>0.25</v>
      </c>
      <c r="L169" s="279">
        <f t="shared" si="129"/>
        <v>0.25</v>
      </c>
      <c r="M169" s="333">
        <f>+(G169/F169)*E169</f>
        <v>6.25E-2</v>
      </c>
      <c r="N169" s="333">
        <f t="shared" si="136"/>
        <v>6.25E-2</v>
      </c>
      <c r="O169" s="333"/>
      <c r="P169" s="290">
        <v>368</v>
      </c>
      <c r="Q169" s="482">
        <v>83</v>
      </c>
      <c r="R169" s="482">
        <v>117</v>
      </c>
      <c r="S169" s="482">
        <v>42</v>
      </c>
      <c r="T169" s="482">
        <v>52</v>
      </c>
      <c r="U169" s="482">
        <v>5</v>
      </c>
      <c r="V169" s="290">
        <f t="shared" si="137"/>
        <v>299</v>
      </c>
      <c r="W169" s="290">
        <f>+V169+P169+AB169</f>
        <v>880</v>
      </c>
      <c r="X169" s="482">
        <v>164</v>
      </c>
      <c r="Y169" s="482">
        <v>49</v>
      </c>
      <c r="Z169" s="290"/>
      <c r="AA169" s="290"/>
      <c r="AB169" s="290">
        <f t="shared" si="131"/>
        <v>213</v>
      </c>
      <c r="AC169" s="323">
        <v>1</v>
      </c>
      <c r="AD169" s="278">
        <v>1</v>
      </c>
      <c r="AE169" s="278">
        <f>+AB169/I169</f>
        <v>0.71</v>
      </c>
      <c r="AF169" s="278">
        <f>+AC169*E169</f>
        <v>0.25</v>
      </c>
      <c r="AG169" s="278">
        <f>+AD169*E169</f>
        <v>0.25</v>
      </c>
      <c r="AH169" s="278">
        <f t="shared" si="133"/>
        <v>0.17749999999999999</v>
      </c>
      <c r="AI169" s="278">
        <f>+P169/F169</f>
        <v>0.30666666666666664</v>
      </c>
      <c r="AJ169" s="278">
        <v>0.59083333333333332</v>
      </c>
      <c r="AK169" s="278">
        <f>+W169/F169</f>
        <v>0.73333333333333328</v>
      </c>
      <c r="AL169" s="278">
        <f>+AI169*E169</f>
        <v>7.6666666666666661E-2</v>
      </c>
      <c r="AM169" s="278">
        <f>+AJ169*E169</f>
        <v>0.14770833333333333</v>
      </c>
      <c r="AN169" s="278">
        <f t="shared" si="135"/>
        <v>0.18333333333333332</v>
      </c>
      <c r="AO169" s="532" t="s">
        <v>1844</v>
      </c>
      <c r="AP169" s="758" t="s">
        <v>1950</v>
      </c>
      <c r="AQ169" s="558" t="s">
        <v>1986</v>
      </c>
      <c r="AR169" s="558" t="s">
        <v>2009</v>
      </c>
      <c r="AS169" s="558" t="s">
        <v>2107</v>
      </c>
      <c r="AT169" s="558" t="s">
        <v>2139</v>
      </c>
      <c r="AU169" s="558" t="s">
        <v>2196</v>
      </c>
      <c r="AV169" s="558" t="s">
        <v>1887</v>
      </c>
      <c r="AW169" s="756" t="s">
        <v>1859</v>
      </c>
    </row>
    <row r="170" spans="1:49" ht="122.4" customHeight="1" thickBot="1" x14ac:dyDescent="0.55000000000000004">
      <c r="A170" s="261"/>
      <c r="B170" s="1347" t="s">
        <v>1670</v>
      </c>
      <c r="C170" s="1348"/>
      <c r="D170" s="576"/>
      <c r="E170" s="266">
        <v>0.2</v>
      </c>
      <c r="F170" s="270"/>
      <c r="G170" s="289"/>
      <c r="H170" s="704"/>
      <c r="I170" s="290"/>
      <c r="J170" s="286">
        <f>+AVERAGE(J171:J172)</f>
        <v>3.2271422261484099E-2</v>
      </c>
      <c r="K170" s="286">
        <f>+AVERAGE(K171:K172)</f>
        <v>0.31835247349823326</v>
      </c>
      <c r="L170" s="286">
        <f>+AVERAGE(L171:L172)</f>
        <v>0.31835247349823326</v>
      </c>
      <c r="M170" s="268">
        <f>+M171+M172</f>
        <v>2.6429991166077735E-2</v>
      </c>
      <c r="N170" s="268">
        <f>+N171+N172</f>
        <v>0.32069346289752654</v>
      </c>
      <c r="O170" s="268"/>
      <c r="P170" s="290"/>
      <c r="Q170" s="321"/>
      <c r="R170" s="321"/>
      <c r="S170" s="321"/>
      <c r="T170" s="321"/>
      <c r="U170" s="321"/>
      <c r="V170" s="321"/>
      <c r="W170" s="321"/>
      <c r="X170" s="321"/>
      <c r="Y170" s="321"/>
      <c r="Z170" s="321"/>
      <c r="AA170" s="321"/>
      <c r="AB170" s="321"/>
      <c r="AC170" s="479">
        <f>+AVERAGE(AC171:AC173)</f>
        <v>0.95000000000000007</v>
      </c>
      <c r="AD170" s="307">
        <f>+AVERAGE(AD171:AD172)</f>
        <v>1</v>
      </c>
      <c r="AE170" s="307">
        <f>+AVERAGE(AE171:AE172)</f>
        <v>0.43087193460490464</v>
      </c>
      <c r="AF170" s="307">
        <f>+(AF171+AF172)*E170</f>
        <v>0.17900000000000002</v>
      </c>
      <c r="AG170" s="307">
        <f>+(AG171+AG172)*E170</f>
        <v>0.2</v>
      </c>
      <c r="AH170" s="307">
        <f>+(AH171+AH172)*E170</f>
        <v>5.8244141689373301E-2</v>
      </c>
      <c r="AI170" s="268">
        <f>+AVERAGE(AI171:AI172)</f>
        <v>3.7196333922261481E-2</v>
      </c>
      <c r="AJ170" s="268">
        <v>0.36217424911660778</v>
      </c>
      <c r="AK170" s="268">
        <f>+AVERAGE(AK171:AK172)</f>
        <v>0.49730013250883387</v>
      </c>
      <c r="AL170" s="268">
        <f>+(AL171+AL172)*E170</f>
        <v>5.6649734982332153E-3</v>
      </c>
      <c r="AM170" s="268">
        <f>+(AM171+AM172)</f>
        <v>0.35829394876325088</v>
      </c>
      <c r="AN170" s="268">
        <f>+(AN171+AN172)</f>
        <v>0.44997018551236745</v>
      </c>
      <c r="AO170" s="748"/>
      <c r="AP170" s="267"/>
      <c r="AQ170" s="267"/>
      <c r="AR170" s="267"/>
      <c r="AS170" s="267"/>
      <c r="AT170" s="755"/>
      <c r="AU170" s="752"/>
      <c r="AV170" s="755"/>
    </row>
    <row r="171" spans="1:49" ht="122.4" customHeight="1" thickBot="1" x14ac:dyDescent="0.55000000000000004">
      <c r="A171" s="261"/>
      <c r="B171" s="1345" t="s">
        <v>627</v>
      </c>
      <c r="C171" s="1346" t="s">
        <v>628</v>
      </c>
      <c r="D171" s="583" t="s">
        <v>620</v>
      </c>
      <c r="E171" s="269">
        <v>0.7</v>
      </c>
      <c r="F171" s="270">
        <v>1132</v>
      </c>
      <c r="G171" s="289">
        <v>20</v>
      </c>
      <c r="H171" s="704">
        <v>367</v>
      </c>
      <c r="I171" s="290">
        <v>367</v>
      </c>
      <c r="J171" s="279">
        <f>+G171/F171</f>
        <v>1.7667844522968199E-2</v>
      </c>
      <c r="K171" s="279">
        <f t="shared" si="128"/>
        <v>0.32420494699646646</v>
      </c>
      <c r="L171" s="279">
        <f t="shared" si="129"/>
        <v>0.32420494699646646</v>
      </c>
      <c r="M171" s="333">
        <f>+(G171/F171)*E171</f>
        <v>1.2367491166077738E-2</v>
      </c>
      <c r="N171" s="333">
        <f t="shared" si="136"/>
        <v>0.22694346289752651</v>
      </c>
      <c r="O171" s="333"/>
      <c r="P171" s="290">
        <v>17</v>
      </c>
      <c r="Q171" s="482">
        <v>209</v>
      </c>
      <c r="R171" s="482">
        <v>0</v>
      </c>
      <c r="S171" s="482">
        <v>27</v>
      </c>
      <c r="T171" s="482">
        <v>146</v>
      </c>
      <c r="U171" s="482">
        <v>0</v>
      </c>
      <c r="V171" s="290">
        <f>+Q171+R171+S171+T171+U171</f>
        <v>382</v>
      </c>
      <c r="W171" s="290">
        <f>+V171+P171+AB171</f>
        <v>429</v>
      </c>
      <c r="X171" s="482">
        <v>7</v>
      </c>
      <c r="Y171" s="482">
        <v>23</v>
      </c>
      <c r="Z171" s="290"/>
      <c r="AA171" s="290"/>
      <c r="AB171" s="290">
        <f t="shared" ref="AB171:AB172" si="138">+X171+Y171+Z171+AA171</f>
        <v>30</v>
      </c>
      <c r="AC171" s="323">
        <f>+(P171/G171)</f>
        <v>0.85</v>
      </c>
      <c r="AD171" s="278">
        <v>1</v>
      </c>
      <c r="AE171" s="278">
        <f t="shared" ref="AE171:AE172" si="139">+AB171/I171</f>
        <v>8.1743869209809264E-2</v>
      </c>
      <c r="AF171" s="278">
        <f>+AC171*E171</f>
        <v>0.59499999999999997</v>
      </c>
      <c r="AG171" s="278">
        <f>+AD171*E171</f>
        <v>0.7</v>
      </c>
      <c r="AH171" s="278">
        <f t="shared" ref="AH171:AH172" si="140">+AE171*E171</f>
        <v>5.7220708446866483E-2</v>
      </c>
      <c r="AI171" s="278">
        <f>+P171/F171</f>
        <v>1.5017667844522967E-2</v>
      </c>
      <c r="AJ171" s="278">
        <v>0.35247349823321555</v>
      </c>
      <c r="AK171" s="278">
        <f t="shared" ref="AK171:AK172" si="141">+W171/F171</f>
        <v>0.37897526501766782</v>
      </c>
      <c r="AL171" s="283">
        <f>+AI171*E171</f>
        <v>1.0512367491166076E-2</v>
      </c>
      <c r="AM171" s="283">
        <f>+AJ171*E171</f>
        <v>0.24673144876325087</v>
      </c>
      <c r="AN171" s="283">
        <f t="shared" ref="AN171:AN172" si="142">+AK171*E171</f>
        <v>0.26528268551236744</v>
      </c>
      <c r="AO171" s="532" t="s">
        <v>1844</v>
      </c>
      <c r="AP171" s="558" t="s">
        <v>1895</v>
      </c>
      <c r="AQ171" s="267"/>
      <c r="AR171" s="534" t="s">
        <v>2009</v>
      </c>
      <c r="AS171" s="558" t="s">
        <v>2107</v>
      </c>
      <c r="AT171" s="558" t="s">
        <v>2139</v>
      </c>
      <c r="AU171" s="752"/>
      <c r="AV171" s="558" t="s">
        <v>1887</v>
      </c>
      <c r="AW171" s="558" t="s">
        <v>2294</v>
      </c>
    </row>
    <row r="172" spans="1:49" ht="122.4" customHeight="1" thickBot="1" x14ac:dyDescent="0.55000000000000004">
      <c r="A172" s="261"/>
      <c r="B172" s="1345" t="s">
        <v>629</v>
      </c>
      <c r="C172" s="1346" t="s">
        <v>630</v>
      </c>
      <c r="D172" s="589" t="s">
        <v>620</v>
      </c>
      <c r="E172" s="269">
        <v>0.3</v>
      </c>
      <c r="F172" s="270">
        <v>320</v>
      </c>
      <c r="G172" s="289">
        <v>15</v>
      </c>
      <c r="H172" s="704">
        <v>100</v>
      </c>
      <c r="I172" s="290">
        <v>100</v>
      </c>
      <c r="J172" s="279">
        <f>+G172/F172</f>
        <v>4.6875E-2</v>
      </c>
      <c r="K172" s="279">
        <f t="shared" si="128"/>
        <v>0.3125</v>
      </c>
      <c r="L172" s="279">
        <f t="shared" si="129"/>
        <v>0.3125</v>
      </c>
      <c r="M172" s="333">
        <f>+(G172/F172)*E172</f>
        <v>1.4062499999999999E-2</v>
      </c>
      <c r="N172" s="333">
        <f t="shared" si="136"/>
        <v>9.375E-2</v>
      </c>
      <c r="O172" s="333"/>
      <c r="P172" s="290">
        <v>19</v>
      </c>
      <c r="Q172" s="482">
        <v>46</v>
      </c>
      <c r="R172" s="482">
        <v>0</v>
      </c>
      <c r="S172" s="482">
        <v>6</v>
      </c>
      <c r="T172" s="482">
        <v>42</v>
      </c>
      <c r="U172" s="482">
        <v>6</v>
      </c>
      <c r="V172" s="290">
        <f>+Q172+R172+S172+T172+U172</f>
        <v>100</v>
      </c>
      <c r="W172" s="290">
        <f>+V172+P172+AB172</f>
        <v>197</v>
      </c>
      <c r="X172" s="482">
        <v>9</v>
      </c>
      <c r="Y172" s="482">
        <v>69</v>
      </c>
      <c r="Z172" s="290"/>
      <c r="AA172" s="290"/>
      <c r="AB172" s="290">
        <f t="shared" si="138"/>
        <v>78</v>
      </c>
      <c r="AC172" s="323">
        <v>1</v>
      </c>
      <c r="AD172" s="278">
        <f>+V172/H172</f>
        <v>1</v>
      </c>
      <c r="AE172" s="278">
        <f t="shared" si="139"/>
        <v>0.78</v>
      </c>
      <c r="AF172" s="278">
        <f>+AC172*E172</f>
        <v>0.3</v>
      </c>
      <c r="AG172" s="278">
        <f>+AD172*E172</f>
        <v>0.3</v>
      </c>
      <c r="AH172" s="278">
        <f t="shared" si="140"/>
        <v>0.23399999999999999</v>
      </c>
      <c r="AI172" s="278">
        <f>+P172/F172</f>
        <v>5.9374999999999997E-2</v>
      </c>
      <c r="AJ172" s="278">
        <v>0.37187500000000001</v>
      </c>
      <c r="AK172" s="278">
        <f t="shared" si="141"/>
        <v>0.61562499999999998</v>
      </c>
      <c r="AL172" s="278">
        <f>+AI172*E172</f>
        <v>1.7812499999999998E-2</v>
      </c>
      <c r="AM172" s="278">
        <f>+AJ172*E172</f>
        <v>0.1115625</v>
      </c>
      <c r="AN172" s="278">
        <f t="shared" si="142"/>
        <v>0.18468749999999998</v>
      </c>
      <c r="AO172" s="532" t="s">
        <v>1844</v>
      </c>
      <c r="AP172" s="558" t="s">
        <v>1895</v>
      </c>
      <c r="AQ172" s="267"/>
      <c r="AR172" s="534" t="s">
        <v>2009</v>
      </c>
      <c r="AS172" s="558" t="s">
        <v>2107</v>
      </c>
      <c r="AT172" s="558" t="s">
        <v>2139</v>
      </c>
      <c r="AU172" s="752"/>
      <c r="AV172" s="558" t="s">
        <v>1887</v>
      </c>
      <c r="AW172" s="558" t="s">
        <v>2294</v>
      </c>
    </row>
    <row r="173" spans="1:49" ht="122.4" customHeight="1" thickBot="1" x14ac:dyDescent="0.55000000000000004">
      <c r="A173" s="261"/>
      <c r="B173" s="1335" t="s">
        <v>1671</v>
      </c>
      <c r="C173" s="1336"/>
      <c r="D173" s="571"/>
      <c r="E173" s="266">
        <v>0.1</v>
      </c>
      <c r="F173" s="270"/>
      <c r="G173" s="289"/>
      <c r="H173" s="704"/>
      <c r="I173" s="290"/>
      <c r="J173" s="286">
        <f>+AVERAGE(J174:J175)</f>
        <v>0.25058139534883722</v>
      </c>
      <c r="K173" s="286">
        <f>+AVERAGE(K174:K175)</f>
        <v>0.25058139534883722</v>
      </c>
      <c r="L173" s="286">
        <f>+AVERAGE(L174:L175)</f>
        <v>0.25290697674418605</v>
      </c>
      <c r="M173" s="268">
        <f>+M174+M175</f>
        <v>0.2508139534883721</v>
      </c>
      <c r="N173" s="268">
        <f>+N174+N175</f>
        <v>0.2508139534883721</v>
      </c>
      <c r="O173" s="268"/>
      <c r="P173" s="290"/>
      <c r="Q173" s="321"/>
      <c r="R173" s="321"/>
      <c r="S173" s="321"/>
      <c r="T173" s="321"/>
      <c r="U173" s="321"/>
      <c r="V173" s="321"/>
      <c r="W173" s="321"/>
      <c r="X173" s="321"/>
      <c r="Y173" s="321"/>
      <c r="Z173" s="321"/>
      <c r="AA173" s="321"/>
      <c r="AB173" s="321"/>
      <c r="AC173" s="479">
        <f>+AVERAGE(AC174:AC175)</f>
        <v>1</v>
      </c>
      <c r="AD173" s="307">
        <f>+AVERAGE(AD174:AD175)</f>
        <v>0.99314814814814811</v>
      </c>
      <c r="AE173" s="307">
        <f>+AVERAGE(AE174:AE175)</f>
        <v>0.43645454545454543</v>
      </c>
      <c r="AF173" s="307">
        <f>+(AF174+AF175)*E173</f>
        <v>0.1</v>
      </c>
      <c r="AG173" s="307">
        <f>+(AG174+AG175)*E173</f>
        <v>9.9040740740740749E-2</v>
      </c>
      <c r="AH173" s="307">
        <f>+(AH174+AH175)*E173</f>
        <v>4.110363636363637E-2</v>
      </c>
      <c r="AI173" s="268">
        <f>+AVERAGE(AI174:AI175)</f>
        <v>0.33380620155038759</v>
      </c>
      <c r="AJ173" s="268">
        <v>0.58266666666666667</v>
      </c>
      <c r="AK173" s="268">
        <f>+AVERAGE(AK174:AK175)</f>
        <v>0.69286434108527128</v>
      </c>
      <c r="AL173" s="268">
        <f>+(AL174+AL175)*E173</f>
        <v>3.3399534883720931E-2</v>
      </c>
      <c r="AM173" s="268">
        <f>+(AM174+AM175)</f>
        <v>0.58239999999999992</v>
      </c>
      <c r="AN173" s="268">
        <f>+(AN174+AN175)</f>
        <v>0.68667674418604652</v>
      </c>
      <c r="AO173" s="639"/>
      <c r="AP173" s="267"/>
      <c r="AQ173" s="267"/>
      <c r="AR173" s="267"/>
      <c r="AS173" s="267"/>
      <c r="AT173" s="755"/>
      <c r="AU173" s="752"/>
      <c r="AV173" s="755"/>
    </row>
    <row r="174" spans="1:49" ht="122.4" customHeight="1" thickBot="1" x14ac:dyDescent="0.55000000000000004">
      <c r="A174" s="261"/>
      <c r="B174" s="1345" t="s">
        <v>631</v>
      </c>
      <c r="C174" s="1346" t="s">
        <v>632</v>
      </c>
      <c r="D174" s="444" t="s">
        <v>620</v>
      </c>
      <c r="E174" s="269">
        <v>0.7</v>
      </c>
      <c r="F174" s="270">
        <v>21500</v>
      </c>
      <c r="G174" s="289">
        <v>5400</v>
      </c>
      <c r="H174" s="704">
        <v>5400</v>
      </c>
      <c r="I174" s="290">
        <v>5500</v>
      </c>
      <c r="J174" s="279">
        <f>+G174/F174</f>
        <v>0.25116279069767444</v>
      </c>
      <c r="K174" s="279">
        <f t="shared" si="128"/>
        <v>0.25116279069767444</v>
      </c>
      <c r="L174" s="279">
        <f>+I174/F174</f>
        <v>0.2558139534883721</v>
      </c>
      <c r="M174" s="333">
        <f>+(G174/F174)*E174</f>
        <v>0.17581395348837209</v>
      </c>
      <c r="N174" s="333">
        <f t="shared" si="136"/>
        <v>0.17581395348837209</v>
      </c>
      <c r="O174" s="333"/>
      <c r="P174" s="290">
        <v>7187</v>
      </c>
      <c r="Q174" s="482">
        <v>300</v>
      </c>
      <c r="R174" s="482">
        <f>1338+205</f>
        <v>1543</v>
      </c>
      <c r="S174" s="482">
        <v>434</v>
      </c>
      <c r="T174" s="482">
        <v>3049</v>
      </c>
      <c r="U174" s="482">
        <v>0</v>
      </c>
      <c r="V174" s="290">
        <f>+Q174+R174+S174+T174+U174</f>
        <v>5326</v>
      </c>
      <c r="W174" s="290">
        <f>+V174+P174+AB174</f>
        <v>14564</v>
      </c>
      <c r="X174" s="482">
        <v>464</v>
      </c>
      <c r="Y174" s="482">
        <v>1587</v>
      </c>
      <c r="Z174" s="290"/>
      <c r="AA174" s="290"/>
      <c r="AB174" s="290">
        <f t="shared" ref="AB174:AB175" si="143">+X174+Y174+Z174+AA174</f>
        <v>2051</v>
      </c>
      <c r="AC174" s="323">
        <v>1</v>
      </c>
      <c r="AD174" s="278">
        <f>+V174/H174</f>
        <v>0.98629629629629634</v>
      </c>
      <c r="AE174" s="278">
        <f t="shared" ref="AE174:AE175" si="144">+AB174/I174</f>
        <v>0.37290909090909091</v>
      </c>
      <c r="AF174" s="278">
        <f>+AC174*E174</f>
        <v>0.7</v>
      </c>
      <c r="AG174" s="278">
        <f>+AD174*E174</f>
        <v>0.69040740740740736</v>
      </c>
      <c r="AH174" s="278">
        <f t="shared" ref="AH174:AH175" si="145">+AE174*E174</f>
        <v>0.26103636363636362</v>
      </c>
      <c r="AI174" s="278">
        <f>+P174/F174</f>
        <v>0.33427906976744187</v>
      </c>
      <c r="AJ174" s="278">
        <v>0.58199999999999996</v>
      </c>
      <c r="AK174" s="278">
        <f t="shared" ref="AK174:AK175" si="146">+W174/F174</f>
        <v>0.67739534883720931</v>
      </c>
      <c r="AL174" s="278">
        <f>+AI174*E174</f>
        <v>0.23399534883720929</v>
      </c>
      <c r="AM174" s="278">
        <f>+AJ174*E174</f>
        <v>0.40739999999999993</v>
      </c>
      <c r="AN174" s="278">
        <f t="shared" ref="AN174:AN175" si="147">+AK174*E174</f>
        <v>0.47417674418604649</v>
      </c>
      <c r="AO174" s="532" t="s">
        <v>1844</v>
      </c>
      <c r="AP174" s="267"/>
      <c r="AQ174" s="267"/>
      <c r="AR174" s="534" t="s">
        <v>2009</v>
      </c>
      <c r="AS174" s="558" t="s">
        <v>2107</v>
      </c>
      <c r="AT174" s="558" t="s">
        <v>2139</v>
      </c>
      <c r="AU174" s="752"/>
      <c r="AV174" s="791" t="s">
        <v>1887</v>
      </c>
      <c r="AW174" s="558" t="s">
        <v>2294</v>
      </c>
    </row>
    <row r="175" spans="1:49" ht="122.4" customHeight="1" thickBot="1" x14ac:dyDescent="0.55000000000000004">
      <c r="A175" s="261"/>
      <c r="B175" s="1359" t="s">
        <v>633</v>
      </c>
      <c r="C175" s="1360" t="s">
        <v>634</v>
      </c>
      <c r="D175" s="444" t="s">
        <v>620</v>
      </c>
      <c r="E175" s="269">
        <v>0.3</v>
      </c>
      <c r="F175" s="270">
        <v>12</v>
      </c>
      <c r="G175" s="289">
        <v>3</v>
      </c>
      <c r="H175" s="704">
        <v>3</v>
      </c>
      <c r="I175" s="290">
        <v>3</v>
      </c>
      <c r="J175" s="279">
        <f>+G175/F175</f>
        <v>0.25</v>
      </c>
      <c r="K175" s="279">
        <f>+H175/F175</f>
        <v>0.25</v>
      </c>
      <c r="L175" s="279">
        <f t="shared" si="129"/>
        <v>0.25</v>
      </c>
      <c r="M175" s="333">
        <f>+(G175/F175)*E175</f>
        <v>7.4999999999999997E-2</v>
      </c>
      <c r="N175" s="333">
        <f t="shared" si="136"/>
        <v>7.4999999999999997E-2</v>
      </c>
      <c r="O175" s="333"/>
      <c r="P175" s="290">
        <v>4</v>
      </c>
      <c r="Q175" s="482">
        <v>0.5</v>
      </c>
      <c r="R175" s="482">
        <v>1</v>
      </c>
      <c r="S175" s="482">
        <v>0.5</v>
      </c>
      <c r="T175" s="482">
        <v>1</v>
      </c>
      <c r="U175" s="482">
        <v>0</v>
      </c>
      <c r="V175" s="290">
        <f>+Q175+R175+S175+T175+U175</f>
        <v>3</v>
      </c>
      <c r="W175" s="290">
        <f>+V175+P175+AB175</f>
        <v>8.5</v>
      </c>
      <c r="X175" s="482">
        <v>0.5</v>
      </c>
      <c r="Y175" s="482">
        <v>1</v>
      </c>
      <c r="Z175" s="290"/>
      <c r="AA175" s="290"/>
      <c r="AB175" s="290">
        <f t="shared" si="143"/>
        <v>1.5</v>
      </c>
      <c r="AC175" s="323">
        <v>1</v>
      </c>
      <c r="AD175" s="278">
        <f>+V175/H175</f>
        <v>1</v>
      </c>
      <c r="AE175" s="278">
        <f t="shared" si="144"/>
        <v>0.5</v>
      </c>
      <c r="AF175" s="278">
        <f>+AC175*E175</f>
        <v>0.3</v>
      </c>
      <c r="AG175" s="278">
        <f>+AD175*E175</f>
        <v>0.3</v>
      </c>
      <c r="AH175" s="278">
        <f t="shared" si="145"/>
        <v>0.15</v>
      </c>
      <c r="AI175" s="278">
        <f>+P175/F175</f>
        <v>0.33333333333333331</v>
      </c>
      <c r="AJ175" s="278">
        <v>0.58333333333333337</v>
      </c>
      <c r="AK175" s="278">
        <f t="shared" si="146"/>
        <v>0.70833333333333337</v>
      </c>
      <c r="AL175" s="278">
        <f>+AI175*E175</f>
        <v>9.9999999999999992E-2</v>
      </c>
      <c r="AM175" s="278">
        <f>+AJ175*E175</f>
        <v>0.17500000000000002</v>
      </c>
      <c r="AN175" s="278">
        <f t="shared" si="147"/>
        <v>0.21249999999999999</v>
      </c>
      <c r="AO175" s="532" t="s">
        <v>1844</v>
      </c>
      <c r="AP175" s="267"/>
      <c r="AQ175" s="267"/>
      <c r="AR175" s="534" t="s">
        <v>2009</v>
      </c>
      <c r="AS175" s="558" t="s">
        <v>2107</v>
      </c>
      <c r="AT175" s="558" t="s">
        <v>2139</v>
      </c>
      <c r="AU175" s="752"/>
      <c r="AV175" s="791" t="s">
        <v>1887</v>
      </c>
      <c r="AW175" s="558" t="s">
        <v>2294</v>
      </c>
    </row>
    <row r="176" spans="1:49" ht="122.4" customHeight="1" thickBot="1" x14ac:dyDescent="0.55000000000000004">
      <c r="A176" s="261"/>
      <c r="B176" s="1351" t="s">
        <v>1672</v>
      </c>
      <c r="C176" s="1352"/>
      <c r="D176" s="445"/>
      <c r="E176" s="266">
        <v>0.1</v>
      </c>
      <c r="F176" s="270"/>
      <c r="G176" s="289"/>
      <c r="H176" s="704"/>
      <c r="I176" s="290"/>
      <c r="J176" s="286">
        <f>+AVERAGE(J177:J181)</f>
        <v>0.40547619047619043</v>
      </c>
      <c r="K176" s="286">
        <f>+AVERAGE(K177:K181)</f>
        <v>0.26428571428571429</v>
      </c>
      <c r="L176" s="286">
        <f>+AVERAGE(L177:L181)</f>
        <v>0.21910714285714283</v>
      </c>
      <c r="M176" s="268">
        <f>+M177+M178+M179+M180+M181</f>
        <v>0.29269047619047617</v>
      </c>
      <c r="N176" s="268">
        <f>+N177+N178+N179+N180+N181</f>
        <v>0.27214285714285719</v>
      </c>
      <c r="O176" s="268"/>
      <c r="P176" s="290"/>
      <c r="Q176" s="321"/>
      <c r="R176" s="321"/>
      <c r="S176" s="321"/>
      <c r="T176" s="321"/>
      <c r="U176" s="321"/>
      <c r="V176" s="321"/>
      <c r="W176" s="321"/>
      <c r="X176" s="321"/>
      <c r="Y176" s="321"/>
      <c r="Z176" s="321"/>
      <c r="AA176" s="321"/>
      <c r="AB176" s="321"/>
      <c r="AC176" s="479">
        <f>+AVERAGE(AC177:AC181)</f>
        <v>0.95348837209302328</v>
      </c>
      <c r="AD176" s="307">
        <f>+AVERAGE(AD177:AD181)</f>
        <v>0.99710447761194021</v>
      </c>
      <c r="AE176" s="307">
        <f>+AVERAGE(AE177:AE181)</f>
        <v>0.91782544046683867</v>
      </c>
      <c r="AF176" s="307">
        <f>+(AF177+AF178+AF179+AF180+AF181)*E176</f>
        <v>7.7209302325581403E-2</v>
      </c>
      <c r="AG176" s="307">
        <f>+(AG177+AG178+AG179+AG180+AG181)*E176</f>
        <v>9.9565671641791059E-2</v>
      </c>
      <c r="AH176" s="307">
        <f>+(AH177+AH178+AH179+AH180+AH181)*E176</f>
        <v>7.3697950099128426E-2</v>
      </c>
      <c r="AI176" s="268">
        <f>+AVERAGE(AI177:AI181)</f>
        <v>0.36753669154228857</v>
      </c>
      <c r="AJ176" s="268">
        <v>0.70765785358919697</v>
      </c>
      <c r="AK176" s="268">
        <f>+AVERAGE(AK177:AK181)</f>
        <v>0.9011535181236674</v>
      </c>
      <c r="AL176" s="268">
        <f>+(AL177+AL178+AL179+AL180+AL181)*E176</f>
        <v>2.7086664889836534E-2</v>
      </c>
      <c r="AM176" s="268">
        <f>+(AM177+AM178+AM179+AM180+AM181)</f>
        <v>0.68686416133617634</v>
      </c>
      <c r="AN176" s="268">
        <f>+(AN177+AN178+AN179+AN180+AN181)</f>
        <v>0.89215884861407257</v>
      </c>
      <c r="AO176" s="639"/>
      <c r="AP176" s="267"/>
      <c r="AQ176" s="267"/>
      <c r="AR176" s="267"/>
      <c r="AS176" s="267"/>
      <c r="AT176" s="755"/>
      <c r="AU176" s="752"/>
      <c r="AV176" s="755"/>
    </row>
    <row r="177" spans="1:49" ht="122.4" customHeight="1" thickBot="1" x14ac:dyDescent="0.55000000000000004">
      <c r="A177" s="261"/>
      <c r="B177" s="1345" t="s">
        <v>635</v>
      </c>
      <c r="C177" s="1354" t="s">
        <v>636</v>
      </c>
      <c r="D177" s="588" t="s">
        <v>620</v>
      </c>
      <c r="E177" s="269">
        <v>0.3</v>
      </c>
      <c r="F177" s="270">
        <v>26800</v>
      </c>
      <c r="G177" s="327">
        <v>6700</v>
      </c>
      <c r="H177" s="327">
        <v>6700</v>
      </c>
      <c r="I177" s="328">
        <v>6700</v>
      </c>
      <c r="J177" s="279">
        <f>+G177/F177</f>
        <v>0.25</v>
      </c>
      <c r="K177" s="279">
        <f>+H177/F177</f>
        <v>0.25</v>
      </c>
      <c r="L177" s="279">
        <f t="shared" si="129"/>
        <v>0.25</v>
      </c>
      <c r="M177" s="333">
        <f>+(G177/F177)*E177</f>
        <v>7.4999999999999997E-2</v>
      </c>
      <c r="N177" s="333">
        <f t="shared" si="136"/>
        <v>7.4999999999999997E-2</v>
      </c>
      <c r="O177" s="333"/>
      <c r="P177" s="329">
        <v>6762</v>
      </c>
      <c r="Q177" s="483">
        <v>1239</v>
      </c>
      <c r="R177" s="483">
        <f>4537+659</f>
        <v>5196</v>
      </c>
      <c r="S177" s="483">
        <v>0</v>
      </c>
      <c r="T177" s="483">
        <v>168</v>
      </c>
      <c r="U177" s="483">
        <v>0</v>
      </c>
      <c r="V177" s="329">
        <f>+Q177+R177+S177+T177+U177</f>
        <v>6603</v>
      </c>
      <c r="W177" s="329">
        <f>+V177+P177+AB177</f>
        <v>19374</v>
      </c>
      <c r="X177" s="483">
        <v>4398</v>
      </c>
      <c r="Y177" s="483">
        <v>1611</v>
      </c>
      <c r="Z177" s="329"/>
      <c r="AA177" s="329"/>
      <c r="AB177" s="329">
        <f t="shared" ref="AB177:AB181" si="148">+X177+Y177+Z177+AA177</f>
        <v>6009</v>
      </c>
      <c r="AC177" s="323">
        <v>1</v>
      </c>
      <c r="AD177" s="278">
        <f>+V177/H177</f>
        <v>0.98552238805970149</v>
      </c>
      <c r="AE177" s="278">
        <f t="shared" ref="AE177:AE181" si="149">+AB177/I177</f>
        <v>0.8968656716417911</v>
      </c>
      <c r="AF177" s="278">
        <f>+AC177*E177</f>
        <v>0.3</v>
      </c>
      <c r="AG177" s="278">
        <f>+AD177*E177</f>
        <v>0.29565671641791041</v>
      </c>
      <c r="AH177" s="278">
        <f t="shared" ref="AH177:AH181" si="150">+AE177*E177</f>
        <v>0.26905970149253733</v>
      </c>
      <c r="AI177" s="278">
        <f>+P177/F177</f>
        <v>0.25231343283582092</v>
      </c>
      <c r="AJ177" s="278">
        <v>0.49869402985074629</v>
      </c>
      <c r="AK177" s="278">
        <f t="shared" ref="AK177:AK181" si="151">+W177/F177</f>
        <v>0.72291044776119406</v>
      </c>
      <c r="AL177" s="278">
        <f>+AI177*E177</f>
        <v>7.5694029850746275E-2</v>
      </c>
      <c r="AM177" s="278">
        <f>+AJ177*E177</f>
        <v>0.14960820895522389</v>
      </c>
      <c r="AN177" s="278">
        <f t="shared" ref="AN177:AN181" si="152">+AK177*E177</f>
        <v>0.21687313432835822</v>
      </c>
      <c r="AO177" s="532" t="s">
        <v>1844</v>
      </c>
      <c r="AP177" s="558" t="s">
        <v>1895</v>
      </c>
      <c r="AQ177" s="558" t="s">
        <v>1986</v>
      </c>
      <c r="AR177" s="534" t="s">
        <v>2009</v>
      </c>
      <c r="AS177" s="534" t="s">
        <v>2107</v>
      </c>
      <c r="AT177" s="558" t="s">
        <v>2139</v>
      </c>
      <c r="AU177" s="752"/>
      <c r="AV177" s="558" t="s">
        <v>1887</v>
      </c>
      <c r="AW177" s="558" t="s">
        <v>2294</v>
      </c>
    </row>
    <row r="178" spans="1:49" ht="122.4" customHeight="1" thickBot="1" x14ac:dyDescent="0.55000000000000004">
      <c r="A178" s="261"/>
      <c r="B178" s="1345" t="s">
        <v>637</v>
      </c>
      <c r="C178" s="1354" t="s">
        <v>638</v>
      </c>
      <c r="D178" s="444" t="s">
        <v>620</v>
      </c>
      <c r="E178" s="269">
        <v>0.1</v>
      </c>
      <c r="F178" s="270">
        <f>(51*4)+ (6)</f>
        <v>210</v>
      </c>
      <c r="G178" s="289">
        <v>55</v>
      </c>
      <c r="H178" s="704">
        <v>57</v>
      </c>
      <c r="I178" s="290">
        <v>57</v>
      </c>
      <c r="J178" s="279">
        <f>+G178/F178</f>
        <v>0.26190476190476192</v>
      </c>
      <c r="K178" s="279">
        <f t="shared" ref="K178:K191" si="153">+H178/F178</f>
        <v>0.27142857142857141</v>
      </c>
      <c r="L178" s="279">
        <f t="shared" si="129"/>
        <v>0.27142857142857141</v>
      </c>
      <c r="M178" s="333">
        <f>+(G178/F178)*E178</f>
        <v>2.6190476190476195E-2</v>
      </c>
      <c r="N178" s="333">
        <f t="shared" si="136"/>
        <v>2.7142857142857142E-2</v>
      </c>
      <c r="O178" s="333"/>
      <c r="P178" s="290">
        <v>55</v>
      </c>
      <c r="Q178" s="482"/>
      <c r="R178" s="482">
        <v>55</v>
      </c>
      <c r="S178" s="482">
        <v>4</v>
      </c>
      <c r="T178" s="482">
        <v>0</v>
      </c>
      <c r="U178" s="482">
        <v>0</v>
      </c>
      <c r="V178" s="329">
        <f t="shared" ref="V178:V181" si="154">+Q178+R178+S178+T178+U178</f>
        <v>59</v>
      </c>
      <c r="W178" s="290">
        <f>+V178+P178+4+4+AB178</f>
        <v>177</v>
      </c>
      <c r="X178" s="482">
        <v>55</v>
      </c>
      <c r="Y178" s="482">
        <v>0</v>
      </c>
      <c r="Z178" s="290"/>
      <c r="AA178" s="290"/>
      <c r="AB178" s="290">
        <f t="shared" si="148"/>
        <v>55</v>
      </c>
      <c r="AC178" s="323">
        <f>+(P178/G178)</f>
        <v>1</v>
      </c>
      <c r="AD178" s="278">
        <v>1</v>
      </c>
      <c r="AE178" s="278">
        <f t="shared" si="149"/>
        <v>0.96491228070175439</v>
      </c>
      <c r="AF178" s="278">
        <f>+AC178*E178</f>
        <v>0.1</v>
      </c>
      <c r="AG178" s="278">
        <f>+AD178*E178</f>
        <v>0.1</v>
      </c>
      <c r="AH178" s="278">
        <f t="shared" si="150"/>
        <v>9.6491228070175447E-2</v>
      </c>
      <c r="AI178" s="278">
        <f>+P178/F178</f>
        <v>0.26190476190476192</v>
      </c>
      <c r="AJ178" s="278">
        <v>0.580952380952381</v>
      </c>
      <c r="AK178" s="278">
        <f t="shared" si="151"/>
        <v>0.84285714285714286</v>
      </c>
      <c r="AL178" s="278">
        <f>+AI178*E178</f>
        <v>2.6190476190476195E-2</v>
      </c>
      <c r="AM178" s="278">
        <f>+AJ178*E178</f>
        <v>5.8095238095238103E-2</v>
      </c>
      <c r="AN178" s="278">
        <f t="shared" si="152"/>
        <v>8.4285714285714297E-2</v>
      </c>
      <c r="AO178" s="532" t="s">
        <v>1844</v>
      </c>
      <c r="AP178" s="758" t="s">
        <v>1951</v>
      </c>
      <c r="AQ178" s="558" t="s">
        <v>1986</v>
      </c>
      <c r="AR178" s="756" t="s">
        <v>2014</v>
      </c>
      <c r="AS178" s="558" t="s">
        <v>2107</v>
      </c>
      <c r="AT178" s="529" t="s">
        <v>2175</v>
      </c>
      <c r="AU178" s="752"/>
      <c r="AV178" s="558" t="s">
        <v>1887</v>
      </c>
      <c r="AW178" s="756" t="s">
        <v>1859</v>
      </c>
    </row>
    <row r="179" spans="1:49" ht="188.4" customHeight="1" thickBot="1" x14ac:dyDescent="0.55000000000000004">
      <c r="A179" s="261"/>
      <c r="B179" s="1345" t="s">
        <v>639</v>
      </c>
      <c r="C179" s="1354" t="s">
        <v>640</v>
      </c>
      <c r="D179" s="588" t="s">
        <v>641</v>
      </c>
      <c r="E179" s="269">
        <v>0.2</v>
      </c>
      <c r="F179" s="270">
        <v>4</v>
      </c>
      <c r="G179" s="289">
        <v>0</v>
      </c>
      <c r="H179" s="704">
        <v>2</v>
      </c>
      <c r="I179" s="290">
        <v>0</v>
      </c>
      <c r="J179" s="279"/>
      <c r="K179" s="279">
        <f t="shared" si="153"/>
        <v>0.5</v>
      </c>
      <c r="L179" s="279"/>
      <c r="M179" s="333"/>
      <c r="N179" s="333">
        <f t="shared" si="136"/>
        <v>0.1</v>
      </c>
      <c r="O179" s="333"/>
      <c r="P179" s="290"/>
      <c r="Q179" s="482">
        <v>0</v>
      </c>
      <c r="R179" s="482">
        <v>0</v>
      </c>
      <c r="S179" s="482">
        <v>0</v>
      </c>
      <c r="T179" s="483">
        <v>4</v>
      </c>
      <c r="U179" s="483">
        <v>0</v>
      </c>
      <c r="V179" s="329">
        <f t="shared" si="154"/>
        <v>4</v>
      </c>
      <c r="W179" s="290">
        <f>+V179+P179+AB179</f>
        <v>4</v>
      </c>
      <c r="X179" s="482">
        <v>0</v>
      </c>
      <c r="Y179" s="482">
        <v>0</v>
      </c>
      <c r="Z179" s="290"/>
      <c r="AA179" s="290"/>
      <c r="AB179" s="290">
        <f t="shared" si="148"/>
        <v>0</v>
      </c>
      <c r="AC179" s="323"/>
      <c r="AD179" s="278">
        <v>1</v>
      </c>
      <c r="AE179" s="278"/>
      <c r="AF179" s="278"/>
      <c r="AG179" s="278">
        <f>+AD179*E179</f>
        <v>0.2</v>
      </c>
      <c r="AH179" s="278">
        <f t="shared" si="150"/>
        <v>0</v>
      </c>
      <c r="AI179" s="278"/>
      <c r="AJ179" s="278">
        <v>1</v>
      </c>
      <c r="AK179" s="278">
        <f t="shared" si="151"/>
        <v>1</v>
      </c>
      <c r="AL179" s="278"/>
      <c r="AM179" s="278">
        <f>+AJ179*E179</f>
        <v>0.2</v>
      </c>
      <c r="AN179" s="278">
        <f t="shared" si="152"/>
        <v>0.2</v>
      </c>
      <c r="AO179" s="532" t="s">
        <v>1844</v>
      </c>
      <c r="AP179" s="758" t="s">
        <v>1952</v>
      </c>
      <c r="AQ179" s="558" t="s">
        <v>1986</v>
      </c>
      <c r="AR179" s="534" t="s">
        <v>2009</v>
      </c>
      <c r="AS179" s="558" t="s">
        <v>2107</v>
      </c>
      <c r="AT179" s="529" t="s">
        <v>2175</v>
      </c>
      <c r="AU179" s="752"/>
      <c r="AV179" s="558" t="s">
        <v>1887</v>
      </c>
      <c r="AW179" s="756" t="s">
        <v>1859</v>
      </c>
    </row>
    <row r="180" spans="1:49" ht="122.4" customHeight="1" thickBot="1" x14ac:dyDescent="0.55000000000000004">
      <c r="A180" s="261"/>
      <c r="B180" s="1345" t="s">
        <v>642</v>
      </c>
      <c r="C180" s="1354" t="s">
        <v>643</v>
      </c>
      <c r="D180" s="444" t="s">
        <v>620</v>
      </c>
      <c r="E180" s="269">
        <v>0.25</v>
      </c>
      <c r="F180" s="270">
        <v>28000</v>
      </c>
      <c r="G180" s="289">
        <v>7000</v>
      </c>
      <c r="H180" s="704">
        <v>7000</v>
      </c>
      <c r="I180" s="290">
        <v>7000</v>
      </c>
      <c r="J180" s="279">
        <f>+G180/F180</f>
        <v>0.25</v>
      </c>
      <c r="K180" s="279">
        <f t="shared" si="153"/>
        <v>0.25</v>
      </c>
      <c r="L180" s="279">
        <f t="shared" si="129"/>
        <v>0.25</v>
      </c>
      <c r="M180" s="333">
        <f>+(G180/F180)*E180</f>
        <v>6.25E-2</v>
      </c>
      <c r="N180" s="333">
        <f t="shared" si="136"/>
        <v>6.25E-2</v>
      </c>
      <c r="O180" s="333"/>
      <c r="P180" s="290">
        <v>7166</v>
      </c>
      <c r="Q180" s="482">
        <v>429</v>
      </c>
      <c r="R180" s="482">
        <f>8552-Q180+1184</f>
        <v>9307</v>
      </c>
      <c r="S180" s="482">
        <v>0</v>
      </c>
      <c r="T180" s="482">
        <v>0</v>
      </c>
      <c r="U180" s="482">
        <v>0</v>
      </c>
      <c r="V180" s="329">
        <f t="shared" si="154"/>
        <v>9736</v>
      </c>
      <c r="W180" s="290">
        <f>+V180+P180+AB180</f>
        <v>29262</v>
      </c>
      <c r="X180" s="482">
        <v>0</v>
      </c>
      <c r="Y180" s="482">
        <v>12360</v>
      </c>
      <c r="Z180" s="290"/>
      <c r="AA180" s="290"/>
      <c r="AB180" s="290">
        <f t="shared" si="148"/>
        <v>12360</v>
      </c>
      <c r="AC180" s="323">
        <v>1</v>
      </c>
      <c r="AD180" s="278">
        <v>1</v>
      </c>
      <c r="AE180" s="278">
        <v>1</v>
      </c>
      <c r="AF180" s="278">
        <f>+AC180*E180</f>
        <v>0.25</v>
      </c>
      <c r="AG180" s="278">
        <f>+AD180*E180</f>
        <v>0.25</v>
      </c>
      <c r="AH180" s="278">
        <f t="shared" si="150"/>
        <v>0.25</v>
      </c>
      <c r="AI180" s="278">
        <f>+P180/F180</f>
        <v>0.25592857142857145</v>
      </c>
      <c r="AJ180" s="278">
        <v>0.60364285714285715</v>
      </c>
      <c r="AK180" s="278">
        <v>1</v>
      </c>
      <c r="AL180" s="278">
        <f>+AI180*E180</f>
        <v>6.3982142857142862E-2</v>
      </c>
      <c r="AM180" s="278">
        <f>+AJ180*E180</f>
        <v>0.15091071428571429</v>
      </c>
      <c r="AN180" s="278">
        <f t="shared" si="152"/>
        <v>0.25</v>
      </c>
      <c r="AO180" s="532" t="s">
        <v>1844</v>
      </c>
      <c r="AP180" s="558" t="s">
        <v>1895</v>
      </c>
      <c r="AQ180" s="558" t="s">
        <v>1986</v>
      </c>
      <c r="AR180" s="534" t="s">
        <v>2009</v>
      </c>
      <c r="AS180" s="558" t="s">
        <v>2107</v>
      </c>
      <c r="AT180" s="558" t="s">
        <v>2139</v>
      </c>
      <c r="AU180" s="752"/>
      <c r="AV180" s="558" t="s">
        <v>1887</v>
      </c>
      <c r="AW180" s="558" t="s">
        <v>2294</v>
      </c>
    </row>
    <row r="181" spans="1:49" ht="162.6" customHeight="1" thickBot="1" x14ac:dyDescent="0.55000000000000004">
      <c r="A181" s="261"/>
      <c r="B181" s="1345" t="s">
        <v>644</v>
      </c>
      <c r="C181" s="1346" t="s">
        <v>645</v>
      </c>
      <c r="D181" s="590" t="s">
        <v>641</v>
      </c>
      <c r="E181" s="269">
        <v>0.15</v>
      </c>
      <c r="F181" s="270">
        <v>200</v>
      </c>
      <c r="G181" s="289">
        <v>172</v>
      </c>
      <c r="H181" s="704">
        <v>10</v>
      </c>
      <c r="I181" s="290">
        <v>21</v>
      </c>
      <c r="J181" s="279">
        <f>+G181/F181</f>
        <v>0.86</v>
      </c>
      <c r="K181" s="279">
        <f t="shared" si="153"/>
        <v>0.05</v>
      </c>
      <c r="L181" s="279">
        <f t="shared" si="129"/>
        <v>0.105</v>
      </c>
      <c r="M181" s="333">
        <f>+(G181/F181)*E181</f>
        <v>0.129</v>
      </c>
      <c r="N181" s="333">
        <f t="shared" si="136"/>
        <v>7.4999999999999997E-3</v>
      </c>
      <c r="O181" s="333"/>
      <c r="P181" s="290">
        <v>140</v>
      </c>
      <c r="Q181" s="482">
        <v>0</v>
      </c>
      <c r="R181" s="482">
        <v>0</v>
      </c>
      <c r="S181" s="482">
        <v>31</v>
      </c>
      <c r="T181" s="482">
        <v>0</v>
      </c>
      <c r="U181" s="482"/>
      <c r="V181" s="329">
        <f t="shared" si="154"/>
        <v>31</v>
      </c>
      <c r="W181" s="290">
        <f>+V181+P181+AB181</f>
        <v>188</v>
      </c>
      <c r="X181" s="482">
        <v>0</v>
      </c>
      <c r="Y181" s="482">
        <v>17</v>
      </c>
      <c r="Z181" s="290"/>
      <c r="AA181" s="290"/>
      <c r="AB181" s="290">
        <f t="shared" si="148"/>
        <v>17</v>
      </c>
      <c r="AC181" s="323">
        <f>+(P181/G181)</f>
        <v>0.81395348837209303</v>
      </c>
      <c r="AD181" s="278">
        <v>1</v>
      </c>
      <c r="AE181" s="278">
        <f t="shared" si="149"/>
        <v>0.80952380952380953</v>
      </c>
      <c r="AF181" s="278">
        <f>+AC181*E181</f>
        <v>0.12209302325581395</v>
      </c>
      <c r="AG181" s="278">
        <f>+AD181*E181</f>
        <v>0.15</v>
      </c>
      <c r="AH181" s="278">
        <f t="shared" si="150"/>
        <v>0.12142857142857143</v>
      </c>
      <c r="AI181" s="278">
        <f>+P181/F181</f>
        <v>0.7</v>
      </c>
      <c r="AJ181" s="278">
        <v>0.85499999999999998</v>
      </c>
      <c r="AK181" s="278">
        <f t="shared" si="151"/>
        <v>0.94</v>
      </c>
      <c r="AL181" s="278">
        <f>+AI181*E181</f>
        <v>0.105</v>
      </c>
      <c r="AM181" s="278">
        <f>+AJ181*E181</f>
        <v>0.12825</v>
      </c>
      <c r="AN181" s="278">
        <f t="shared" si="152"/>
        <v>0.14099999999999999</v>
      </c>
      <c r="AO181" s="532" t="s">
        <v>1844</v>
      </c>
      <c r="AP181" s="758" t="s">
        <v>1953</v>
      </c>
      <c r="AQ181" s="558" t="s">
        <v>1986</v>
      </c>
      <c r="AR181" s="756" t="s">
        <v>2015</v>
      </c>
      <c r="AS181" s="756" t="s">
        <v>2129</v>
      </c>
      <c r="AT181" s="558" t="s">
        <v>2139</v>
      </c>
      <c r="AU181" s="752"/>
      <c r="AV181" s="558" t="s">
        <v>1887</v>
      </c>
      <c r="AW181" s="756" t="s">
        <v>1859</v>
      </c>
    </row>
    <row r="182" spans="1:49" ht="122.4" customHeight="1" thickBot="1" x14ac:dyDescent="0.55000000000000004">
      <c r="A182" s="261"/>
      <c r="B182" s="1339" t="s">
        <v>1673</v>
      </c>
      <c r="C182" s="1341"/>
      <c r="D182" s="576"/>
      <c r="E182" s="266">
        <v>0.1</v>
      </c>
      <c r="F182" s="270"/>
      <c r="G182" s="289"/>
      <c r="H182" s="704"/>
      <c r="I182" s="290"/>
      <c r="J182" s="286">
        <f>+AVERAGE(J183)</f>
        <v>0.25409836065573771</v>
      </c>
      <c r="K182" s="286">
        <f>+AVERAGE(K183)</f>
        <v>0.25</v>
      </c>
      <c r="L182" s="286">
        <f>+AVERAGE(L183)</f>
        <v>0.25</v>
      </c>
      <c r="M182" s="268">
        <f>+M183</f>
        <v>0.25409836065573771</v>
      </c>
      <c r="N182" s="268">
        <f>+N183</f>
        <v>0.25</v>
      </c>
      <c r="O182" s="268"/>
      <c r="P182" s="290"/>
      <c r="Q182" s="321"/>
      <c r="R182" s="321"/>
      <c r="S182" s="321"/>
      <c r="T182" s="321"/>
      <c r="U182" s="321"/>
      <c r="V182" s="321"/>
      <c r="W182" s="321"/>
      <c r="X182" s="321"/>
      <c r="Y182" s="321"/>
      <c r="Z182" s="321"/>
      <c r="AA182" s="321"/>
      <c r="AB182" s="321"/>
      <c r="AC182" s="479">
        <f>+AVERAGE(AC183)</f>
        <v>1</v>
      </c>
      <c r="AD182" s="307">
        <f>+AVERAGE(AD183)</f>
        <v>0.92419672131147546</v>
      </c>
      <c r="AE182" s="307">
        <f>+AVERAGE(AE183)</f>
        <v>0.73691803278688528</v>
      </c>
      <c r="AF182" s="307">
        <f>+(AF183)*E182</f>
        <v>0.1</v>
      </c>
      <c r="AG182" s="307">
        <f>+(AG183)*E182</f>
        <v>9.2419672131147546E-2</v>
      </c>
      <c r="AH182" s="307">
        <f>+(AH183)*E182</f>
        <v>7.3691803278688531E-2</v>
      </c>
      <c r="AI182" s="268">
        <f>+AVERAGE(AI183)</f>
        <v>0.25537704918032789</v>
      </c>
      <c r="AJ182" s="268">
        <v>0.48642622950819669</v>
      </c>
      <c r="AK182" s="268">
        <f>+AVERAGE(AK183)</f>
        <v>0.67065573770491804</v>
      </c>
      <c r="AL182" s="268">
        <f>+(AL183)*E182</f>
        <v>2.553770491803279E-2</v>
      </c>
      <c r="AM182" s="268">
        <f>+(AM183)</f>
        <v>0.48642622950819669</v>
      </c>
      <c r="AN182" s="268">
        <f>+(AN183)</f>
        <v>0.67065573770491804</v>
      </c>
      <c r="AO182" s="639"/>
      <c r="AP182" s="267"/>
      <c r="AQ182" s="267"/>
      <c r="AR182" s="267"/>
      <c r="AS182" s="267"/>
      <c r="AT182" s="755"/>
      <c r="AU182" s="752"/>
      <c r="AV182" s="755"/>
    </row>
    <row r="183" spans="1:49" ht="122.4" customHeight="1" thickBot="1" x14ac:dyDescent="0.55000000000000004">
      <c r="A183" s="261"/>
      <c r="B183" s="1342" t="s">
        <v>646</v>
      </c>
      <c r="C183" s="1302" t="s">
        <v>647</v>
      </c>
      <c r="D183" s="583" t="s">
        <v>620</v>
      </c>
      <c r="E183" s="269">
        <v>1</v>
      </c>
      <c r="F183" s="270">
        <v>61000</v>
      </c>
      <c r="G183" s="289">
        <v>15500</v>
      </c>
      <c r="H183" s="704">
        <v>15250</v>
      </c>
      <c r="I183" s="290">
        <v>15250</v>
      </c>
      <c r="J183" s="279">
        <f>+G183/F183</f>
        <v>0.25409836065573771</v>
      </c>
      <c r="K183" s="279">
        <f t="shared" si="153"/>
        <v>0.25</v>
      </c>
      <c r="L183" s="279">
        <f t="shared" si="129"/>
        <v>0.25</v>
      </c>
      <c r="M183" s="333">
        <f>+(G183/F183)*E183</f>
        <v>0.25409836065573771</v>
      </c>
      <c r="N183" s="333">
        <f t="shared" si="136"/>
        <v>0.25</v>
      </c>
      <c r="O183" s="333"/>
      <c r="P183" s="290">
        <v>15578</v>
      </c>
      <c r="Q183" s="482">
        <v>264</v>
      </c>
      <c r="R183" s="482">
        <f>1865-Q183+3400</f>
        <v>5001</v>
      </c>
      <c r="S183" s="482">
        <v>3468</v>
      </c>
      <c r="T183" s="482">
        <v>3585</v>
      </c>
      <c r="U183" s="482">
        <v>1776</v>
      </c>
      <c r="V183" s="290">
        <f>+Q183+R183+S183+T183+U183</f>
        <v>14094</v>
      </c>
      <c r="W183" s="290">
        <f>+V183+P183+AB183</f>
        <v>40910</v>
      </c>
      <c r="X183" s="482">
        <v>5066</v>
      </c>
      <c r="Y183" s="482">
        <v>6172</v>
      </c>
      <c r="Z183" s="290"/>
      <c r="AA183" s="290"/>
      <c r="AB183" s="290">
        <f t="shared" ref="AB183" si="155">+X183+Y183+Z183+AA183</f>
        <v>11238</v>
      </c>
      <c r="AC183" s="343">
        <v>1</v>
      </c>
      <c r="AD183" s="278">
        <f>+V183/H183</f>
        <v>0.92419672131147546</v>
      </c>
      <c r="AE183" s="278">
        <f>+AB183/I183</f>
        <v>0.73691803278688528</v>
      </c>
      <c r="AF183" s="278">
        <f>+AC183*E183</f>
        <v>1</v>
      </c>
      <c r="AG183" s="278">
        <f>+AD183*E183</f>
        <v>0.92419672131147546</v>
      </c>
      <c r="AH183" s="278">
        <f t="shared" ref="AH183" si="156">+AE183*E183</f>
        <v>0.73691803278688528</v>
      </c>
      <c r="AI183" s="278">
        <f>+P183/F183</f>
        <v>0.25537704918032789</v>
      </c>
      <c r="AJ183" s="278">
        <v>0.48642622950819669</v>
      </c>
      <c r="AK183" s="278">
        <f t="shared" ref="AK183" si="157">+W183/F183</f>
        <v>0.67065573770491804</v>
      </c>
      <c r="AL183" s="278">
        <f>+AI183*E183</f>
        <v>0.25537704918032789</v>
      </c>
      <c r="AM183" s="278">
        <f>+AJ183*E183</f>
        <v>0.48642622950819669</v>
      </c>
      <c r="AN183" s="278">
        <f t="shared" ref="AN183" si="158">+AK183*E183</f>
        <v>0.67065573770491804</v>
      </c>
      <c r="AO183" s="532" t="s">
        <v>1844</v>
      </c>
      <c r="AP183" s="558" t="s">
        <v>1895</v>
      </c>
      <c r="AQ183" s="267"/>
      <c r="AR183" s="534" t="s">
        <v>2009</v>
      </c>
      <c r="AS183" s="558" t="s">
        <v>2107</v>
      </c>
      <c r="AT183" s="558" t="s">
        <v>2139</v>
      </c>
      <c r="AU183" s="752"/>
      <c r="AV183" s="558" t="s">
        <v>1887</v>
      </c>
      <c r="AW183" s="558" t="s">
        <v>2294</v>
      </c>
    </row>
    <row r="184" spans="1:49" ht="122.4" customHeight="1" thickBot="1" x14ac:dyDescent="0.55000000000000004">
      <c r="A184" s="261"/>
      <c r="B184" s="1339" t="s">
        <v>1674</v>
      </c>
      <c r="C184" s="1341"/>
      <c r="D184" s="577"/>
      <c r="E184" s="266">
        <v>0.1</v>
      </c>
      <c r="F184" s="270"/>
      <c r="G184" s="289"/>
      <c r="H184" s="704"/>
      <c r="I184" s="290"/>
      <c r="J184" s="286">
        <f>+AVERAGE(J185:J186)</f>
        <v>0.25</v>
      </c>
      <c r="K184" s="286">
        <f>+AVERAGE(K185:K186)</f>
        <v>0.25948888888888888</v>
      </c>
      <c r="L184" s="286">
        <f>+AVERAGE(L185:L186)</f>
        <v>0.30027777777777775</v>
      </c>
      <c r="M184" s="268">
        <f>+M185+M186</f>
        <v>0.25</v>
      </c>
      <c r="N184" s="268">
        <f>+N185+N186</f>
        <v>0.25981777777777776</v>
      </c>
      <c r="O184" s="268"/>
      <c r="P184" s="290"/>
      <c r="Q184" s="321"/>
      <c r="R184" s="321"/>
      <c r="S184" s="321"/>
      <c r="T184" s="321"/>
      <c r="U184" s="321"/>
      <c r="V184" s="321"/>
      <c r="W184" s="321"/>
      <c r="X184" s="321"/>
      <c r="Y184" s="321"/>
      <c r="Z184" s="321"/>
      <c r="AA184" s="321"/>
      <c r="AB184" s="321"/>
      <c r="AC184" s="948">
        <f>+AVERAGE(AC185:AC186)</f>
        <v>1</v>
      </c>
      <c r="AD184" s="479">
        <f>+AVERAGE(AD185:AD186)</f>
        <v>1</v>
      </c>
      <c r="AE184" s="307">
        <f>+AVERAGE(AE185:AE186)</f>
        <v>0.66499532710280373</v>
      </c>
      <c r="AF184" s="307">
        <f>+(AF185+AF186)*E184</f>
        <v>0.1</v>
      </c>
      <c r="AG184" s="307">
        <f>+(AG185+AG186)*E184</f>
        <v>0.1</v>
      </c>
      <c r="AH184" s="307">
        <f>+(AH185+AH186)*E184</f>
        <v>6.5699485981308411E-2</v>
      </c>
      <c r="AI184" s="268">
        <f>+AVERAGE(AI185:AI186)</f>
        <v>0.30041388888888887</v>
      </c>
      <c r="AJ184" s="268">
        <v>0.69670694444444448</v>
      </c>
      <c r="AK184" s="268">
        <f>+AVERAGE(AK185:AK186)</f>
        <v>0.89663472222222218</v>
      </c>
      <c r="AL184" s="268">
        <f>+(AL185+AL186)*E184</f>
        <v>3.0235694444444447E-2</v>
      </c>
      <c r="AM184" s="268">
        <f>+(AM185+AM186)</f>
        <v>0.69215680555555559</v>
      </c>
      <c r="AN184" s="268">
        <f>+(AN185+AN186)</f>
        <v>0.88947902777777776</v>
      </c>
      <c r="AO184" s="639"/>
      <c r="AP184" s="267"/>
      <c r="AQ184" s="267"/>
      <c r="AR184" s="267"/>
      <c r="AS184" s="267"/>
      <c r="AT184" s="755"/>
      <c r="AU184" s="752"/>
      <c r="AV184" s="755"/>
    </row>
    <row r="185" spans="1:49" ht="122.4" customHeight="1" thickBot="1" x14ac:dyDescent="0.45">
      <c r="A185" s="261"/>
      <c r="B185" s="1342" t="s">
        <v>648</v>
      </c>
      <c r="C185" s="1302" t="s">
        <v>649</v>
      </c>
      <c r="D185" s="583" t="s">
        <v>620</v>
      </c>
      <c r="E185" s="269">
        <v>0.55000000000000004</v>
      </c>
      <c r="F185" s="270">
        <v>180000</v>
      </c>
      <c r="G185" s="289">
        <v>45000</v>
      </c>
      <c r="H185" s="704">
        <v>47300</v>
      </c>
      <c r="I185" s="290">
        <v>53500</v>
      </c>
      <c r="J185" s="279">
        <f>+G185/F185</f>
        <v>0.25</v>
      </c>
      <c r="K185" s="279">
        <f t="shared" si="153"/>
        <v>0.26277777777777778</v>
      </c>
      <c r="L185" s="279">
        <f t="shared" si="129"/>
        <v>0.29722222222222222</v>
      </c>
      <c r="M185" s="333">
        <f>+(G185/F185)*E185</f>
        <v>0.13750000000000001</v>
      </c>
      <c r="N185" s="333">
        <f t="shared" si="136"/>
        <v>0.14452777777777778</v>
      </c>
      <c r="O185" s="333"/>
      <c r="P185" s="328">
        <v>57572</v>
      </c>
      <c r="Q185" s="484">
        <v>4292</v>
      </c>
      <c r="R185" s="484">
        <f>31848-Q185+2645</f>
        <v>30201</v>
      </c>
      <c r="S185" s="484">
        <v>11688</v>
      </c>
      <c r="T185" s="484">
        <v>4114</v>
      </c>
      <c r="U185" s="484">
        <v>9350</v>
      </c>
      <c r="V185" s="328">
        <f>+Q185+R185+S185+T185+U185</f>
        <v>59645</v>
      </c>
      <c r="W185" s="329">
        <f>+V185+P185+AB185</f>
        <v>148514</v>
      </c>
      <c r="X185" s="484">
        <v>8695</v>
      </c>
      <c r="Y185" s="484">
        <v>22602</v>
      </c>
      <c r="Z185" s="328"/>
      <c r="AA185" s="328"/>
      <c r="AB185" s="328">
        <f t="shared" ref="AB185:AB186" si="159">+X185+Y185+Z185+AA185</f>
        <v>31297</v>
      </c>
      <c r="AC185" s="480">
        <v>1</v>
      </c>
      <c r="AD185" s="278">
        <v>1</v>
      </c>
      <c r="AE185" s="278">
        <f>+AB185/I185</f>
        <v>0.58499065420560747</v>
      </c>
      <c r="AF185" s="278">
        <f>+AC185*E185</f>
        <v>0.55000000000000004</v>
      </c>
      <c r="AG185" s="278">
        <f>+AD185*E185</f>
        <v>0.55000000000000004</v>
      </c>
      <c r="AH185" s="278">
        <f t="shared" ref="AH185:AH186" si="160">+AE185*E185</f>
        <v>0.32174485981308415</v>
      </c>
      <c r="AI185" s="278">
        <f>+P185/F185</f>
        <v>0.31984444444444443</v>
      </c>
      <c r="AJ185" s="278">
        <v>0.65120555555555559</v>
      </c>
      <c r="AK185" s="278">
        <f t="shared" ref="AK185:AK186" si="161">+W185/F185</f>
        <v>0.8250777777777778</v>
      </c>
      <c r="AL185" s="278">
        <f>+AI185*E185</f>
        <v>0.17591444444444446</v>
      </c>
      <c r="AM185" s="278">
        <f>+AJ185*E185</f>
        <v>0.35816305555555561</v>
      </c>
      <c r="AN185" s="278">
        <f t="shared" ref="AN185:AN186" si="162">+AK185*E185</f>
        <v>0.45379277777777782</v>
      </c>
      <c r="AO185" s="532" t="s">
        <v>1844</v>
      </c>
      <c r="AP185" s="558" t="s">
        <v>1895</v>
      </c>
      <c r="AQ185" s="267"/>
      <c r="AR185" s="534" t="s">
        <v>2009</v>
      </c>
      <c r="AS185" s="558" t="s">
        <v>2107</v>
      </c>
      <c r="AT185" s="558" t="s">
        <v>2139</v>
      </c>
      <c r="AU185" s="558" t="s">
        <v>2196</v>
      </c>
      <c r="AV185" s="558" t="s">
        <v>1887</v>
      </c>
      <c r="AW185" s="558" t="s">
        <v>2294</v>
      </c>
    </row>
    <row r="186" spans="1:49" ht="122.4" customHeight="1" thickBot="1" x14ac:dyDescent="0.45">
      <c r="A186" s="261"/>
      <c r="B186" s="1342" t="s">
        <v>650</v>
      </c>
      <c r="C186" s="1302" t="s">
        <v>651</v>
      </c>
      <c r="D186" s="583" t="s">
        <v>620</v>
      </c>
      <c r="E186" s="269">
        <v>0.45</v>
      </c>
      <c r="F186" s="270">
        <v>120000</v>
      </c>
      <c r="G186" s="289">
        <v>30000</v>
      </c>
      <c r="H186" s="704">
        <v>30744</v>
      </c>
      <c r="I186" s="290">
        <v>36400</v>
      </c>
      <c r="J186" s="279">
        <f>+G186/F186</f>
        <v>0.25</v>
      </c>
      <c r="K186" s="279">
        <f t="shared" si="153"/>
        <v>0.25619999999999998</v>
      </c>
      <c r="L186" s="279">
        <f t="shared" si="129"/>
        <v>0.30333333333333334</v>
      </c>
      <c r="M186" s="333">
        <f>+(G186/F186)*E186</f>
        <v>0.1125</v>
      </c>
      <c r="N186" s="333">
        <f t="shared" si="136"/>
        <v>0.11528999999999999</v>
      </c>
      <c r="O186" s="333"/>
      <c r="P186" s="329">
        <v>33718</v>
      </c>
      <c r="Q186" s="483">
        <v>10000</v>
      </c>
      <c r="R186" s="483">
        <f>20067-Q186+5862</f>
        <v>15929</v>
      </c>
      <c r="S186" s="483">
        <v>12750</v>
      </c>
      <c r="T186" s="483">
        <v>12376</v>
      </c>
      <c r="U186" s="484">
        <v>4292</v>
      </c>
      <c r="V186" s="328">
        <f>+Q186+R186+S186+T186+U186</f>
        <v>55347</v>
      </c>
      <c r="W186" s="329">
        <f>+V186+P186+AB186</f>
        <v>116183</v>
      </c>
      <c r="X186" s="483">
        <v>13950</v>
      </c>
      <c r="Y186" s="483">
        <v>13168</v>
      </c>
      <c r="Z186" s="329"/>
      <c r="AA186" s="329"/>
      <c r="AB186" s="329">
        <f t="shared" si="159"/>
        <v>27118</v>
      </c>
      <c r="AC186" s="323">
        <v>1</v>
      </c>
      <c r="AD186" s="278">
        <v>1</v>
      </c>
      <c r="AE186" s="278">
        <f t="shared" ref="AE186" si="163">+AB186/I186</f>
        <v>0.745</v>
      </c>
      <c r="AF186" s="278">
        <f>+AC186*E186</f>
        <v>0.45</v>
      </c>
      <c r="AG186" s="278">
        <f>+AD186*E186</f>
        <v>0.45</v>
      </c>
      <c r="AH186" s="278">
        <f t="shared" si="160"/>
        <v>0.33524999999999999</v>
      </c>
      <c r="AI186" s="278">
        <f>+P186/F186</f>
        <v>0.28098333333333331</v>
      </c>
      <c r="AJ186" s="278">
        <v>0.74220833333333336</v>
      </c>
      <c r="AK186" s="278">
        <f t="shared" si="161"/>
        <v>0.96819166666666667</v>
      </c>
      <c r="AL186" s="278">
        <f>+AI186*E186</f>
        <v>0.12644249999999999</v>
      </c>
      <c r="AM186" s="278">
        <f>+AJ186*E186</f>
        <v>0.33399375000000003</v>
      </c>
      <c r="AN186" s="278">
        <f t="shared" si="162"/>
        <v>0.43568625</v>
      </c>
      <c r="AO186" s="532" t="s">
        <v>1844</v>
      </c>
      <c r="AP186" s="558" t="s">
        <v>1895</v>
      </c>
      <c r="AQ186" s="267"/>
      <c r="AR186" s="534" t="s">
        <v>2009</v>
      </c>
      <c r="AS186" s="558" t="s">
        <v>2107</v>
      </c>
      <c r="AT186" s="558" t="s">
        <v>2139</v>
      </c>
      <c r="AU186" s="558" t="s">
        <v>2196</v>
      </c>
      <c r="AV186" s="558" t="s">
        <v>1887</v>
      </c>
      <c r="AW186" s="558" t="s">
        <v>2294</v>
      </c>
    </row>
    <row r="187" spans="1:49" ht="122.4" customHeight="1" thickBot="1" x14ac:dyDescent="0.55000000000000004">
      <c r="A187" s="261"/>
      <c r="B187" s="1339" t="s">
        <v>1675</v>
      </c>
      <c r="C187" s="1341"/>
      <c r="D187" s="577"/>
      <c r="E187" s="266">
        <v>0.05</v>
      </c>
      <c r="F187" s="270"/>
      <c r="G187" s="289"/>
      <c r="H187" s="704"/>
      <c r="I187" s="290"/>
      <c r="J187" s="286">
        <f>+AVERAGE(J188:J191)</f>
        <v>0.16762820512820512</v>
      </c>
      <c r="K187" s="286">
        <f>+AVERAGE(K188:K191)</f>
        <v>0.26798878205128207</v>
      </c>
      <c r="L187" s="286">
        <f>+AVERAGE(L188:L191)</f>
        <v>0.27911324786324787</v>
      </c>
      <c r="M187" s="268">
        <f>+M188+M189+M190+M191</f>
        <v>0.1792948717948718</v>
      </c>
      <c r="N187" s="268">
        <f>+N188+N189+N190+N191</f>
        <v>0.26496794871794871</v>
      </c>
      <c r="O187" s="268"/>
      <c r="P187" s="290"/>
      <c r="Q187" s="321"/>
      <c r="R187" s="321"/>
      <c r="S187" s="321"/>
      <c r="T187" s="321"/>
      <c r="U187" s="321"/>
      <c r="V187" s="321"/>
      <c r="W187" s="321"/>
      <c r="X187" s="321"/>
      <c r="Y187" s="321"/>
      <c r="Z187" s="321"/>
      <c r="AA187" s="321"/>
      <c r="AB187" s="321"/>
      <c r="AC187" s="479">
        <f>+AVERAGE(AC188:AC191)</f>
        <v>1</v>
      </c>
      <c r="AD187" s="307">
        <f>+AVERAGE(AD188:AD191)</f>
        <v>0.98</v>
      </c>
      <c r="AE187" s="307">
        <f>+AVERAGE(AE188:AE191)</f>
        <v>0.52483333333333326</v>
      </c>
      <c r="AF187" s="307">
        <f>+(AF188+AF189+AF190+AF191)*E187</f>
        <v>0.05</v>
      </c>
      <c r="AG187" s="307">
        <f>+(AG188+AG189+AG190+AG191)*E187</f>
        <v>4.9200000000000008E-2</v>
      </c>
      <c r="AH187" s="307">
        <f>+(AH188+AH189+AH190+AH191)*E187</f>
        <v>3.0016666666666664E-2</v>
      </c>
      <c r="AI187" s="268">
        <f>+AVERAGE(AI188:AI191)</f>
        <v>0.38750608974358969</v>
      </c>
      <c r="AJ187" s="268">
        <v>0.81930320512820509</v>
      </c>
      <c r="AK187" s="268">
        <f>+AVERAGE(AK188:AK191)</f>
        <v>0.8554166666666666</v>
      </c>
      <c r="AL187" s="268">
        <f>+(AL188+AL189+AL190+AL191)*E187</f>
        <v>1.9255512820512823E-2</v>
      </c>
      <c r="AM187" s="268">
        <f>+(AM188+AM189+AM190+AM191)</f>
        <v>0.85509487179487176</v>
      </c>
      <c r="AN187" s="268">
        <f>+(AN188+AN189+AN190+AN191)</f>
        <v>0.8843333333333333</v>
      </c>
      <c r="AO187" s="639"/>
      <c r="AP187" s="267"/>
      <c r="AQ187" s="267"/>
      <c r="AR187" s="267"/>
      <c r="AS187" s="267"/>
      <c r="AT187" s="755"/>
      <c r="AU187" s="752"/>
      <c r="AV187" s="755"/>
    </row>
    <row r="188" spans="1:49" ht="122.4" customHeight="1" thickBot="1" x14ac:dyDescent="0.45">
      <c r="A188" s="261"/>
      <c r="B188" s="1342" t="s">
        <v>652</v>
      </c>
      <c r="C188" s="1302" t="s">
        <v>653</v>
      </c>
      <c r="D188" s="583" t="s">
        <v>620</v>
      </c>
      <c r="E188" s="269">
        <v>0.2</v>
      </c>
      <c r="F188" s="270">
        <v>200</v>
      </c>
      <c r="G188" s="289">
        <v>20</v>
      </c>
      <c r="H188" s="704">
        <v>60</v>
      </c>
      <c r="I188" s="290">
        <v>60</v>
      </c>
      <c r="J188" s="279">
        <f>+G188/F188</f>
        <v>0.1</v>
      </c>
      <c r="K188" s="279">
        <f t="shared" si="153"/>
        <v>0.3</v>
      </c>
      <c r="L188" s="279">
        <f t="shared" si="129"/>
        <v>0.3</v>
      </c>
      <c r="M188" s="333">
        <f>+(G188/F188)*E188</f>
        <v>2.0000000000000004E-2</v>
      </c>
      <c r="N188" s="333">
        <f t="shared" si="136"/>
        <v>0.06</v>
      </c>
      <c r="O188" s="333"/>
      <c r="P188" s="290">
        <v>70</v>
      </c>
      <c r="Q188" s="482">
        <v>5</v>
      </c>
      <c r="R188" s="482">
        <v>10</v>
      </c>
      <c r="S188" s="482">
        <v>8</v>
      </c>
      <c r="T188" s="482">
        <v>41</v>
      </c>
      <c r="U188" s="482">
        <v>2</v>
      </c>
      <c r="V188" s="290">
        <f>+Q188+R188+S188+T188+U188</f>
        <v>66</v>
      </c>
      <c r="W188" s="325">
        <f t="shared" ref="W188:W190" si="164">+V188+P188+AB188</f>
        <v>151</v>
      </c>
      <c r="X188" s="482">
        <v>5</v>
      </c>
      <c r="Y188" s="482">
        <v>10</v>
      </c>
      <c r="Z188" s="290"/>
      <c r="AA188" s="290"/>
      <c r="AB188" s="290">
        <f t="shared" ref="AB188:AB191" si="165">+X188+Y188+Z188+AA188</f>
        <v>15</v>
      </c>
      <c r="AC188" s="323">
        <v>1</v>
      </c>
      <c r="AD188" s="278">
        <v>1</v>
      </c>
      <c r="AE188" s="278">
        <f t="shared" ref="AE188:AE190" si="166">+AB188/I188</f>
        <v>0.25</v>
      </c>
      <c r="AF188" s="278">
        <f>+AC188*E188</f>
        <v>0.2</v>
      </c>
      <c r="AG188" s="278">
        <f>+AD188*E188</f>
        <v>0.2</v>
      </c>
      <c r="AH188" s="278">
        <f t="shared" ref="AH188:AH191" si="167">+AE188*E188</f>
        <v>0.05</v>
      </c>
      <c r="AI188" s="278">
        <f>+P188/F188</f>
        <v>0.35</v>
      </c>
      <c r="AJ188" s="278">
        <v>0.68</v>
      </c>
      <c r="AK188" s="278">
        <f t="shared" ref="AK188:AK190" si="168">+W188/F188</f>
        <v>0.755</v>
      </c>
      <c r="AL188" s="278">
        <f>+AI188*E188</f>
        <v>6.9999999999999993E-2</v>
      </c>
      <c r="AM188" s="278">
        <f>+AJ188*E188</f>
        <v>0.13600000000000001</v>
      </c>
      <c r="AN188" s="278">
        <f t="shared" ref="AN188:AN191" si="169">+AK188*E188</f>
        <v>0.15100000000000002</v>
      </c>
      <c r="AO188" s="532" t="s">
        <v>1844</v>
      </c>
      <c r="AP188" s="758" t="s">
        <v>1954</v>
      </c>
      <c r="AQ188" s="267"/>
      <c r="AR188" s="534" t="s">
        <v>2009</v>
      </c>
      <c r="AS188" s="558" t="s">
        <v>2107</v>
      </c>
      <c r="AT188" s="558" t="s">
        <v>2139</v>
      </c>
      <c r="AU188" s="558" t="s">
        <v>2196</v>
      </c>
      <c r="AV188" s="558" t="s">
        <v>1887</v>
      </c>
      <c r="AW188" s="558" t="s">
        <v>2294</v>
      </c>
    </row>
    <row r="189" spans="1:49" ht="122.4" customHeight="1" thickBot="1" x14ac:dyDescent="0.45">
      <c r="A189" s="261"/>
      <c r="B189" s="1342" t="s">
        <v>654</v>
      </c>
      <c r="C189" s="1302" t="s">
        <v>655</v>
      </c>
      <c r="D189" s="583" t="s">
        <v>620</v>
      </c>
      <c r="E189" s="269">
        <v>0.35</v>
      </c>
      <c r="F189" s="270">
        <v>60000</v>
      </c>
      <c r="G189" s="289">
        <v>15000</v>
      </c>
      <c r="H189" s="704">
        <v>15000</v>
      </c>
      <c r="I189" s="290">
        <v>15000</v>
      </c>
      <c r="J189" s="279">
        <f>+G189/F189</f>
        <v>0.25</v>
      </c>
      <c r="K189" s="330">
        <f t="shared" si="153"/>
        <v>0.25</v>
      </c>
      <c r="L189" s="330"/>
      <c r="M189" s="333">
        <f>+(G189/F189)*E189</f>
        <v>8.7499999999999994E-2</v>
      </c>
      <c r="N189" s="333">
        <f t="shared" si="136"/>
        <v>8.7499999999999994E-2</v>
      </c>
      <c r="O189" s="333"/>
      <c r="P189" s="290">
        <v>20000</v>
      </c>
      <c r="Q189" s="482">
        <v>14328</v>
      </c>
      <c r="R189" s="482">
        <f>51827-Q189+1650</f>
        <v>39149</v>
      </c>
      <c r="S189" s="482">
        <v>7057</v>
      </c>
      <c r="T189" s="482">
        <v>131292</v>
      </c>
      <c r="U189" s="482">
        <v>550</v>
      </c>
      <c r="V189" s="290">
        <f t="shared" ref="V189:V190" si="170">+Q189+R189+S189+T189+U189</f>
        <v>192376</v>
      </c>
      <c r="W189" s="325">
        <f>+V189+P189+AB189</f>
        <v>254427</v>
      </c>
      <c r="X189" s="482">
        <v>10598</v>
      </c>
      <c r="Y189" s="482">
        <v>31453</v>
      </c>
      <c r="Z189" s="290"/>
      <c r="AA189" s="290"/>
      <c r="AB189" s="290">
        <f t="shared" si="165"/>
        <v>42051</v>
      </c>
      <c r="AC189" s="323">
        <v>1</v>
      </c>
      <c r="AD189" s="278">
        <v>1</v>
      </c>
      <c r="AE189" s="278">
        <v>1</v>
      </c>
      <c r="AF189" s="278">
        <f>+AC189*E189</f>
        <v>0.35</v>
      </c>
      <c r="AG189" s="278">
        <f>+AD189*E189</f>
        <v>0.35</v>
      </c>
      <c r="AH189" s="278">
        <f>+AE189*E189</f>
        <v>0.35</v>
      </c>
      <c r="AI189" s="278">
        <f>+P189/F189</f>
        <v>0.33333333333333331</v>
      </c>
      <c r="AJ189" s="278">
        <v>1</v>
      </c>
      <c r="AK189" s="278">
        <v>1</v>
      </c>
      <c r="AL189" s="278">
        <f>+AI189*E189</f>
        <v>0.11666666666666665</v>
      </c>
      <c r="AM189" s="278">
        <f>+AJ189*E189</f>
        <v>0.35</v>
      </c>
      <c r="AN189" s="278">
        <f t="shared" si="169"/>
        <v>0.35</v>
      </c>
      <c r="AO189" s="532" t="s">
        <v>1844</v>
      </c>
      <c r="AP189" s="558" t="s">
        <v>1895</v>
      </c>
      <c r="AQ189" s="267"/>
      <c r="AR189" s="534" t="s">
        <v>1588</v>
      </c>
      <c r="AS189" s="558" t="s">
        <v>2107</v>
      </c>
      <c r="AT189" s="558" t="s">
        <v>2139</v>
      </c>
      <c r="AU189" s="558" t="s">
        <v>2196</v>
      </c>
      <c r="AV189" s="558" t="s">
        <v>1887</v>
      </c>
      <c r="AW189" s="558" t="s">
        <v>2294</v>
      </c>
    </row>
    <row r="190" spans="1:49" ht="122.4" customHeight="1" thickBot="1" x14ac:dyDescent="0.45">
      <c r="A190" s="261"/>
      <c r="B190" s="1342" t="s">
        <v>656</v>
      </c>
      <c r="C190" s="1302" t="s">
        <v>657</v>
      </c>
      <c r="D190" s="583" t="s">
        <v>620</v>
      </c>
      <c r="E190" s="269">
        <v>0.2</v>
      </c>
      <c r="F190" s="270">
        <v>96</v>
      </c>
      <c r="G190" s="289">
        <v>16</v>
      </c>
      <c r="H190" s="704">
        <v>25</v>
      </c>
      <c r="I190" s="290">
        <v>25</v>
      </c>
      <c r="J190" s="332">
        <f>+G190/F190</f>
        <v>0.16666666666666666</v>
      </c>
      <c r="K190" s="333">
        <f t="shared" si="153"/>
        <v>0.26041666666666669</v>
      </c>
      <c r="L190" s="333">
        <f>+I190/F190</f>
        <v>0.26041666666666669</v>
      </c>
      <c r="M190" s="333">
        <f>+(G190/F190)*E190</f>
        <v>3.3333333333333333E-2</v>
      </c>
      <c r="N190" s="333">
        <f t="shared" si="136"/>
        <v>5.2083333333333343E-2</v>
      </c>
      <c r="O190" s="333"/>
      <c r="P190" s="290">
        <v>35</v>
      </c>
      <c r="Q190" s="482">
        <v>1</v>
      </c>
      <c r="R190" s="482">
        <v>3</v>
      </c>
      <c r="S190" s="482">
        <v>0</v>
      </c>
      <c r="T190" s="482">
        <v>19</v>
      </c>
      <c r="U190" s="482">
        <v>0</v>
      </c>
      <c r="V190" s="290">
        <f t="shared" si="170"/>
        <v>23</v>
      </c>
      <c r="W190" s="325">
        <f t="shared" si="164"/>
        <v>64</v>
      </c>
      <c r="X190" s="482">
        <v>0</v>
      </c>
      <c r="Y190" s="482">
        <v>6</v>
      </c>
      <c r="Z190" s="290"/>
      <c r="AA190" s="290"/>
      <c r="AB190" s="290">
        <f>+X190+Y190+Z190+AA190</f>
        <v>6</v>
      </c>
      <c r="AC190" s="323">
        <v>1</v>
      </c>
      <c r="AD190" s="278">
        <f>+V190/H190</f>
        <v>0.92</v>
      </c>
      <c r="AE190" s="278">
        <f t="shared" si="166"/>
        <v>0.24</v>
      </c>
      <c r="AF190" s="278">
        <f>+AC190*E190</f>
        <v>0.2</v>
      </c>
      <c r="AG190" s="278">
        <f>+AD190*E190</f>
        <v>0.18400000000000002</v>
      </c>
      <c r="AH190" s="278">
        <f>+AE190*E190</f>
        <v>4.8000000000000001E-2</v>
      </c>
      <c r="AI190" s="278">
        <f>+P190/F190</f>
        <v>0.36458333333333331</v>
      </c>
      <c r="AJ190" s="278">
        <v>0.60416666666666663</v>
      </c>
      <c r="AK190" s="278">
        <f t="shared" si="168"/>
        <v>0.66666666666666663</v>
      </c>
      <c r="AL190" s="278">
        <f>+AI190*E190</f>
        <v>7.2916666666666671E-2</v>
      </c>
      <c r="AM190" s="278">
        <f>+AJ190*E190</f>
        <v>0.12083333333333333</v>
      </c>
      <c r="AN190" s="278">
        <f t="shared" si="169"/>
        <v>0.13333333333333333</v>
      </c>
      <c r="AO190" s="532" t="s">
        <v>1844</v>
      </c>
      <c r="AP190" s="758" t="s">
        <v>1954</v>
      </c>
      <c r="AQ190" s="267"/>
      <c r="AR190" s="534" t="s">
        <v>1588</v>
      </c>
      <c r="AS190" s="558" t="s">
        <v>2107</v>
      </c>
      <c r="AT190" s="558" t="s">
        <v>2139</v>
      </c>
      <c r="AU190" s="558" t="s">
        <v>2196</v>
      </c>
      <c r="AV190" s="558" t="s">
        <v>1887</v>
      </c>
      <c r="AW190" s="558" t="s">
        <v>2294</v>
      </c>
    </row>
    <row r="191" spans="1:49" ht="122.4" customHeight="1" thickBot="1" x14ac:dyDescent="0.45">
      <c r="A191" s="261"/>
      <c r="B191" s="1342" t="s">
        <v>658</v>
      </c>
      <c r="C191" s="1302" t="s">
        <v>659</v>
      </c>
      <c r="D191" s="583" t="s">
        <v>620</v>
      </c>
      <c r="E191" s="269">
        <v>0.25</v>
      </c>
      <c r="F191" s="270">
        <v>65000</v>
      </c>
      <c r="G191" s="289">
        <v>10000</v>
      </c>
      <c r="H191" s="704">
        <v>17000</v>
      </c>
      <c r="I191" s="290">
        <v>18000</v>
      </c>
      <c r="J191" s="332">
        <f>+G191/F191</f>
        <v>0.15384615384615385</v>
      </c>
      <c r="K191" s="333">
        <f t="shared" si="153"/>
        <v>0.26153846153846155</v>
      </c>
      <c r="L191" s="333">
        <f t="shared" si="129"/>
        <v>0.27692307692307694</v>
      </c>
      <c r="M191" s="333">
        <f>+(G191/F191)*E191</f>
        <v>3.8461538461538464E-2</v>
      </c>
      <c r="N191" s="333">
        <f t="shared" si="136"/>
        <v>6.5384615384615388E-2</v>
      </c>
      <c r="O191" s="333"/>
      <c r="P191" s="325">
        <v>32637</v>
      </c>
      <c r="Q191" s="482">
        <v>493</v>
      </c>
      <c r="R191" s="482">
        <f>17493-Q191</f>
        <v>17000</v>
      </c>
      <c r="S191" s="482">
        <v>0</v>
      </c>
      <c r="T191" s="482">
        <v>14418</v>
      </c>
      <c r="U191" s="482">
        <v>0</v>
      </c>
      <c r="V191" s="290">
        <f>+Q191+R191+S191+T191+U191</f>
        <v>31911</v>
      </c>
      <c r="W191" s="325">
        <f>+V191+P191+AB191</f>
        <v>75516</v>
      </c>
      <c r="X191" s="482">
        <v>0</v>
      </c>
      <c r="Y191" s="482">
        <v>10968</v>
      </c>
      <c r="Z191" s="325"/>
      <c r="AA191" s="325"/>
      <c r="AB191" s="325">
        <f t="shared" si="165"/>
        <v>10968</v>
      </c>
      <c r="AC191" s="323">
        <v>1</v>
      </c>
      <c r="AD191" s="278">
        <v>1</v>
      </c>
      <c r="AE191" s="278">
        <f>+AB191/I191</f>
        <v>0.60933333333333328</v>
      </c>
      <c r="AF191" s="278">
        <f>+AC191*E191</f>
        <v>0.25</v>
      </c>
      <c r="AG191" s="278">
        <f>+AD191*E191</f>
        <v>0.25</v>
      </c>
      <c r="AH191" s="278">
        <f t="shared" si="167"/>
        <v>0.15233333333333332</v>
      </c>
      <c r="AI191" s="278">
        <f>+P191/F191</f>
        <v>0.50210769230769225</v>
      </c>
      <c r="AJ191" s="278">
        <v>0.9930461538461538</v>
      </c>
      <c r="AK191" s="278">
        <v>1</v>
      </c>
      <c r="AL191" s="278">
        <f>+AI191*E191</f>
        <v>0.12552692307692306</v>
      </c>
      <c r="AM191" s="278">
        <f>+AJ191*E191</f>
        <v>0.24826153846153845</v>
      </c>
      <c r="AN191" s="278">
        <f t="shared" si="169"/>
        <v>0.25</v>
      </c>
      <c r="AO191" s="532" t="s">
        <v>1844</v>
      </c>
      <c r="AP191" s="758" t="s">
        <v>1954</v>
      </c>
      <c r="AQ191" s="267"/>
      <c r="AR191" s="534" t="s">
        <v>1588</v>
      </c>
      <c r="AS191" s="558" t="s">
        <v>2107</v>
      </c>
      <c r="AT191" s="558" t="s">
        <v>2139</v>
      </c>
      <c r="AU191" s="558" t="s">
        <v>2196</v>
      </c>
      <c r="AV191" s="558" t="s">
        <v>1887</v>
      </c>
      <c r="AW191" s="558" t="s">
        <v>2294</v>
      </c>
    </row>
    <row r="192" spans="1:49" ht="122.4" customHeight="1" thickBot="1" x14ac:dyDescent="0.55000000000000004">
      <c r="A192" s="261"/>
      <c r="B192" s="1349" t="s">
        <v>1676</v>
      </c>
      <c r="C192" s="1341"/>
      <c r="D192" s="591"/>
      <c r="E192" s="301">
        <v>0.15</v>
      </c>
      <c r="F192" s="302">
        <f>+E192*AF192</f>
        <v>0.10303125</v>
      </c>
      <c r="G192" s="289"/>
      <c r="H192" s="928">
        <f>+E192*AG192</f>
        <v>0.12821874999999999</v>
      </c>
      <c r="I192" s="263">
        <f>E192*AH192</f>
        <v>9.0248467098703891E-2</v>
      </c>
      <c r="J192" s="334">
        <f>+(J193+J198+J203)/3</f>
        <v>0.23789691874878258</v>
      </c>
      <c r="K192" s="335">
        <f>+(K193+K198+K203)/3</f>
        <v>0.31958568748605082</v>
      </c>
      <c r="L192" s="335">
        <f>+(L193+L198+L203)/3</f>
        <v>0.21792049261756397</v>
      </c>
      <c r="M192" s="264">
        <f>+(M193+M198+M203)/3</f>
        <v>0.18171330652877268</v>
      </c>
      <c r="N192" s="264">
        <f>+(N193+N198+N203)/3</f>
        <v>0.28480466761010298</v>
      </c>
      <c r="O192" s="264"/>
      <c r="P192" s="472"/>
      <c r="Q192" s="336"/>
      <c r="R192" s="336"/>
      <c r="S192" s="336"/>
      <c r="T192" s="336"/>
      <c r="U192" s="336"/>
      <c r="V192" s="336"/>
      <c r="W192" s="336"/>
      <c r="X192" s="336"/>
      <c r="Y192" s="336"/>
      <c r="Z192" s="336"/>
      <c r="AA192" s="336"/>
      <c r="AB192" s="336"/>
      <c r="AC192" s="319">
        <f>+(AC193+AC198+AC203)/3</f>
        <v>0.94739583333333333</v>
      </c>
      <c r="AD192" s="265">
        <f>+(AD193+AD198+AD203)/3</f>
        <v>0.97274305555555551</v>
      </c>
      <c r="AE192" s="265">
        <f>+(AE193+AE198+AE203)/3</f>
        <v>0.6499220394372438</v>
      </c>
      <c r="AF192" s="264">
        <f>AF193+AF198+AF203</f>
        <v>0.68687500000000001</v>
      </c>
      <c r="AG192" s="264">
        <f>AG193+AG198+AG203</f>
        <v>0.85479166666666662</v>
      </c>
      <c r="AH192" s="264">
        <f>AH193+AH198+AH203</f>
        <v>0.60165644732469259</v>
      </c>
      <c r="AI192" s="265">
        <f>(AI193+AI198+AI203)/3</f>
        <v>0.33997892066194169</v>
      </c>
      <c r="AJ192" s="265">
        <v>0.70093698469337029</v>
      </c>
      <c r="AK192" s="265">
        <f>(AK193+AK198+AK203)/3</f>
        <v>0.81362861460691238</v>
      </c>
      <c r="AL192" s="264">
        <f>(AL193+AL198+AL203)</f>
        <v>0.24110540532107533</v>
      </c>
      <c r="AM192" s="264">
        <f>(AM193*E193)+(AM198*E198)+(AM203*E203)</f>
        <v>0.7250078734798705</v>
      </c>
      <c r="AN192" s="264">
        <f>(AN193*E193)+(AN198*E198)+(AN203*E203)</f>
        <v>0.81850960085645208</v>
      </c>
      <c r="AO192" s="747"/>
      <c r="AP192" s="267"/>
      <c r="AQ192" s="267"/>
      <c r="AR192" s="267"/>
      <c r="AS192" s="267"/>
      <c r="AT192" s="755"/>
      <c r="AU192" s="752"/>
      <c r="AV192" s="755"/>
    </row>
    <row r="193" spans="1:49" ht="122.4" customHeight="1" thickBot="1" x14ac:dyDescent="0.55000000000000004">
      <c r="A193" s="261"/>
      <c r="B193" s="1339" t="s">
        <v>1677</v>
      </c>
      <c r="C193" s="1340"/>
      <c r="D193" s="574"/>
      <c r="E193" s="266">
        <v>0.5</v>
      </c>
      <c r="F193" s="270"/>
      <c r="G193" s="289"/>
      <c r="H193" s="704"/>
      <c r="I193" s="290"/>
      <c r="J193" s="337">
        <f>+AVERAGE(J194:J197)</f>
        <v>0.23879427591508487</v>
      </c>
      <c r="K193" s="268">
        <f>+AVERAGE(K194:K197)</f>
        <v>0.33623578341513416</v>
      </c>
      <c r="L193" s="268">
        <f>+AVERAGE(L194:L197)</f>
        <v>0.24595149395575153</v>
      </c>
      <c r="M193" s="268">
        <f>+M194+M195+M196+M197</f>
        <v>0.11410989888238424</v>
      </c>
      <c r="N193" s="268">
        <f>+N194+N195+N196+N197</f>
        <v>0.33924147004908045</v>
      </c>
      <c r="O193" s="268"/>
      <c r="P193" s="325"/>
      <c r="Q193" s="338"/>
      <c r="R193" s="338"/>
      <c r="S193" s="338"/>
      <c r="T193" s="338"/>
      <c r="U193" s="338"/>
      <c r="V193" s="338"/>
      <c r="W193" s="338"/>
      <c r="X193" s="338"/>
      <c r="Y193" s="338"/>
      <c r="Z193" s="338"/>
      <c r="AA193" s="338"/>
      <c r="AB193" s="338"/>
      <c r="AC193" s="479">
        <f>+AVERAGE(AC194:AC197)</f>
        <v>1</v>
      </c>
      <c r="AD193" s="307">
        <f>+AVERAGE(AD194:AD197)</f>
        <v>1</v>
      </c>
      <c r="AE193" s="307">
        <f>+AVERAGE(AE194:AE197)</f>
        <v>0.61175141242937858</v>
      </c>
      <c r="AF193" s="307">
        <f>+(AF194+AF195+AF196+AF197)*E193</f>
        <v>0.25</v>
      </c>
      <c r="AG193" s="307">
        <f>+(AG194+AG195+AG196+AG197)*E193</f>
        <v>0.42499999999999999</v>
      </c>
      <c r="AH193" s="307">
        <f>+(AH194+AH195+AH196+AH197)*E193</f>
        <v>0.25720056497175142</v>
      </c>
      <c r="AI193" s="268">
        <f>+AVERAGE(AI194:AI197)</f>
        <v>0.33240983608865465</v>
      </c>
      <c r="AJ193" s="268">
        <v>0.67886083762048366</v>
      </c>
      <c r="AK193" s="268">
        <f>+AVERAGE(AK194:AK197)</f>
        <v>0.79876673150189637</v>
      </c>
      <c r="AL193" s="268">
        <f>+(AL194+AL195+AL196+AL197)*E193</f>
        <v>8.0094974636120198E-2</v>
      </c>
      <c r="AM193" s="268">
        <f>+(AM194+AM195+AM196+AM197)</f>
        <v>0.78121367009638698</v>
      </c>
      <c r="AN193" s="268">
        <f>+(AN194+AN195+AN196+AN197)</f>
        <v>0.86118600424913616</v>
      </c>
      <c r="AO193" s="639"/>
      <c r="AP193" s="267"/>
      <c r="AQ193" s="267"/>
      <c r="AR193" s="267"/>
      <c r="AS193" s="267"/>
      <c r="AT193" s="755"/>
      <c r="AU193" s="752"/>
      <c r="AV193" s="755"/>
    </row>
    <row r="194" spans="1:49" ht="122.4" customHeight="1" thickBot="1" x14ac:dyDescent="0.45">
      <c r="A194" s="261"/>
      <c r="B194" s="1342" t="s">
        <v>660</v>
      </c>
      <c r="C194" s="1147" t="s">
        <v>661</v>
      </c>
      <c r="D194" s="309" t="s">
        <v>662</v>
      </c>
      <c r="E194" s="269">
        <v>0.15</v>
      </c>
      <c r="F194" s="270">
        <v>2800</v>
      </c>
      <c r="G194" s="289">
        <v>700</v>
      </c>
      <c r="H194" s="704">
        <v>700</v>
      </c>
      <c r="I194" s="290">
        <v>400</v>
      </c>
      <c r="J194" s="332">
        <f>+G194/F194</f>
        <v>0.25</v>
      </c>
      <c r="K194" s="333">
        <f t="shared" ref="K194:K196" si="171">+H194/F194</f>
        <v>0.25</v>
      </c>
      <c r="L194" s="1370">
        <f t="shared" ref="L194:L197" si="172">+I194/F194</f>
        <v>0.14285714285714285</v>
      </c>
      <c r="M194" s="333">
        <f>+(G194/F194)*E194</f>
        <v>3.7499999999999999E-2</v>
      </c>
      <c r="N194" s="333">
        <f t="shared" ref="N194:N196" si="173">+(H194/F194)*E194</f>
        <v>3.7499999999999999E-2</v>
      </c>
      <c r="O194" s="333"/>
      <c r="P194" s="339">
        <v>1265</v>
      </c>
      <c r="Q194" s="485">
        <v>261</v>
      </c>
      <c r="R194" s="485">
        <v>0</v>
      </c>
      <c r="S194" s="485">
        <v>300</v>
      </c>
      <c r="T194" s="485">
        <v>239</v>
      </c>
      <c r="U194" s="485">
        <v>0</v>
      </c>
      <c r="V194" s="339">
        <f t="shared" ref="V194:V205" si="174">+Q194+R194+S194+T194+U194</f>
        <v>800</v>
      </c>
      <c r="W194" s="339">
        <f>+V194+P194+AB194</f>
        <v>2445</v>
      </c>
      <c r="X194" s="485">
        <v>125</v>
      </c>
      <c r="Y194" s="485">
        <v>255</v>
      </c>
      <c r="Z194" s="339"/>
      <c r="AA194" s="339"/>
      <c r="AB194" s="339">
        <f t="shared" ref="AB194:AB197" si="175">+X194+Y194+Z194+AA194</f>
        <v>380</v>
      </c>
      <c r="AC194" s="323">
        <v>1</v>
      </c>
      <c r="AD194" s="278">
        <v>1</v>
      </c>
      <c r="AE194" s="278">
        <f t="shared" ref="AE194:AE201" si="176">+AB194/I194</f>
        <v>0.95</v>
      </c>
      <c r="AF194" s="278">
        <f>+AC194*E194</f>
        <v>0.15</v>
      </c>
      <c r="AG194" s="278">
        <f>+AD194*E194</f>
        <v>0.15</v>
      </c>
      <c r="AH194" s="278">
        <f t="shared" ref="AH194:AH197" si="177">+AE194*E194</f>
        <v>0.14249999999999999</v>
      </c>
      <c r="AI194" s="278">
        <f>+P194/F194</f>
        <v>0.45178571428571429</v>
      </c>
      <c r="AJ194" s="278">
        <v>0.73750000000000004</v>
      </c>
      <c r="AK194" s="278">
        <f t="shared" ref="AK194:AK197" si="178">+W194/F194</f>
        <v>0.87321428571428572</v>
      </c>
      <c r="AL194" s="278">
        <f>+AI194*E194</f>
        <v>6.7767857142857144E-2</v>
      </c>
      <c r="AM194" s="278">
        <f>+AJ194*E194</f>
        <v>0.110625</v>
      </c>
      <c r="AN194" s="278">
        <f t="shared" ref="AN194:AN197" si="179">+AK194*E194</f>
        <v>0.13098214285714285</v>
      </c>
      <c r="AO194" s="532" t="s">
        <v>1844</v>
      </c>
      <c r="AP194" s="534" t="s">
        <v>1895</v>
      </c>
      <c r="AQ194" s="534" t="s">
        <v>1986</v>
      </c>
      <c r="AR194" s="534" t="s">
        <v>2009</v>
      </c>
      <c r="AS194" s="558" t="s">
        <v>2107</v>
      </c>
      <c r="AT194" s="558" t="s">
        <v>2139</v>
      </c>
      <c r="AU194" s="558" t="s">
        <v>2196</v>
      </c>
      <c r="AV194" s="558" t="s">
        <v>1887</v>
      </c>
      <c r="AW194" s="756" t="s">
        <v>1859</v>
      </c>
    </row>
    <row r="195" spans="1:49" ht="152.4" customHeight="1" thickBot="1" x14ac:dyDescent="0.45">
      <c r="A195" s="261"/>
      <c r="B195" s="1342" t="s">
        <v>663</v>
      </c>
      <c r="C195" s="1147" t="s">
        <v>664</v>
      </c>
      <c r="D195" s="309" t="s">
        <v>662</v>
      </c>
      <c r="E195" s="269">
        <v>0.2</v>
      </c>
      <c r="F195" s="270">
        <v>33822</v>
      </c>
      <c r="G195" s="289">
        <v>4500</v>
      </c>
      <c r="H195" s="704">
        <v>8750</v>
      </c>
      <c r="I195" s="290">
        <v>8850</v>
      </c>
      <c r="J195" s="332">
        <f>+G195/F195</f>
        <v>0.13304949441192124</v>
      </c>
      <c r="K195" s="333">
        <f t="shared" si="171"/>
        <v>0.25870735024540242</v>
      </c>
      <c r="L195" s="1370">
        <f t="shared" si="172"/>
        <v>0.26166400567677844</v>
      </c>
      <c r="M195" s="333">
        <f>+(G195/F195)*E195</f>
        <v>2.6609898882384249E-2</v>
      </c>
      <c r="N195" s="333">
        <f t="shared" si="173"/>
        <v>5.1741470049080487E-2</v>
      </c>
      <c r="O195" s="333"/>
      <c r="P195" s="339">
        <v>7174</v>
      </c>
      <c r="Q195" s="485">
        <v>599</v>
      </c>
      <c r="R195" s="485">
        <v>2886</v>
      </c>
      <c r="S195" s="485">
        <v>3267</v>
      </c>
      <c r="T195" s="485">
        <v>2204</v>
      </c>
      <c r="U195" s="485">
        <v>35</v>
      </c>
      <c r="V195" s="339">
        <f t="shared" si="174"/>
        <v>8991</v>
      </c>
      <c r="W195" s="339">
        <f t="shared" ref="W195:W197" si="180">+V195+P195+AB195</f>
        <v>21596</v>
      </c>
      <c r="X195" s="485">
        <v>2137</v>
      </c>
      <c r="Y195" s="485">
        <v>3294</v>
      </c>
      <c r="Z195" s="339"/>
      <c r="AA195" s="339"/>
      <c r="AB195" s="339">
        <f t="shared" si="175"/>
        <v>5431</v>
      </c>
      <c r="AC195" s="323">
        <v>1</v>
      </c>
      <c r="AD195" s="278">
        <v>1</v>
      </c>
      <c r="AE195" s="278">
        <f>+AB195/I195</f>
        <v>0.61367231638418074</v>
      </c>
      <c r="AF195" s="278">
        <f>+AC195*E195</f>
        <v>0.2</v>
      </c>
      <c r="AG195" s="278">
        <f>+AD195*E195</f>
        <v>0.2</v>
      </c>
      <c r="AH195" s="278">
        <f t="shared" si="177"/>
        <v>0.12273446327683615</v>
      </c>
      <c r="AI195" s="278">
        <f>+P195/F195</f>
        <v>0.21211046064691622</v>
      </c>
      <c r="AJ195" s="278">
        <v>0.47794335048193481</v>
      </c>
      <c r="AK195" s="278">
        <f t="shared" si="178"/>
        <v>0.63851930695996684</v>
      </c>
      <c r="AL195" s="278">
        <f>+AI195*E195</f>
        <v>4.2422092129383249E-2</v>
      </c>
      <c r="AM195" s="278">
        <f>+AJ195*E195</f>
        <v>9.5588670096386968E-2</v>
      </c>
      <c r="AN195" s="278">
        <f t="shared" si="179"/>
        <v>0.12770386139199338</v>
      </c>
      <c r="AO195" s="532" t="s">
        <v>1844</v>
      </c>
      <c r="AP195" s="534" t="s">
        <v>1895</v>
      </c>
      <c r="AQ195" s="534" t="s">
        <v>1986</v>
      </c>
      <c r="AR195" s="534" t="s">
        <v>2009</v>
      </c>
      <c r="AS195" s="558" t="s">
        <v>2107</v>
      </c>
      <c r="AT195" s="558" t="s">
        <v>2139</v>
      </c>
      <c r="AU195" s="558" t="s">
        <v>2196</v>
      </c>
      <c r="AV195" s="558" t="s">
        <v>1887</v>
      </c>
      <c r="AW195" s="756" t="s">
        <v>1859</v>
      </c>
    </row>
    <row r="196" spans="1:49" ht="122.4" customHeight="1" thickBot="1" x14ac:dyDescent="0.45">
      <c r="A196" s="261"/>
      <c r="B196" s="1342" t="s">
        <v>665</v>
      </c>
      <c r="C196" s="1147" t="s">
        <v>666</v>
      </c>
      <c r="D196" s="309" t="s">
        <v>662</v>
      </c>
      <c r="E196" s="269">
        <v>0.5</v>
      </c>
      <c r="F196" s="270">
        <v>2</v>
      </c>
      <c r="G196" s="289">
        <v>0</v>
      </c>
      <c r="H196" s="704">
        <v>1</v>
      </c>
      <c r="I196" s="290">
        <v>0.3</v>
      </c>
      <c r="J196" s="332"/>
      <c r="K196" s="333">
        <f t="shared" si="171"/>
        <v>0.5</v>
      </c>
      <c r="L196" s="1370"/>
      <c r="M196" s="333"/>
      <c r="N196" s="333">
        <f t="shared" si="173"/>
        <v>0.25</v>
      </c>
      <c r="O196" s="333"/>
      <c r="P196" s="325"/>
      <c r="Q196" s="482">
        <v>0</v>
      </c>
      <c r="R196" s="482">
        <v>1</v>
      </c>
      <c r="S196" s="482">
        <v>0</v>
      </c>
      <c r="T196" s="482">
        <v>0.5</v>
      </c>
      <c r="U196" s="482">
        <v>0.5</v>
      </c>
      <c r="V196" s="325">
        <f t="shared" si="174"/>
        <v>2</v>
      </c>
      <c r="W196" s="339">
        <f t="shared" si="180"/>
        <v>2.1</v>
      </c>
      <c r="X196" s="482">
        <v>0.1</v>
      </c>
      <c r="Y196" s="482">
        <v>0</v>
      </c>
      <c r="Z196" s="325"/>
      <c r="AA196" s="325"/>
      <c r="AB196" s="325">
        <f t="shared" si="175"/>
        <v>0.1</v>
      </c>
      <c r="AC196" s="323"/>
      <c r="AD196" s="278">
        <v>1</v>
      </c>
      <c r="AE196" s="278">
        <f t="shared" si="176"/>
        <v>0.33333333333333337</v>
      </c>
      <c r="AF196" s="278"/>
      <c r="AG196" s="278">
        <f>+AD196*E196</f>
        <v>0.5</v>
      </c>
      <c r="AH196" s="278">
        <f t="shared" si="177"/>
        <v>0.16666666666666669</v>
      </c>
      <c r="AI196" s="278"/>
      <c r="AJ196" s="278">
        <v>1</v>
      </c>
      <c r="AK196" s="278">
        <v>1</v>
      </c>
      <c r="AL196" s="278">
        <v>0</v>
      </c>
      <c r="AM196" s="278">
        <f>+AJ196*E196</f>
        <v>0.5</v>
      </c>
      <c r="AN196" s="278">
        <f t="shared" si="179"/>
        <v>0.5</v>
      </c>
      <c r="AO196" s="532" t="s">
        <v>1844</v>
      </c>
      <c r="AP196" s="599" t="s">
        <v>1913</v>
      </c>
      <c r="AQ196" s="534" t="s">
        <v>1986</v>
      </c>
      <c r="AR196" s="534" t="s">
        <v>2009</v>
      </c>
      <c r="AS196" s="558" t="s">
        <v>2107</v>
      </c>
      <c r="AT196" s="558" t="s">
        <v>2139</v>
      </c>
      <c r="AU196" s="558" t="s">
        <v>2195</v>
      </c>
      <c r="AV196" s="558" t="s">
        <v>1887</v>
      </c>
      <c r="AW196" s="756" t="s">
        <v>1859</v>
      </c>
    </row>
    <row r="197" spans="1:49" ht="122.4" customHeight="1" thickBot="1" x14ac:dyDescent="0.45">
      <c r="A197" s="261"/>
      <c r="B197" s="1342" t="s">
        <v>667</v>
      </c>
      <c r="C197" s="1147" t="s">
        <v>668</v>
      </c>
      <c r="D197" s="309" t="s">
        <v>662</v>
      </c>
      <c r="E197" s="269">
        <v>0.15</v>
      </c>
      <c r="F197" s="270">
        <v>3</v>
      </c>
      <c r="G197" s="289">
        <v>1</v>
      </c>
      <c r="H197" s="704">
        <v>0</v>
      </c>
      <c r="I197" s="290">
        <v>1</v>
      </c>
      <c r="J197" s="332">
        <f>+G197/F197</f>
        <v>0.33333333333333331</v>
      </c>
      <c r="K197" s="333"/>
      <c r="L197" s="1370">
        <f t="shared" si="172"/>
        <v>0.33333333333333331</v>
      </c>
      <c r="M197" s="333">
        <f>+(G197/F197)*E197</f>
        <v>4.9999999999999996E-2</v>
      </c>
      <c r="N197" s="333"/>
      <c r="O197" s="333"/>
      <c r="P197" s="325">
        <v>1</v>
      </c>
      <c r="Q197" s="482">
        <v>0.1</v>
      </c>
      <c r="R197" s="482">
        <v>0</v>
      </c>
      <c r="S197" s="482">
        <v>0</v>
      </c>
      <c r="T197" s="482">
        <v>0.4</v>
      </c>
      <c r="U197" s="482">
        <v>0</v>
      </c>
      <c r="V197" s="325">
        <f t="shared" si="174"/>
        <v>0.5</v>
      </c>
      <c r="W197" s="339">
        <f t="shared" si="180"/>
        <v>2.0499999999999998</v>
      </c>
      <c r="X197" s="482">
        <v>0.5</v>
      </c>
      <c r="Y197" s="482">
        <v>0.05</v>
      </c>
      <c r="Z197" s="325"/>
      <c r="AA197" s="325"/>
      <c r="AB197" s="325">
        <f t="shared" si="175"/>
        <v>0.55000000000000004</v>
      </c>
      <c r="AC197" s="323">
        <f>+(P197/G197)</f>
        <v>1</v>
      </c>
      <c r="AD197" s="278"/>
      <c r="AE197" s="278">
        <f>+AB197/I197</f>
        <v>0.55000000000000004</v>
      </c>
      <c r="AF197" s="278">
        <f>+AC197*E197</f>
        <v>0.15</v>
      </c>
      <c r="AG197" s="278"/>
      <c r="AH197" s="278">
        <f t="shared" si="177"/>
        <v>8.2500000000000004E-2</v>
      </c>
      <c r="AI197" s="278">
        <f>+P197/F197</f>
        <v>0.33333333333333331</v>
      </c>
      <c r="AJ197" s="278">
        <v>0.5</v>
      </c>
      <c r="AK197" s="278">
        <f t="shared" si="178"/>
        <v>0.68333333333333324</v>
      </c>
      <c r="AL197" s="278">
        <f>+AI197*E197</f>
        <v>4.9999999999999996E-2</v>
      </c>
      <c r="AM197" s="278">
        <f>+AJ197*E197</f>
        <v>7.4999999999999997E-2</v>
      </c>
      <c r="AN197" s="278">
        <f t="shared" si="179"/>
        <v>0.10249999999999998</v>
      </c>
      <c r="AO197" s="532" t="s">
        <v>1844</v>
      </c>
      <c r="AP197" s="534" t="s">
        <v>1895</v>
      </c>
      <c r="AQ197" s="534" t="s">
        <v>1986</v>
      </c>
      <c r="AR197" s="534" t="s">
        <v>2009</v>
      </c>
      <c r="AS197" s="558" t="s">
        <v>2107</v>
      </c>
      <c r="AT197" s="558" t="s">
        <v>2139</v>
      </c>
      <c r="AU197" s="558" t="s">
        <v>2196</v>
      </c>
      <c r="AV197" s="558" t="s">
        <v>1887</v>
      </c>
      <c r="AW197" s="756" t="s">
        <v>1859</v>
      </c>
    </row>
    <row r="198" spans="1:49" ht="122.4" customHeight="1" thickBot="1" x14ac:dyDescent="0.55000000000000004">
      <c r="A198" s="261"/>
      <c r="B198" s="1339" t="s">
        <v>1678</v>
      </c>
      <c r="C198" s="1340"/>
      <c r="D198" s="309"/>
      <c r="E198" s="266">
        <v>0.25</v>
      </c>
      <c r="F198" s="270"/>
      <c r="G198" s="289"/>
      <c r="H198" s="704"/>
      <c r="I198" s="290"/>
      <c r="J198" s="337">
        <f>+AVERAGE(J199:J202)</f>
        <v>0.31944444444444442</v>
      </c>
      <c r="K198" s="268">
        <f>+AVERAGE(K199:K202)</f>
        <v>0.34074074074074073</v>
      </c>
      <c r="L198" s="268">
        <f>+AVERAGE(L199:L202)</f>
        <v>0.28703703703703703</v>
      </c>
      <c r="M198" s="268">
        <f>+M199+M200+M201+M202</f>
        <v>0.27361111111111114</v>
      </c>
      <c r="N198" s="268">
        <f>+N199+N200+N201+N202</f>
        <v>0.2338888888888889</v>
      </c>
      <c r="O198" s="268"/>
      <c r="P198" s="290"/>
      <c r="Q198" s="321"/>
      <c r="R198" s="321"/>
      <c r="S198" s="321"/>
      <c r="T198" s="321"/>
      <c r="U198" s="818"/>
      <c r="V198" s="321"/>
      <c r="W198" s="321"/>
      <c r="X198" s="321"/>
      <c r="Y198" s="321"/>
      <c r="Z198" s="321"/>
      <c r="AA198" s="321"/>
      <c r="AB198" s="321"/>
      <c r="AC198" s="479">
        <f>+AVERAGE(AC199:AC202)</f>
        <v>0.84218749999999998</v>
      </c>
      <c r="AD198" s="307">
        <f>+AVERAGE(AD199:AD202)</f>
        <v>0.91822916666666665</v>
      </c>
      <c r="AE198" s="307">
        <f>+AVERAGE(AE199:AE202)</f>
        <v>0.33801470588235294</v>
      </c>
      <c r="AF198" s="307">
        <f>+(AF199+AF200+AF201+AF202)*E198</f>
        <v>0.18687500000000004</v>
      </c>
      <c r="AG198" s="307">
        <f>+(AG199+AG200+AG201+AG202)*E198</f>
        <v>0.17979166666666668</v>
      </c>
      <c r="AH198" s="307">
        <f>+(AH199+AH200+AH201+AH202)*E198</f>
        <v>9.4455882352941181E-2</v>
      </c>
      <c r="AI198" s="268">
        <f>+AVERAGE(AI199:AI202)</f>
        <v>0.25733506944444445</v>
      </c>
      <c r="AJ198" s="268">
        <v>0.57819097222222227</v>
      </c>
      <c r="AK198" s="268">
        <f>+AVERAGE(AK199:AK202)</f>
        <v>0.65451041666666665</v>
      </c>
      <c r="AL198" s="268">
        <f>+(AL199+AL200+AL201+AL202)*E198</f>
        <v>5.0629340277777775E-2</v>
      </c>
      <c r="AM198" s="268">
        <f>+(AM199+AM200+AM201+AM202)</f>
        <v>0.46282430555555554</v>
      </c>
      <c r="AN198" s="268">
        <f>+(AN199+AN200+AN201+AN202)</f>
        <v>0.55662291666666663</v>
      </c>
      <c r="AO198" s="639"/>
      <c r="AP198" s="267"/>
      <c r="AQ198" s="267"/>
      <c r="AR198" s="267"/>
      <c r="AS198" s="267"/>
      <c r="AT198" s="755"/>
      <c r="AU198" s="752"/>
      <c r="AV198" s="755"/>
    </row>
    <row r="199" spans="1:49" ht="122.4" customHeight="1" thickBot="1" x14ac:dyDescent="0.45">
      <c r="A199" s="261"/>
      <c r="B199" s="1342" t="s">
        <v>669</v>
      </c>
      <c r="C199" s="1147" t="s">
        <v>670</v>
      </c>
      <c r="D199" s="309" t="s">
        <v>662</v>
      </c>
      <c r="E199" s="269">
        <v>0.4</v>
      </c>
      <c r="F199" s="270">
        <v>36000</v>
      </c>
      <c r="G199" s="340">
        <v>10000</v>
      </c>
      <c r="H199" s="340">
        <v>9800</v>
      </c>
      <c r="I199" s="325">
        <v>8500</v>
      </c>
      <c r="J199" s="279">
        <f>+G199/F199</f>
        <v>0.27777777777777779</v>
      </c>
      <c r="K199" s="341">
        <f t="shared" ref="K199:K201" si="181">+H199/F199</f>
        <v>0.2722222222222222</v>
      </c>
      <c r="L199" s="932">
        <f t="shared" ref="L199:L202" si="182">+I199/F199</f>
        <v>0.2361111111111111</v>
      </c>
      <c r="M199" s="333">
        <f>+(G199/F199)*E199</f>
        <v>0.11111111111111112</v>
      </c>
      <c r="N199" s="333">
        <f t="shared" ref="N199:N201" si="183">+(H199/F199)*E199</f>
        <v>0.10888888888888888</v>
      </c>
      <c r="O199" s="333"/>
      <c r="P199" s="325">
        <v>10810</v>
      </c>
      <c r="Q199" s="482">
        <v>1263</v>
      </c>
      <c r="R199" s="482">
        <v>3098</v>
      </c>
      <c r="S199" s="482">
        <v>3892</v>
      </c>
      <c r="T199" s="482">
        <v>2180</v>
      </c>
      <c r="U199" s="482">
        <v>473</v>
      </c>
      <c r="V199" s="325">
        <f t="shared" si="174"/>
        <v>10906</v>
      </c>
      <c r="W199" s="325">
        <f>+V199+P199+AB199</f>
        <v>26604</v>
      </c>
      <c r="X199" s="482">
        <v>1989</v>
      </c>
      <c r="Y199" s="482">
        <v>2899</v>
      </c>
      <c r="Z199" s="325"/>
      <c r="AA199" s="325"/>
      <c r="AB199" s="325">
        <f t="shared" ref="AB199:AB202" si="184">+X199+Y199+Z199+AA199</f>
        <v>4888</v>
      </c>
      <c r="AC199" s="323">
        <v>1</v>
      </c>
      <c r="AD199" s="278">
        <v>1</v>
      </c>
      <c r="AE199" s="278">
        <f t="shared" si="176"/>
        <v>0.57505882352941173</v>
      </c>
      <c r="AF199" s="278">
        <f>+AC199*E199</f>
        <v>0.4</v>
      </c>
      <c r="AG199" s="278">
        <f>+AD199*E199</f>
        <v>0.4</v>
      </c>
      <c r="AH199" s="278">
        <f t="shared" ref="AH199:AH202" si="185">+AE199*E199</f>
        <v>0.23002352941176471</v>
      </c>
      <c r="AI199" s="278">
        <f>+P199/F199</f>
        <v>0.30027777777777775</v>
      </c>
      <c r="AJ199" s="278">
        <v>0.60322222222222222</v>
      </c>
      <c r="AK199" s="278">
        <f t="shared" ref="AK199:AK202" si="186">+W199/F199</f>
        <v>0.73899999999999999</v>
      </c>
      <c r="AL199" s="278">
        <f>+AI199*E199</f>
        <v>0.12011111111111111</v>
      </c>
      <c r="AM199" s="278">
        <f>+AJ199*E199</f>
        <v>0.24128888888888889</v>
      </c>
      <c r="AN199" s="278">
        <f t="shared" ref="AN199:AN202" si="187">+AK199*E199</f>
        <v>0.29560000000000003</v>
      </c>
      <c r="AO199" s="532" t="s">
        <v>1844</v>
      </c>
      <c r="AP199" s="534" t="s">
        <v>1895</v>
      </c>
      <c r="AQ199" s="534" t="s">
        <v>1986</v>
      </c>
      <c r="AR199" s="534" t="s">
        <v>2009</v>
      </c>
      <c r="AS199" s="558" t="s">
        <v>2107</v>
      </c>
      <c r="AT199" s="558" t="s">
        <v>2139</v>
      </c>
      <c r="AU199" s="558" t="s">
        <v>2196</v>
      </c>
      <c r="AV199" s="558" t="s">
        <v>1887</v>
      </c>
      <c r="AW199" s="756" t="s">
        <v>1859</v>
      </c>
    </row>
    <row r="200" spans="1:49" ht="122.4" customHeight="1" thickBot="1" x14ac:dyDescent="0.45">
      <c r="A200" s="261"/>
      <c r="B200" s="1342" t="s">
        <v>671</v>
      </c>
      <c r="C200" s="1147" t="s">
        <v>672</v>
      </c>
      <c r="D200" s="309" t="s">
        <v>662</v>
      </c>
      <c r="E200" s="269">
        <v>0.4</v>
      </c>
      <c r="F200" s="270">
        <f>480*4</f>
        <v>1920</v>
      </c>
      <c r="G200" s="340">
        <v>480</v>
      </c>
      <c r="H200" s="340">
        <v>480</v>
      </c>
      <c r="I200" s="325">
        <v>480</v>
      </c>
      <c r="J200" s="279">
        <f>+G200/F200</f>
        <v>0.25</v>
      </c>
      <c r="K200" s="279">
        <f t="shared" si="181"/>
        <v>0.25</v>
      </c>
      <c r="L200" s="332">
        <f t="shared" si="182"/>
        <v>0.25</v>
      </c>
      <c r="M200" s="333">
        <f>+(G200/F200)*E200</f>
        <v>0.1</v>
      </c>
      <c r="N200" s="333">
        <f t="shared" si="183"/>
        <v>0.1</v>
      </c>
      <c r="O200" s="333"/>
      <c r="P200" s="325">
        <v>177</v>
      </c>
      <c r="Q200" s="482">
        <v>16</v>
      </c>
      <c r="R200" s="482">
        <v>64</v>
      </c>
      <c r="S200" s="482">
        <v>110</v>
      </c>
      <c r="T200" s="482">
        <v>126</v>
      </c>
      <c r="U200" s="482">
        <v>7</v>
      </c>
      <c r="V200" s="325">
        <f t="shared" si="174"/>
        <v>323</v>
      </c>
      <c r="W200" s="325">
        <f t="shared" ref="W200:W202" si="188">+V200+P200+AB200</f>
        <v>608</v>
      </c>
      <c r="X200" s="482">
        <v>34</v>
      </c>
      <c r="Y200" s="482">
        <v>74</v>
      </c>
      <c r="Z200" s="325"/>
      <c r="AA200" s="325"/>
      <c r="AB200" s="325">
        <f>+X200+Y200+Z200+AA200</f>
        <v>108</v>
      </c>
      <c r="AC200" s="323">
        <f>+(P200/G200)</f>
        <v>0.36875000000000002</v>
      </c>
      <c r="AD200" s="278">
        <f>+V200/H200</f>
        <v>0.67291666666666672</v>
      </c>
      <c r="AE200" s="278">
        <f>+AB200/I200</f>
        <v>0.22500000000000001</v>
      </c>
      <c r="AF200" s="278">
        <f>+AC200*E200</f>
        <v>0.14750000000000002</v>
      </c>
      <c r="AG200" s="278">
        <f>+AD200*E200</f>
        <v>0.26916666666666672</v>
      </c>
      <c r="AH200" s="278">
        <f t="shared" si="185"/>
        <v>9.0000000000000011E-2</v>
      </c>
      <c r="AI200" s="278">
        <f>+P200/F200</f>
        <v>9.2187500000000006E-2</v>
      </c>
      <c r="AJ200" s="278">
        <v>0.26041666666666669</v>
      </c>
      <c r="AK200" s="278">
        <f t="shared" si="186"/>
        <v>0.31666666666666665</v>
      </c>
      <c r="AL200" s="278">
        <f>+AI200*E200</f>
        <v>3.6875000000000005E-2</v>
      </c>
      <c r="AM200" s="278">
        <f>+AJ200*E200</f>
        <v>0.10416666666666669</v>
      </c>
      <c r="AN200" s="278">
        <f t="shared" si="187"/>
        <v>0.12666666666666668</v>
      </c>
      <c r="AO200" s="532" t="s">
        <v>1844</v>
      </c>
      <c r="AP200" s="534" t="s">
        <v>1895</v>
      </c>
      <c r="AQ200" s="534" t="s">
        <v>1986</v>
      </c>
      <c r="AR200" s="534" t="s">
        <v>2009</v>
      </c>
      <c r="AS200" s="558" t="s">
        <v>2107</v>
      </c>
      <c r="AT200" s="558" t="s">
        <v>2139</v>
      </c>
      <c r="AU200" s="558" t="s">
        <v>2196</v>
      </c>
      <c r="AV200" s="558" t="s">
        <v>1887</v>
      </c>
      <c r="AW200" s="558" t="s">
        <v>2294</v>
      </c>
    </row>
    <row r="201" spans="1:49" ht="122.4" customHeight="1" thickBot="1" x14ac:dyDescent="0.45">
      <c r="A201" s="261"/>
      <c r="B201" s="1342" t="s">
        <v>673</v>
      </c>
      <c r="C201" s="1147" t="s">
        <v>674</v>
      </c>
      <c r="D201" s="309" t="s">
        <v>662</v>
      </c>
      <c r="E201" s="269">
        <v>0.05</v>
      </c>
      <c r="F201" s="270">
        <v>1</v>
      </c>
      <c r="G201" s="340">
        <v>0.5</v>
      </c>
      <c r="H201" s="340">
        <v>0.5</v>
      </c>
      <c r="I201" s="325">
        <v>0.2</v>
      </c>
      <c r="J201" s="279">
        <f>+G201/F201</f>
        <v>0.5</v>
      </c>
      <c r="K201" s="279">
        <f t="shared" si="181"/>
        <v>0.5</v>
      </c>
      <c r="L201" s="332"/>
      <c r="M201" s="333">
        <f>+(G201/F201)*E201</f>
        <v>2.5000000000000001E-2</v>
      </c>
      <c r="N201" s="333">
        <f t="shared" si="183"/>
        <v>2.5000000000000001E-2</v>
      </c>
      <c r="O201" s="333"/>
      <c r="P201" s="325">
        <v>0.5</v>
      </c>
      <c r="Q201" s="482">
        <v>0</v>
      </c>
      <c r="R201" s="482">
        <v>0</v>
      </c>
      <c r="S201" s="482">
        <v>0.5</v>
      </c>
      <c r="T201" s="482">
        <v>0</v>
      </c>
      <c r="U201" s="482"/>
      <c r="V201" s="325">
        <f t="shared" si="174"/>
        <v>0.5</v>
      </c>
      <c r="W201" s="325">
        <f t="shared" si="188"/>
        <v>1.05</v>
      </c>
      <c r="X201" s="482">
        <v>0</v>
      </c>
      <c r="Y201" s="482">
        <v>0.05</v>
      </c>
      <c r="Z201" s="325"/>
      <c r="AA201" s="325"/>
      <c r="AB201" s="325">
        <f t="shared" si="184"/>
        <v>0.05</v>
      </c>
      <c r="AC201" s="323">
        <f>+(P201/G201)</f>
        <v>1</v>
      </c>
      <c r="AD201" s="278">
        <f>+V201/H201</f>
        <v>1</v>
      </c>
      <c r="AE201" s="278">
        <f t="shared" si="176"/>
        <v>0.25</v>
      </c>
      <c r="AF201" s="278">
        <f>+AC201*E201</f>
        <v>0.05</v>
      </c>
      <c r="AG201" s="278">
        <f>+AD201*E201</f>
        <v>0.05</v>
      </c>
      <c r="AH201" s="278">
        <f t="shared" si="185"/>
        <v>1.2500000000000001E-2</v>
      </c>
      <c r="AI201" s="278">
        <f>+P201/F201</f>
        <v>0.5</v>
      </c>
      <c r="AJ201" s="278">
        <v>1</v>
      </c>
      <c r="AK201" s="278">
        <v>1</v>
      </c>
      <c r="AL201" s="278">
        <f>+AI201*E201</f>
        <v>2.5000000000000001E-2</v>
      </c>
      <c r="AM201" s="278">
        <f>+AJ201*E201</f>
        <v>0.05</v>
      </c>
      <c r="AN201" s="278">
        <f t="shared" si="187"/>
        <v>0.05</v>
      </c>
      <c r="AO201" s="532" t="s">
        <v>1844</v>
      </c>
      <c r="AP201" s="534" t="s">
        <v>1895</v>
      </c>
      <c r="AQ201" s="534" t="s">
        <v>1986</v>
      </c>
      <c r="AR201" s="534" t="s">
        <v>2009</v>
      </c>
      <c r="AS201" s="558" t="s">
        <v>2107</v>
      </c>
      <c r="AT201" s="558" t="s">
        <v>2139</v>
      </c>
      <c r="AU201" s="756" t="s">
        <v>1859</v>
      </c>
      <c r="AV201" s="558" t="s">
        <v>1887</v>
      </c>
      <c r="AW201" s="756" t="s">
        <v>1859</v>
      </c>
    </row>
    <row r="202" spans="1:49" ht="122.4" customHeight="1" thickBot="1" x14ac:dyDescent="0.45">
      <c r="A202" s="261"/>
      <c r="B202" s="1342" t="s">
        <v>675</v>
      </c>
      <c r="C202" s="1147" t="s">
        <v>676</v>
      </c>
      <c r="D202" s="309" t="s">
        <v>662</v>
      </c>
      <c r="E202" s="269">
        <v>0.15</v>
      </c>
      <c r="F202" s="342">
        <v>8000</v>
      </c>
      <c r="G202" s="340">
        <v>2000</v>
      </c>
      <c r="H202" s="340">
        <v>2000</v>
      </c>
      <c r="I202" s="325">
        <v>3000</v>
      </c>
      <c r="J202" s="330">
        <f>+G202/F202</f>
        <v>0.25</v>
      </c>
      <c r="K202" s="330"/>
      <c r="L202" s="933">
        <f t="shared" si="182"/>
        <v>0.375</v>
      </c>
      <c r="M202" s="333">
        <f>+(G202/F202)*E202</f>
        <v>3.7499999999999999E-2</v>
      </c>
      <c r="N202" s="333"/>
      <c r="O202" s="333"/>
      <c r="P202" s="325">
        <v>1095</v>
      </c>
      <c r="Q202" s="482">
        <v>25</v>
      </c>
      <c r="R202" s="482">
        <v>881</v>
      </c>
      <c r="S202" s="482">
        <v>498</v>
      </c>
      <c r="T202" s="482">
        <v>433</v>
      </c>
      <c r="U202" s="482">
        <f>1094-T202</f>
        <v>661</v>
      </c>
      <c r="V202" s="325">
        <f>+Q202+R202+S202+T202+U202</f>
        <v>2498</v>
      </c>
      <c r="W202" s="325">
        <f t="shared" si="188"/>
        <v>4499</v>
      </c>
      <c r="X202" s="482">
        <v>241</v>
      </c>
      <c r="Y202" s="482">
        <v>665</v>
      </c>
      <c r="Z202" s="325"/>
      <c r="AA202" s="325"/>
      <c r="AB202" s="325">
        <f t="shared" si="184"/>
        <v>906</v>
      </c>
      <c r="AC202" s="343">
        <v>1</v>
      </c>
      <c r="AD202" s="278">
        <v>1</v>
      </c>
      <c r="AE202" s="278">
        <f>+AB202/I202</f>
        <v>0.30199999999999999</v>
      </c>
      <c r="AF202" s="278">
        <f>+AC202*E202</f>
        <v>0.15</v>
      </c>
      <c r="AG202" s="278"/>
      <c r="AH202" s="278">
        <f t="shared" si="185"/>
        <v>4.53E-2</v>
      </c>
      <c r="AI202" s="278">
        <f>+P202/F202</f>
        <v>0.136875</v>
      </c>
      <c r="AJ202" s="278">
        <v>0.449125</v>
      </c>
      <c r="AK202" s="278">
        <f t="shared" si="186"/>
        <v>0.56237499999999996</v>
      </c>
      <c r="AL202" s="278">
        <f>+AI202*E202</f>
        <v>2.0531249999999997E-2</v>
      </c>
      <c r="AM202" s="278">
        <f>+AJ202*E202</f>
        <v>6.7368749999999991E-2</v>
      </c>
      <c r="AN202" s="278">
        <f t="shared" si="187"/>
        <v>8.4356249999999994E-2</v>
      </c>
      <c r="AO202" s="532" t="s">
        <v>1844</v>
      </c>
      <c r="AP202" s="599" t="s">
        <v>1926</v>
      </c>
      <c r="AQ202" s="534" t="s">
        <v>1986</v>
      </c>
      <c r="AR202" s="534" t="s">
        <v>2009</v>
      </c>
      <c r="AS202" s="558" t="s">
        <v>2107</v>
      </c>
      <c r="AT202" s="558" t="s">
        <v>2139</v>
      </c>
      <c r="AU202" s="756" t="s">
        <v>1859</v>
      </c>
      <c r="AV202" s="558" t="s">
        <v>1887</v>
      </c>
      <c r="AW202" s="756" t="s">
        <v>1859</v>
      </c>
    </row>
    <row r="203" spans="1:49" ht="122.4" customHeight="1" thickBot="1" x14ac:dyDescent="0.55000000000000004">
      <c r="A203" s="261"/>
      <c r="B203" s="1339" t="s">
        <v>1679</v>
      </c>
      <c r="C203" s="1340"/>
      <c r="D203" s="309"/>
      <c r="E203" s="344">
        <v>0.25</v>
      </c>
      <c r="F203" s="345"/>
      <c r="G203" s="340"/>
      <c r="H203" s="340"/>
      <c r="I203" s="325"/>
      <c r="J203" s="346">
        <f>+AVERAGE(J204:J205)</f>
        <v>0.1554520358868185</v>
      </c>
      <c r="K203" s="346">
        <f>+AVERAGE(K204:K205)</f>
        <v>0.28178053830227745</v>
      </c>
      <c r="L203" s="346">
        <f>+AVERAGE(L204:L205)</f>
        <v>0.12077294685990338</v>
      </c>
      <c r="M203" s="268">
        <f>+M204+M205</f>
        <v>0.15741890959282262</v>
      </c>
      <c r="N203" s="268">
        <f>+N204+N205</f>
        <v>0.28128364389233956</v>
      </c>
      <c r="O203" s="268"/>
      <c r="P203" s="290"/>
      <c r="Q203" s="321"/>
      <c r="R203" s="321"/>
      <c r="S203" s="321"/>
      <c r="T203" s="321"/>
      <c r="U203" s="818"/>
      <c r="V203" s="321"/>
      <c r="W203" s="321"/>
      <c r="X203" s="321"/>
      <c r="Y203" s="321"/>
      <c r="Z203" s="321"/>
      <c r="AA203" s="321"/>
      <c r="AB203" s="321"/>
      <c r="AC203" s="481">
        <f>+AVERAGE(AC204:AC206)</f>
        <v>1</v>
      </c>
      <c r="AD203" s="307">
        <f>+AVERAGE(AD204:AD205)</f>
        <v>1</v>
      </c>
      <c r="AE203" s="307">
        <f>+AVERAGE(AE204:AE205)</f>
        <v>1</v>
      </c>
      <c r="AF203" s="307">
        <f>+(AF204+AF205)*E203</f>
        <v>0.25</v>
      </c>
      <c r="AG203" s="307">
        <f>+(AG204+AG205)*E203</f>
        <v>0.25</v>
      </c>
      <c r="AH203" s="307">
        <f>+(AH204+AH205)*E203</f>
        <v>0.25</v>
      </c>
      <c r="AI203" s="268">
        <f>+AVERAGE(AI204:AI205)</f>
        <v>0.43019185645272601</v>
      </c>
      <c r="AJ203" s="268">
        <v>0.84575914423740506</v>
      </c>
      <c r="AK203" s="268">
        <f>+AVERAGE(AK204:AK205)</f>
        <v>0.98760869565217391</v>
      </c>
      <c r="AL203" s="268">
        <f>+(AL204+AL205)*E203</f>
        <v>0.11038109040717736</v>
      </c>
      <c r="AM203" s="268">
        <f>+(AM204+AM205)</f>
        <v>0.87477984817115262</v>
      </c>
      <c r="AN203" s="268">
        <f>+(AN204+AN205)</f>
        <v>0.99504347826086958</v>
      </c>
      <c r="AO203" s="639"/>
      <c r="AP203" s="267"/>
      <c r="AQ203" s="267"/>
      <c r="AR203" s="267"/>
      <c r="AS203" s="267"/>
      <c r="AT203" s="755"/>
      <c r="AU203" s="752"/>
      <c r="AV203" s="755"/>
    </row>
    <row r="204" spans="1:49" ht="122.4" customHeight="1" thickBot="1" x14ac:dyDescent="0.45">
      <c r="A204" s="261"/>
      <c r="B204" s="1342" t="s">
        <v>677</v>
      </c>
      <c r="C204" s="1147" t="s">
        <v>678</v>
      </c>
      <c r="D204" s="309" t="s">
        <v>662</v>
      </c>
      <c r="E204" s="269">
        <v>0.8</v>
      </c>
      <c r="F204" s="345">
        <v>63000</v>
      </c>
      <c r="G204" s="340">
        <v>10000</v>
      </c>
      <c r="H204" s="340">
        <v>17700</v>
      </c>
      <c r="I204" s="325">
        <v>7000</v>
      </c>
      <c r="J204" s="348">
        <f>+G204/F204</f>
        <v>0.15873015873015872</v>
      </c>
      <c r="K204" s="348">
        <f t="shared" ref="K204:K205" si="189">+H204/F204</f>
        <v>0.28095238095238095</v>
      </c>
      <c r="L204" s="947">
        <f t="shared" ref="L204:L205" si="190">+I204/F204</f>
        <v>0.1111111111111111</v>
      </c>
      <c r="M204" s="333">
        <f>+(G204/F204)*E204</f>
        <v>0.12698412698412698</v>
      </c>
      <c r="N204" s="333">
        <f t="shared" ref="N204:N205" si="191">+(H204/F204)*E204</f>
        <v>0.22476190476190477</v>
      </c>
      <c r="O204" s="333"/>
      <c r="P204" s="325">
        <v>28292</v>
      </c>
      <c r="Q204" s="482">
        <v>1495</v>
      </c>
      <c r="R204" s="482">
        <v>11116</v>
      </c>
      <c r="S204" s="482">
        <v>4638</v>
      </c>
      <c r="T204" s="482">
        <v>3739</v>
      </c>
      <c r="U204" s="482">
        <v>7050</v>
      </c>
      <c r="V204" s="325">
        <f t="shared" si="174"/>
        <v>28038</v>
      </c>
      <c r="W204" s="325">
        <f>+V204+P204+AB204</f>
        <v>72635</v>
      </c>
      <c r="X204" s="482">
        <v>1701</v>
      </c>
      <c r="Y204" s="482">
        <v>14604</v>
      </c>
      <c r="Z204" s="325"/>
      <c r="AA204" s="325"/>
      <c r="AB204" s="325">
        <f t="shared" ref="AB204:AB205" si="192">+X204+Y204+Z204+AA204</f>
        <v>16305</v>
      </c>
      <c r="AC204" s="349">
        <v>1</v>
      </c>
      <c r="AD204" s="278">
        <v>1</v>
      </c>
      <c r="AE204" s="278">
        <v>1</v>
      </c>
      <c r="AF204" s="278">
        <f>+AC204*E204</f>
        <v>0.8</v>
      </c>
      <c r="AG204" s="278">
        <f>+AD204*E204</f>
        <v>0.8</v>
      </c>
      <c r="AH204" s="278">
        <f>+AE204*E204</f>
        <v>0.8</v>
      </c>
      <c r="AI204" s="278">
        <f>+P204/F204</f>
        <v>0.44907936507936508</v>
      </c>
      <c r="AJ204" s="278">
        <v>0.8941269841269841</v>
      </c>
      <c r="AK204" s="278">
        <v>1</v>
      </c>
      <c r="AL204" s="278">
        <f>+AI204*E204</f>
        <v>0.35926349206349206</v>
      </c>
      <c r="AM204" s="278">
        <f>+AJ204*E204</f>
        <v>0.71530158730158733</v>
      </c>
      <c r="AN204" s="278">
        <f t="shared" ref="AN204:AN205" si="193">+AK204*E204</f>
        <v>0.8</v>
      </c>
      <c r="AO204" s="532" t="s">
        <v>1844</v>
      </c>
      <c r="AP204" s="534" t="s">
        <v>1895</v>
      </c>
      <c r="AQ204" s="534" t="s">
        <v>1986</v>
      </c>
      <c r="AR204" s="534" t="s">
        <v>2009</v>
      </c>
      <c r="AS204" s="558" t="s">
        <v>2107</v>
      </c>
      <c r="AT204" s="755"/>
      <c r="AU204" s="558" t="s">
        <v>2196</v>
      </c>
      <c r="AV204" s="558" t="s">
        <v>1887</v>
      </c>
      <c r="AW204" s="558" t="s">
        <v>2294</v>
      </c>
    </row>
    <row r="205" spans="1:49" ht="122.4" customHeight="1" thickBot="1" x14ac:dyDescent="0.45">
      <c r="A205" s="261"/>
      <c r="B205" s="1361" t="s">
        <v>679</v>
      </c>
      <c r="C205" s="1362" t="s">
        <v>680</v>
      </c>
      <c r="D205" s="592" t="s">
        <v>662</v>
      </c>
      <c r="E205" s="269">
        <v>0.2</v>
      </c>
      <c r="F205" s="345">
        <v>2300</v>
      </c>
      <c r="G205" s="340">
        <v>350</v>
      </c>
      <c r="H205" s="340">
        <v>650</v>
      </c>
      <c r="I205" s="325">
        <v>300</v>
      </c>
      <c r="J205" s="348">
        <f>+G205/F205</f>
        <v>0.15217391304347827</v>
      </c>
      <c r="K205" s="348">
        <f t="shared" si="189"/>
        <v>0.28260869565217389</v>
      </c>
      <c r="L205" s="947">
        <f t="shared" si="190"/>
        <v>0.13043478260869565</v>
      </c>
      <c r="M205" s="333">
        <f>+(G205/F205)*E205</f>
        <v>3.0434782608695657E-2</v>
      </c>
      <c r="N205" s="333">
        <f t="shared" si="191"/>
        <v>5.6521739130434782E-2</v>
      </c>
      <c r="O205" s="333"/>
      <c r="P205" s="325">
        <v>946</v>
      </c>
      <c r="Q205" s="482">
        <v>149</v>
      </c>
      <c r="R205" s="482">
        <v>157</v>
      </c>
      <c r="S205" s="482">
        <v>461</v>
      </c>
      <c r="T205" s="482">
        <v>29</v>
      </c>
      <c r="U205" s="482">
        <f>62+30</f>
        <v>92</v>
      </c>
      <c r="V205" s="325">
        <f t="shared" si="174"/>
        <v>888</v>
      </c>
      <c r="W205" s="325">
        <f>+V205+P205+AB205</f>
        <v>2243</v>
      </c>
      <c r="X205" s="482">
        <v>174</v>
      </c>
      <c r="Y205" s="482">
        <v>235</v>
      </c>
      <c r="Z205" s="325"/>
      <c r="AA205" s="325"/>
      <c r="AB205" s="325">
        <f t="shared" si="192"/>
        <v>409</v>
      </c>
      <c r="AC205" s="349">
        <v>1</v>
      </c>
      <c r="AD205" s="278">
        <v>1</v>
      </c>
      <c r="AE205" s="278">
        <v>1</v>
      </c>
      <c r="AF205" s="278">
        <f>+AC205*E205</f>
        <v>0.2</v>
      </c>
      <c r="AG205" s="278">
        <f>+AD205*E205</f>
        <v>0.2</v>
      </c>
      <c r="AH205" s="278">
        <f t="shared" ref="AH205" si="194">+AE205*E205</f>
        <v>0.2</v>
      </c>
      <c r="AI205" s="278">
        <f>+P205/F205</f>
        <v>0.41130434782608694</v>
      </c>
      <c r="AJ205" s="278">
        <v>0.79739130434782612</v>
      </c>
      <c r="AK205" s="278">
        <f t="shared" ref="AK205" si="195">+W205/F205</f>
        <v>0.97521739130434781</v>
      </c>
      <c r="AL205" s="278">
        <f>+AI205*E205</f>
        <v>8.2260869565217387E-2</v>
      </c>
      <c r="AM205" s="278">
        <f>+AJ205*E205</f>
        <v>0.15947826086956524</v>
      </c>
      <c r="AN205" s="278">
        <f t="shared" si="193"/>
        <v>0.19504347826086957</v>
      </c>
      <c r="AO205" s="532" t="s">
        <v>1844</v>
      </c>
      <c r="AP205" s="534" t="s">
        <v>1895</v>
      </c>
      <c r="AQ205" s="534" t="s">
        <v>1986</v>
      </c>
      <c r="AR205" s="534" t="s">
        <v>2009</v>
      </c>
      <c r="AS205" s="558" t="s">
        <v>2107</v>
      </c>
      <c r="AT205" s="755"/>
      <c r="AU205" s="558" t="s">
        <v>2196</v>
      </c>
      <c r="AV205" s="558" t="s">
        <v>1887</v>
      </c>
      <c r="AW205" s="558" t="s">
        <v>2294</v>
      </c>
    </row>
    <row r="206" spans="1:49" ht="122.4" customHeight="1" thickBot="1" x14ac:dyDescent="0.45">
      <c r="A206" s="258"/>
      <c r="B206" s="1353"/>
      <c r="C206" s="1353"/>
      <c r="D206" s="593"/>
      <c r="E206" s="260"/>
      <c r="F206" s="350"/>
      <c r="G206" s="260"/>
      <c r="H206" s="260"/>
      <c r="I206" s="260"/>
      <c r="J206" s="260"/>
      <c r="K206" s="260"/>
      <c r="L206" s="260"/>
      <c r="M206" s="260"/>
      <c r="N206" s="260"/>
      <c r="O206" s="260"/>
      <c r="P206" s="473"/>
      <c r="Q206" s="260"/>
      <c r="R206" s="260"/>
      <c r="S206" s="260"/>
      <c r="T206" s="260"/>
      <c r="U206" s="260"/>
      <c r="V206" s="260"/>
      <c r="W206" s="260"/>
      <c r="X206" s="260"/>
      <c r="Y206" s="260"/>
      <c r="Z206" s="260"/>
      <c r="AA206" s="260"/>
      <c r="AB206" s="260"/>
      <c r="AC206" s="260"/>
      <c r="AD206" s="260"/>
      <c r="AE206" s="260"/>
      <c r="AF206" s="260"/>
      <c r="AG206" s="260"/>
      <c r="AH206" s="260"/>
      <c r="AI206" s="260"/>
      <c r="AJ206" s="260"/>
      <c r="AK206" s="260"/>
      <c r="AL206" s="260"/>
      <c r="AM206" s="260"/>
      <c r="AN206" s="260"/>
      <c r="AO206" s="260"/>
      <c r="AP206" s="260"/>
      <c r="AQ206" s="260"/>
      <c r="AR206" s="260"/>
      <c r="AS206" s="260"/>
    </row>
    <row r="207" spans="1:49" ht="122.4" customHeight="1" thickBot="1" x14ac:dyDescent="0.45">
      <c r="A207" s="258"/>
      <c r="B207" s="1298"/>
      <c r="C207" s="1298"/>
      <c r="D207" s="594"/>
      <c r="E207" s="258"/>
      <c r="F207" s="351"/>
      <c r="G207" s="258"/>
      <c r="H207" s="258"/>
      <c r="I207" s="258"/>
      <c r="J207" s="258"/>
      <c r="K207" s="258"/>
      <c r="L207" s="258"/>
      <c r="M207" s="258"/>
      <c r="N207" s="258"/>
      <c r="O207" s="258"/>
      <c r="P207" s="474"/>
      <c r="Q207" s="258"/>
      <c r="R207" s="258"/>
      <c r="S207" s="258"/>
      <c r="T207" s="258"/>
      <c r="U207" s="258"/>
      <c r="V207" s="258"/>
      <c r="W207" s="258"/>
      <c r="X207" s="258"/>
      <c r="Y207" s="258"/>
      <c r="Z207" s="258"/>
      <c r="AA207" s="258"/>
      <c r="AB207" s="258"/>
      <c r="AC207" s="258"/>
      <c r="AD207" s="258"/>
      <c r="AE207" s="258"/>
      <c r="AF207" s="258"/>
      <c r="AG207" s="258"/>
      <c r="AH207" s="258"/>
      <c r="AI207" s="258"/>
      <c r="AJ207" s="258"/>
      <c r="AK207" s="258"/>
      <c r="AL207" s="258"/>
      <c r="AM207" s="258"/>
      <c r="AN207" s="258"/>
      <c r="AO207" s="258"/>
      <c r="AP207" s="258"/>
      <c r="AQ207" s="258"/>
      <c r="AR207" s="258"/>
      <c r="AS207" s="258"/>
    </row>
    <row r="208" spans="1:49" ht="122.4" customHeight="1" thickBot="1" x14ac:dyDescent="0.45">
      <c r="A208" s="258"/>
      <c r="B208" s="1298"/>
      <c r="C208" s="1298"/>
      <c r="D208" s="594"/>
      <c r="E208" s="258"/>
      <c r="F208" s="351"/>
      <c r="G208" s="258"/>
      <c r="H208" s="258"/>
      <c r="I208" s="258"/>
      <c r="J208" s="258"/>
      <c r="K208" s="258"/>
      <c r="L208" s="258"/>
      <c r="M208" s="258"/>
      <c r="N208" s="258"/>
      <c r="O208" s="258"/>
      <c r="P208" s="474"/>
      <c r="Q208" s="258"/>
      <c r="R208" s="258"/>
      <c r="S208" s="258"/>
      <c r="T208" s="258"/>
      <c r="U208" s="258"/>
      <c r="V208" s="258"/>
      <c r="W208" s="258"/>
      <c r="X208" s="258"/>
      <c r="Y208" s="258"/>
      <c r="Z208" s="258"/>
      <c r="AA208" s="258"/>
      <c r="AB208" s="258"/>
      <c r="AC208" s="258"/>
      <c r="AD208" s="258"/>
      <c r="AE208" s="258"/>
      <c r="AF208" s="258"/>
      <c r="AG208" s="258"/>
      <c r="AH208" s="258"/>
      <c r="AI208" s="258"/>
      <c r="AJ208" s="258"/>
      <c r="AK208" s="258"/>
      <c r="AL208" s="258"/>
      <c r="AM208" s="258"/>
      <c r="AN208" s="258"/>
      <c r="AO208" s="258"/>
      <c r="AP208" s="258"/>
      <c r="AQ208" s="258"/>
      <c r="AR208" s="258"/>
      <c r="AS208" s="258"/>
    </row>
    <row r="209" spans="1:45" ht="122.4" customHeight="1" thickBot="1" x14ac:dyDescent="0.45">
      <c r="A209" s="258"/>
      <c r="B209" s="1298"/>
      <c r="C209" s="1298"/>
      <c r="D209" s="594"/>
      <c r="E209" s="258"/>
      <c r="F209" s="351"/>
      <c r="G209" s="258"/>
      <c r="H209" s="258"/>
      <c r="I209" s="258"/>
      <c r="J209" s="258"/>
      <c r="K209" s="258"/>
      <c r="L209" s="258"/>
      <c r="M209" s="258"/>
      <c r="N209" s="258"/>
      <c r="O209" s="258"/>
      <c r="P209" s="474"/>
      <c r="Q209" s="258"/>
      <c r="R209" s="258"/>
      <c r="S209" s="258"/>
      <c r="T209" s="258"/>
      <c r="U209" s="258"/>
      <c r="V209" s="258"/>
      <c r="W209" s="258"/>
      <c r="X209" s="258"/>
      <c r="Y209" s="258"/>
      <c r="Z209" s="258"/>
      <c r="AA209" s="258"/>
      <c r="AB209" s="258"/>
      <c r="AC209" s="258"/>
      <c r="AD209" s="258"/>
      <c r="AE209" s="258"/>
      <c r="AF209" s="258"/>
      <c r="AG209" s="258"/>
      <c r="AH209" s="258"/>
      <c r="AI209" s="258"/>
      <c r="AJ209" s="258"/>
      <c r="AK209" s="258"/>
      <c r="AL209" s="258"/>
      <c r="AM209" s="258"/>
      <c r="AN209" s="258"/>
      <c r="AO209" s="258"/>
      <c r="AP209" s="258"/>
      <c r="AQ209" s="258"/>
      <c r="AR209" s="258"/>
      <c r="AS209" s="258"/>
    </row>
    <row r="210" spans="1:45" ht="122.4" customHeight="1" thickBot="1" x14ac:dyDescent="0.45">
      <c r="A210" s="258"/>
      <c r="B210" s="1298"/>
      <c r="C210" s="1298"/>
      <c r="D210" s="594"/>
      <c r="E210" s="258"/>
      <c r="F210" s="351"/>
      <c r="G210" s="258"/>
      <c r="H210" s="258"/>
      <c r="I210" s="258"/>
      <c r="J210" s="258"/>
      <c r="K210" s="258"/>
      <c r="L210" s="258"/>
      <c r="M210" s="258"/>
      <c r="N210" s="258"/>
      <c r="O210" s="258"/>
      <c r="P210" s="474"/>
      <c r="Q210" s="258"/>
      <c r="R210" s="258"/>
      <c r="S210" s="258"/>
      <c r="T210" s="258"/>
      <c r="U210" s="258"/>
      <c r="V210" s="258"/>
      <c r="W210" s="258"/>
      <c r="X210" s="258"/>
      <c r="Y210" s="258"/>
      <c r="Z210" s="258"/>
      <c r="AA210" s="258"/>
      <c r="AB210" s="258"/>
      <c r="AC210" s="258"/>
      <c r="AD210" s="258"/>
      <c r="AE210" s="258"/>
      <c r="AF210" s="258"/>
      <c r="AG210" s="258"/>
      <c r="AH210" s="258"/>
      <c r="AI210" s="258"/>
      <c r="AJ210" s="258"/>
      <c r="AK210" s="258"/>
      <c r="AL210" s="258"/>
      <c r="AM210" s="258"/>
      <c r="AN210" s="258"/>
      <c r="AO210" s="258"/>
      <c r="AP210" s="258"/>
      <c r="AQ210" s="258"/>
      <c r="AR210" s="258"/>
      <c r="AS210" s="258"/>
    </row>
    <row r="211" spans="1:45" ht="122.4" customHeight="1" thickBot="1" x14ac:dyDescent="0.45">
      <c r="A211" s="258"/>
      <c r="B211" s="1298"/>
      <c r="C211" s="1298"/>
      <c r="D211" s="594"/>
      <c r="E211" s="258"/>
      <c r="F211" s="351"/>
      <c r="G211" s="258"/>
      <c r="H211" s="258"/>
      <c r="I211" s="258"/>
      <c r="J211" s="258"/>
      <c r="K211" s="258"/>
      <c r="L211" s="258"/>
      <c r="M211" s="258"/>
      <c r="N211" s="258"/>
      <c r="O211" s="258"/>
      <c r="P211" s="474"/>
      <c r="Q211" s="258"/>
      <c r="R211" s="258"/>
      <c r="S211" s="258"/>
      <c r="T211" s="258"/>
      <c r="U211" s="258"/>
      <c r="V211" s="258"/>
      <c r="W211" s="258"/>
      <c r="X211" s="258"/>
      <c r="Y211" s="258"/>
      <c r="Z211" s="258"/>
      <c r="AA211" s="258"/>
      <c r="AB211" s="258"/>
      <c r="AC211" s="258"/>
      <c r="AD211" s="258"/>
      <c r="AE211" s="258"/>
      <c r="AF211" s="258"/>
      <c r="AG211" s="258"/>
      <c r="AH211" s="258"/>
      <c r="AI211" s="258"/>
      <c r="AJ211" s="258"/>
      <c r="AK211" s="258"/>
      <c r="AL211" s="258"/>
      <c r="AM211" s="258"/>
      <c r="AN211" s="258"/>
      <c r="AO211" s="258"/>
      <c r="AP211" s="258"/>
      <c r="AQ211" s="258"/>
      <c r="AR211" s="258"/>
      <c r="AS211" s="258"/>
    </row>
    <row r="212" spans="1:45" ht="122.4" customHeight="1" thickBot="1" x14ac:dyDescent="0.45">
      <c r="A212" s="258"/>
      <c r="B212" s="1298"/>
      <c r="C212" s="1298"/>
      <c r="D212" s="594"/>
      <c r="E212" s="258"/>
      <c r="F212" s="351"/>
      <c r="G212" s="258"/>
      <c r="H212" s="258"/>
      <c r="I212" s="258"/>
      <c r="J212" s="258"/>
      <c r="K212" s="258"/>
      <c r="L212" s="258"/>
      <c r="M212" s="258"/>
      <c r="N212" s="258"/>
      <c r="O212" s="258"/>
      <c r="P212" s="474"/>
      <c r="Q212" s="258"/>
      <c r="R212" s="258"/>
      <c r="S212" s="258"/>
      <c r="T212" s="258"/>
      <c r="U212" s="258"/>
      <c r="V212" s="258"/>
      <c r="W212" s="258"/>
      <c r="X212" s="258"/>
      <c r="Y212" s="258"/>
      <c r="Z212" s="258"/>
      <c r="AA212" s="258"/>
      <c r="AB212" s="258"/>
      <c r="AC212" s="258"/>
      <c r="AD212" s="258"/>
      <c r="AE212" s="258"/>
      <c r="AF212" s="258"/>
      <c r="AG212" s="258"/>
      <c r="AH212" s="258"/>
      <c r="AI212" s="258"/>
      <c r="AJ212" s="258"/>
      <c r="AK212" s="258"/>
      <c r="AL212" s="258"/>
      <c r="AM212" s="258"/>
      <c r="AN212" s="258"/>
      <c r="AO212" s="258"/>
      <c r="AP212" s="258"/>
      <c r="AQ212" s="258"/>
      <c r="AR212" s="258"/>
      <c r="AS212" s="258"/>
    </row>
    <row r="213" spans="1:45" ht="122.4" customHeight="1" thickBot="1" x14ac:dyDescent="0.45">
      <c r="A213" s="258"/>
      <c r="B213" s="1298"/>
      <c r="C213" s="1298"/>
      <c r="D213" s="594"/>
      <c r="E213" s="258"/>
      <c r="F213" s="351"/>
      <c r="G213" s="258"/>
      <c r="H213" s="258"/>
      <c r="I213" s="258"/>
      <c r="J213" s="258"/>
      <c r="K213" s="258"/>
      <c r="L213" s="258"/>
      <c r="M213" s="258"/>
      <c r="N213" s="258"/>
      <c r="O213" s="258"/>
      <c r="P213" s="474"/>
      <c r="Q213" s="258"/>
      <c r="R213" s="258"/>
      <c r="S213" s="258"/>
      <c r="T213" s="258"/>
      <c r="U213" s="258"/>
      <c r="V213" s="258"/>
      <c r="W213" s="258"/>
      <c r="X213" s="258"/>
      <c r="Y213" s="258"/>
      <c r="Z213" s="258"/>
      <c r="AA213" s="258"/>
      <c r="AB213" s="258"/>
      <c r="AC213" s="258"/>
      <c r="AD213" s="258"/>
      <c r="AE213" s="258"/>
      <c r="AF213" s="258"/>
      <c r="AG213" s="258"/>
      <c r="AH213" s="258"/>
      <c r="AI213" s="258"/>
      <c r="AJ213" s="258"/>
      <c r="AK213" s="258"/>
      <c r="AL213" s="258"/>
      <c r="AM213" s="258"/>
      <c r="AN213" s="258"/>
      <c r="AO213" s="258"/>
      <c r="AP213" s="258"/>
      <c r="AQ213" s="258"/>
      <c r="AR213" s="258"/>
      <c r="AS213" s="258"/>
    </row>
    <row r="214" spans="1:45" ht="122.4" customHeight="1" thickBot="1" x14ac:dyDescent="0.45">
      <c r="A214" s="258"/>
      <c r="B214" s="1298"/>
      <c r="C214" s="1298"/>
      <c r="D214" s="594"/>
      <c r="E214" s="258"/>
      <c r="F214" s="351"/>
      <c r="G214" s="258"/>
      <c r="H214" s="258"/>
      <c r="I214" s="258"/>
      <c r="J214" s="258"/>
      <c r="K214" s="258"/>
      <c r="L214" s="258"/>
      <c r="M214" s="258"/>
      <c r="N214" s="258"/>
      <c r="O214" s="258"/>
      <c r="P214" s="474"/>
      <c r="Q214" s="258"/>
      <c r="R214" s="258"/>
      <c r="S214" s="258"/>
      <c r="T214" s="258"/>
      <c r="U214" s="258"/>
      <c r="V214" s="258"/>
      <c r="W214" s="258"/>
      <c r="X214" s="258"/>
      <c r="Y214" s="258"/>
      <c r="Z214" s="258"/>
      <c r="AA214" s="258"/>
      <c r="AB214" s="258"/>
      <c r="AC214" s="258"/>
      <c r="AD214" s="258"/>
      <c r="AE214" s="258"/>
      <c r="AF214" s="258"/>
      <c r="AG214" s="258"/>
      <c r="AH214" s="258"/>
      <c r="AI214" s="258"/>
      <c r="AJ214" s="258"/>
      <c r="AK214" s="258"/>
      <c r="AL214" s="258"/>
      <c r="AM214" s="258"/>
      <c r="AN214" s="258"/>
      <c r="AO214" s="258"/>
      <c r="AP214" s="258"/>
      <c r="AQ214" s="258"/>
      <c r="AR214" s="258"/>
      <c r="AS214" s="258"/>
    </row>
    <row r="215" spans="1:45" ht="122.4" customHeight="1" thickBot="1" x14ac:dyDescent="0.45">
      <c r="A215" s="258"/>
      <c r="B215" s="1298"/>
      <c r="C215" s="1298"/>
      <c r="D215" s="594"/>
      <c r="E215" s="258"/>
      <c r="F215" s="351"/>
      <c r="G215" s="258"/>
      <c r="H215" s="258"/>
      <c r="I215" s="258"/>
      <c r="J215" s="258"/>
      <c r="K215" s="258"/>
      <c r="L215" s="258"/>
      <c r="M215" s="258"/>
      <c r="N215" s="258"/>
      <c r="O215" s="258"/>
      <c r="P215" s="474"/>
      <c r="Q215" s="258"/>
      <c r="R215" s="258"/>
      <c r="S215" s="258"/>
      <c r="T215" s="258"/>
      <c r="U215" s="258"/>
      <c r="V215" s="258"/>
      <c r="W215" s="258"/>
      <c r="X215" s="258"/>
      <c r="Y215" s="258"/>
      <c r="Z215" s="258"/>
      <c r="AA215" s="258"/>
      <c r="AB215" s="258"/>
      <c r="AC215" s="258"/>
      <c r="AD215" s="258"/>
      <c r="AE215" s="258"/>
      <c r="AF215" s="258"/>
      <c r="AG215" s="258"/>
      <c r="AH215" s="258"/>
      <c r="AI215" s="258"/>
      <c r="AJ215" s="258"/>
      <c r="AK215" s="258"/>
      <c r="AL215" s="258"/>
      <c r="AM215" s="258"/>
      <c r="AN215" s="258"/>
      <c r="AO215" s="258"/>
      <c r="AP215" s="258"/>
      <c r="AQ215" s="258"/>
      <c r="AR215" s="258"/>
      <c r="AS215" s="258"/>
    </row>
    <row r="216" spans="1:45" ht="122.4" customHeight="1" thickBot="1" x14ac:dyDescent="0.45">
      <c r="A216" s="258"/>
      <c r="B216" s="1298"/>
      <c r="C216" s="1298"/>
      <c r="D216" s="594"/>
      <c r="E216" s="258"/>
      <c r="F216" s="351"/>
      <c r="G216" s="258"/>
      <c r="H216" s="258"/>
      <c r="I216" s="258"/>
      <c r="J216" s="258"/>
      <c r="K216" s="258"/>
      <c r="L216" s="258"/>
      <c r="M216" s="258"/>
      <c r="N216" s="258"/>
      <c r="O216" s="258"/>
      <c r="P216" s="474"/>
      <c r="Q216" s="258"/>
      <c r="R216" s="258"/>
      <c r="S216" s="258"/>
      <c r="T216" s="258"/>
      <c r="U216" s="258"/>
      <c r="V216" s="258"/>
      <c r="W216" s="258"/>
      <c r="X216" s="258"/>
      <c r="Y216" s="258"/>
      <c r="Z216" s="258"/>
      <c r="AA216" s="258"/>
      <c r="AB216" s="258"/>
      <c r="AC216" s="258"/>
      <c r="AD216" s="258"/>
      <c r="AE216" s="258"/>
      <c r="AF216" s="258"/>
      <c r="AG216" s="258"/>
      <c r="AH216" s="258"/>
      <c r="AI216" s="258"/>
      <c r="AJ216" s="258"/>
      <c r="AK216" s="258"/>
      <c r="AL216" s="258"/>
      <c r="AM216" s="258"/>
      <c r="AN216" s="258"/>
      <c r="AO216" s="258"/>
      <c r="AP216" s="258"/>
      <c r="AQ216" s="258"/>
      <c r="AR216" s="258"/>
      <c r="AS216" s="258"/>
    </row>
    <row r="217" spans="1:45" ht="122.4" customHeight="1" thickBot="1" x14ac:dyDescent="0.45">
      <c r="A217" s="258"/>
      <c r="B217" s="1298"/>
      <c r="C217" s="1298"/>
      <c r="D217" s="594"/>
      <c r="E217" s="258"/>
      <c r="F217" s="351"/>
      <c r="G217" s="258"/>
      <c r="H217" s="258"/>
      <c r="I217" s="258"/>
      <c r="J217" s="258"/>
      <c r="K217" s="258"/>
      <c r="L217" s="258"/>
      <c r="M217" s="258"/>
      <c r="N217" s="258"/>
      <c r="O217" s="258"/>
      <c r="P217" s="474"/>
      <c r="Q217" s="258"/>
      <c r="R217" s="258"/>
      <c r="S217" s="258"/>
      <c r="T217" s="258"/>
      <c r="U217" s="258"/>
      <c r="V217" s="258"/>
      <c r="W217" s="258"/>
      <c r="X217" s="258"/>
      <c r="Y217" s="258"/>
      <c r="Z217" s="258"/>
      <c r="AA217" s="258"/>
      <c r="AB217" s="258"/>
      <c r="AC217" s="258"/>
      <c r="AD217" s="258"/>
      <c r="AE217" s="258"/>
      <c r="AF217" s="258"/>
      <c r="AG217" s="258"/>
      <c r="AH217" s="258"/>
      <c r="AI217" s="258"/>
      <c r="AJ217" s="258"/>
      <c r="AK217" s="258"/>
      <c r="AL217" s="258"/>
      <c r="AM217" s="258"/>
      <c r="AN217" s="258"/>
      <c r="AO217" s="258"/>
      <c r="AP217" s="258"/>
      <c r="AQ217" s="258"/>
      <c r="AR217" s="258"/>
      <c r="AS217" s="258"/>
    </row>
    <row r="218" spans="1:45" ht="122.4" customHeight="1" thickBot="1" x14ac:dyDescent="0.45">
      <c r="A218" s="258"/>
      <c r="B218" s="1298"/>
      <c r="C218" s="1298"/>
      <c r="D218" s="594"/>
      <c r="E218" s="258"/>
      <c r="F218" s="351"/>
      <c r="G218" s="258"/>
      <c r="H218" s="258"/>
      <c r="I218" s="258"/>
      <c r="J218" s="258"/>
      <c r="K218" s="258"/>
      <c r="L218" s="258"/>
      <c r="M218" s="258"/>
      <c r="N218" s="258"/>
      <c r="O218" s="258"/>
      <c r="P218" s="474"/>
      <c r="Q218" s="258"/>
      <c r="R218" s="258"/>
      <c r="S218" s="258"/>
      <c r="T218" s="258"/>
      <c r="U218" s="258"/>
      <c r="V218" s="258"/>
      <c r="W218" s="258"/>
      <c r="X218" s="258"/>
      <c r="Y218" s="258"/>
      <c r="Z218" s="258"/>
      <c r="AA218" s="258"/>
      <c r="AB218" s="258"/>
      <c r="AC218" s="258"/>
      <c r="AD218" s="258"/>
      <c r="AE218" s="258"/>
      <c r="AF218" s="258"/>
      <c r="AG218" s="258"/>
      <c r="AH218" s="258"/>
      <c r="AI218" s="258"/>
      <c r="AJ218" s="258"/>
      <c r="AK218" s="258"/>
      <c r="AL218" s="258"/>
      <c r="AM218" s="258"/>
      <c r="AN218" s="258"/>
      <c r="AO218" s="258"/>
      <c r="AP218" s="258"/>
      <c r="AQ218" s="258"/>
      <c r="AR218" s="258"/>
      <c r="AS218" s="258"/>
    </row>
    <row r="219" spans="1:45" ht="122.4" customHeight="1" thickBot="1" x14ac:dyDescent="0.45">
      <c r="A219" s="258"/>
      <c r="B219" s="1298"/>
      <c r="C219" s="1298"/>
      <c r="D219" s="594"/>
      <c r="E219" s="258"/>
      <c r="F219" s="351"/>
      <c r="G219" s="258"/>
      <c r="H219" s="258"/>
      <c r="I219" s="258"/>
      <c r="J219" s="258"/>
      <c r="K219" s="258"/>
      <c r="L219" s="258"/>
      <c r="M219" s="258"/>
      <c r="N219" s="258"/>
      <c r="O219" s="258"/>
      <c r="P219" s="474"/>
      <c r="Q219" s="258"/>
      <c r="R219" s="258"/>
      <c r="S219" s="258"/>
      <c r="T219" s="258"/>
      <c r="U219" s="258"/>
      <c r="V219" s="258"/>
      <c r="W219" s="258"/>
      <c r="X219" s="258"/>
      <c r="Y219" s="258"/>
      <c r="Z219" s="258"/>
      <c r="AA219" s="258"/>
      <c r="AB219" s="258"/>
      <c r="AC219" s="258"/>
      <c r="AD219" s="258"/>
      <c r="AE219" s="258"/>
      <c r="AF219" s="258"/>
      <c r="AG219" s="258"/>
      <c r="AH219" s="258"/>
      <c r="AI219" s="258"/>
      <c r="AJ219" s="258"/>
      <c r="AK219" s="258"/>
      <c r="AL219" s="258"/>
      <c r="AM219" s="258"/>
      <c r="AN219" s="258"/>
      <c r="AO219" s="258"/>
      <c r="AP219" s="258"/>
      <c r="AQ219" s="258"/>
      <c r="AR219" s="258"/>
      <c r="AS219" s="258"/>
    </row>
    <row r="220" spans="1:45" ht="122.4" customHeight="1" thickBot="1" x14ac:dyDescent="0.45">
      <c r="A220" s="258"/>
      <c r="B220" s="1298"/>
      <c r="C220" s="1298"/>
      <c r="D220" s="594"/>
      <c r="E220" s="258"/>
      <c r="F220" s="351"/>
      <c r="G220" s="258"/>
      <c r="H220" s="258"/>
      <c r="I220" s="258"/>
      <c r="J220" s="258"/>
      <c r="K220" s="258"/>
      <c r="L220" s="258"/>
      <c r="M220" s="258"/>
      <c r="N220" s="258"/>
      <c r="O220" s="258"/>
      <c r="P220" s="474"/>
      <c r="Q220" s="258"/>
      <c r="R220" s="258"/>
      <c r="S220" s="258"/>
      <c r="T220" s="258"/>
      <c r="U220" s="258"/>
      <c r="V220" s="258"/>
      <c r="W220" s="258"/>
      <c r="X220" s="258"/>
      <c r="Y220" s="258"/>
      <c r="Z220" s="258"/>
      <c r="AA220" s="258"/>
      <c r="AB220" s="258"/>
      <c r="AC220" s="258"/>
      <c r="AD220" s="258"/>
      <c r="AE220" s="258"/>
      <c r="AF220" s="258"/>
      <c r="AG220" s="258"/>
      <c r="AH220" s="258"/>
      <c r="AI220" s="258"/>
      <c r="AJ220" s="258"/>
      <c r="AK220" s="258"/>
      <c r="AL220" s="258"/>
      <c r="AM220" s="258"/>
      <c r="AN220" s="258"/>
      <c r="AO220" s="258"/>
      <c r="AP220" s="258"/>
      <c r="AQ220" s="258"/>
      <c r="AR220" s="258"/>
      <c r="AS220" s="258"/>
    </row>
    <row r="221" spans="1:45" ht="122.4" customHeight="1" thickBot="1" x14ac:dyDescent="0.45">
      <c r="A221" s="258"/>
      <c r="B221" s="1298"/>
      <c r="C221" s="1298"/>
      <c r="D221" s="594"/>
      <c r="E221" s="258"/>
      <c r="F221" s="351"/>
      <c r="G221" s="258"/>
      <c r="H221" s="258"/>
      <c r="I221" s="258"/>
      <c r="J221" s="258"/>
      <c r="K221" s="258"/>
      <c r="L221" s="258"/>
      <c r="M221" s="258"/>
      <c r="N221" s="258"/>
      <c r="O221" s="258"/>
      <c r="P221" s="474"/>
      <c r="Q221" s="258"/>
      <c r="R221" s="258"/>
      <c r="S221" s="258"/>
      <c r="T221" s="258"/>
      <c r="U221" s="258"/>
      <c r="V221" s="258"/>
      <c r="W221" s="258"/>
      <c r="X221" s="258"/>
      <c r="Y221" s="258"/>
      <c r="Z221" s="258"/>
      <c r="AA221" s="258"/>
      <c r="AB221" s="258"/>
      <c r="AC221" s="258"/>
      <c r="AD221" s="258"/>
      <c r="AE221" s="258"/>
      <c r="AF221" s="258"/>
      <c r="AG221" s="258"/>
      <c r="AH221" s="258"/>
      <c r="AI221" s="258"/>
      <c r="AJ221" s="258"/>
      <c r="AK221" s="258"/>
      <c r="AL221" s="258"/>
      <c r="AM221" s="258"/>
      <c r="AN221" s="258"/>
      <c r="AO221" s="258"/>
      <c r="AP221" s="258"/>
      <c r="AQ221" s="258"/>
      <c r="AR221" s="258"/>
      <c r="AS221" s="258"/>
    </row>
    <row r="222" spans="1:45" ht="122.4" customHeight="1" thickBot="1" x14ac:dyDescent="0.45">
      <c r="A222" s="258"/>
      <c r="B222" s="1298"/>
      <c r="C222" s="1298"/>
      <c r="D222" s="594"/>
      <c r="E222" s="258"/>
      <c r="F222" s="351"/>
      <c r="G222" s="258"/>
      <c r="H222" s="258"/>
      <c r="I222" s="258"/>
      <c r="J222" s="258"/>
      <c r="K222" s="258"/>
      <c r="L222" s="258"/>
      <c r="M222" s="258"/>
      <c r="N222" s="258"/>
      <c r="O222" s="258"/>
      <c r="P222" s="474"/>
      <c r="Q222" s="258"/>
      <c r="R222" s="258"/>
      <c r="S222" s="258"/>
      <c r="T222" s="258"/>
      <c r="U222" s="258"/>
      <c r="V222" s="258"/>
      <c r="W222" s="258"/>
      <c r="X222" s="258"/>
      <c r="Y222" s="258"/>
      <c r="Z222" s="258"/>
      <c r="AA222" s="258"/>
      <c r="AB222" s="258"/>
      <c r="AC222" s="258"/>
      <c r="AD222" s="258"/>
      <c r="AE222" s="258"/>
      <c r="AF222" s="258"/>
      <c r="AG222" s="258"/>
      <c r="AH222" s="258"/>
      <c r="AI222" s="258"/>
      <c r="AJ222" s="258"/>
      <c r="AK222" s="258"/>
      <c r="AL222" s="258"/>
      <c r="AM222" s="258"/>
      <c r="AN222" s="258"/>
      <c r="AO222" s="258"/>
      <c r="AP222" s="258"/>
      <c r="AQ222" s="258"/>
      <c r="AR222" s="258"/>
      <c r="AS222" s="258"/>
    </row>
    <row r="223" spans="1:45" ht="122.4" customHeight="1" thickBot="1" x14ac:dyDescent="0.45">
      <c r="A223" s="258"/>
      <c r="B223" s="1298"/>
      <c r="C223" s="1298"/>
      <c r="D223" s="594"/>
      <c r="E223" s="258"/>
      <c r="F223" s="351"/>
      <c r="G223" s="258"/>
      <c r="H223" s="258"/>
      <c r="I223" s="258"/>
      <c r="J223" s="258"/>
      <c r="K223" s="258"/>
      <c r="L223" s="258"/>
      <c r="M223" s="258"/>
      <c r="N223" s="258"/>
      <c r="O223" s="258"/>
      <c r="P223" s="474"/>
      <c r="Q223" s="258"/>
      <c r="R223" s="258"/>
      <c r="S223" s="258"/>
      <c r="T223" s="258"/>
      <c r="U223" s="258"/>
      <c r="V223" s="258"/>
      <c r="W223" s="258"/>
      <c r="X223" s="258"/>
      <c r="Y223" s="258"/>
      <c r="Z223" s="258"/>
      <c r="AA223" s="258"/>
      <c r="AB223" s="258"/>
      <c r="AC223" s="258"/>
      <c r="AD223" s="258"/>
      <c r="AE223" s="258"/>
      <c r="AF223" s="258"/>
      <c r="AG223" s="258"/>
      <c r="AH223" s="258"/>
      <c r="AI223" s="258"/>
      <c r="AJ223" s="258"/>
      <c r="AK223" s="258"/>
      <c r="AL223" s="258"/>
      <c r="AM223" s="258"/>
      <c r="AN223" s="258"/>
      <c r="AO223" s="258"/>
      <c r="AP223" s="258"/>
      <c r="AQ223" s="258"/>
      <c r="AR223" s="258"/>
      <c r="AS223" s="258"/>
    </row>
    <row r="224" spans="1:45" ht="122.4" customHeight="1" thickBot="1" x14ac:dyDescent="0.45">
      <c r="A224" s="258"/>
      <c r="B224" s="1298"/>
      <c r="C224" s="1298"/>
      <c r="D224" s="594"/>
      <c r="E224" s="258"/>
      <c r="F224" s="351"/>
      <c r="G224" s="258"/>
      <c r="H224" s="258"/>
      <c r="I224" s="258"/>
      <c r="J224" s="258"/>
      <c r="K224" s="258"/>
      <c r="L224" s="258"/>
      <c r="M224" s="258"/>
      <c r="N224" s="258"/>
      <c r="O224" s="258"/>
      <c r="P224" s="474"/>
      <c r="Q224" s="258"/>
      <c r="R224" s="258"/>
      <c r="S224" s="258"/>
      <c r="T224" s="258"/>
      <c r="U224" s="258"/>
      <c r="V224" s="258"/>
      <c r="W224" s="258"/>
      <c r="X224" s="258"/>
      <c r="Y224" s="258"/>
      <c r="Z224" s="258"/>
      <c r="AA224" s="258"/>
      <c r="AB224" s="258"/>
      <c r="AC224" s="258"/>
      <c r="AD224" s="258"/>
      <c r="AE224" s="258"/>
      <c r="AF224" s="258"/>
      <c r="AG224" s="258"/>
      <c r="AH224" s="258"/>
      <c r="AI224" s="258"/>
      <c r="AJ224" s="258"/>
      <c r="AK224" s="258"/>
      <c r="AL224" s="258"/>
      <c r="AM224" s="258"/>
      <c r="AN224" s="258"/>
      <c r="AO224" s="258"/>
      <c r="AP224" s="258"/>
      <c r="AQ224" s="258"/>
      <c r="AR224" s="258"/>
      <c r="AS224" s="258"/>
    </row>
    <row r="225" spans="1:45" ht="122.4" customHeight="1" thickBot="1" x14ac:dyDescent="0.45">
      <c r="A225" s="258"/>
      <c r="B225" s="1298"/>
      <c r="C225" s="1298"/>
      <c r="D225" s="594"/>
      <c r="E225" s="258"/>
      <c r="F225" s="351"/>
      <c r="G225" s="258"/>
      <c r="H225" s="258"/>
      <c r="I225" s="258"/>
      <c r="J225" s="258"/>
      <c r="K225" s="258"/>
      <c r="L225" s="258"/>
      <c r="M225" s="258"/>
      <c r="N225" s="258"/>
      <c r="O225" s="258"/>
      <c r="P225" s="474"/>
      <c r="Q225" s="258"/>
      <c r="R225" s="258"/>
      <c r="S225" s="258"/>
      <c r="T225" s="258"/>
      <c r="U225" s="258"/>
      <c r="V225" s="258"/>
      <c r="W225" s="258"/>
      <c r="X225" s="258"/>
      <c r="Y225" s="258"/>
      <c r="Z225" s="258"/>
      <c r="AA225" s="258"/>
      <c r="AB225" s="258"/>
      <c r="AC225" s="258"/>
      <c r="AD225" s="258"/>
      <c r="AE225" s="258"/>
      <c r="AF225" s="258"/>
      <c r="AG225" s="258"/>
      <c r="AH225" s="258"/>
      <c r="AI225" s="258"/>
      <c r="AJ225" s="258"/>
      <c r="AK225" s="258"/>
      <c r="AL225" s="258"/>
      <c r="AM225" s="258"/>
      <c r="AN225" s="258"/>
      <c r="AO225" s="258"/>
      <c r="AP225" s="258"/>
      <c r="AQ225" s="258"/>
      <c r="AR225" s="258"/>
      <c r="AS225" s="258"/>
    </row>
    <row r="226" spans="1:45" ht="122.4" customHeight="1" thickBot="1" x14ac:dyDescent="0.45">
      <c r="A226" s="258"/>
      <c r="B226" s="1298"/>
      <c r="C226" s="1298"/>
      <c r="D226" s="594"/>
      <c r="E226" s="258"/>
      <c r="F226" s="351"/>
      <c r="G226" s="258"/>
      <c r="H226" s="258"/>
      <c r="I226" s="258"/>
      <c r="J226" s="258"/>
      <c r="K226" s="258"/>
      <c r="L226" s="258"/>
      <c r="M226" s="258"/>
      <c r="N226" s="258"/>
      <c r="O226" s="258"/>
      <c r="P226" s="474"/>
      <c r="Q226" s="258"/>
      <c r="R226" s="258"/>
      <c r="S226" s="258"/>
      <c r="T226" s="258"/>
      <c r="U226" s="258"/>
      <c r="V226" s="258"/>
      <c r="W226" s="258"/>
      <c r="X226" s="258"/>
      <c r="Y226" s="258"/>
      <c r="Z226" s="258"/>
      <c r="AA226" s="258"/>
      <c r="AB226" s="258"/>
      <c r="AC226" s="258"/>
      <c r="AD226" s="258"/>
      <c r="AE226" s="258"/>
      <c r="AF226" s="258"/>
      <c r="AG226" s="258"/>
      <c r="AH226" s="258"/>
      <c r="AI226" s="258"/>
      <c r="AJ226" s="258"/>
      <c r="AK226" s="258"/>
      <c r="AL226" s="258"/>
      <c r="AM226" s="258"/>
      <c r="AN226" s="258"/>
      <c r="AO226" s="258"/>
      <c r="AP226" s="258"/>
      <c r="AQ226" s="258"/>
      <c r="AR226" s="258"/>
      <c r="AS226" s="258"/>
    </row>
    <row r="227" spans="1:45" ht="122.4" customHeight="1" thickBot="1" x14ac:dyDescent="0.45">
      <c r="A227" s="258"/>
      <c r="B227" s="1298"/>
      <c r="C227" s="1298"/>
      <c r="D227" s="594"/>
      <c r="E227" s="258"/>
      <c r="F227" s="351"/>
      <c r="G227" s="258"/>
      <c r="H227" s="258"/>
      <c r="I227" s="258"/>
      <c r="J227" s="258"/>
      <c r="K227" s="258"/>
      <c r="L227" s="258"/>
      <c r="M227" s="258"/>
      <c r="N227" s="258"/>
      <c r="O227" s="258"/>
      <c r="P227" s="474"/>
      <c r="Q227" s="258"/>
      <c r="R227" s="258"/>
      <c r="S227" s="258"/>
      <c r="T227" s="258"/>
      <c r="U227" s="258"/>
      <c r="V227" s="258"/>
      <c r="W227" s="258"/>
      <c r="X227" s="258"/>
      <c r="Y227" s="258"/>
      <c r="Z227" s="258"/>
      <c r="AA227" s="258"/>
      <c r="AB227" s="258"/>
      <c r="AC227" s="258"/>
      <c r="AD227" s="258"/>
      <c r="AE227" s="258"/>
      <c r="AF227" s="258"/>
      <c r="AG227" s="258"/>
      <c r="AH227" s="258"/>
      <c r="AI227" s="258"/>
      <c r="AJ227" s="258"/>
      <c r="AK227" s="258"/>
      <c r="AL227" s="258"/>
      <c r="AM227" s="258"/>
      <c r="AN227" s="258"/>
      <c r="AO227" s="258"/>
      <c r="AP227" s="258"/>
      <c r="AQ227" s="258"/>
      <c r="AR227" s="258"/>
      <c r="AS227" s="258"/>
    </row>
    <row r="228" spans="1:45" ht="122.4" customHeight="1" thickBot="1" x14ac:dyDescent="0.45">
      <c r="A228" s="258"/>
      <c r="B228" s="1298"/>
      <c r="C228" s="1298"/>
      <c r="D228" s="594"/>
      <c r="E228" s="258"/>
      <c r="F228" s="351"/>
      <c r="G228" s="258"/>
      <c r="H228" s="258"/>
      <c r="I228" s="258"/>
      <c r="J228" s="258"/>
      <c r="K228" s="258"/>
      <c r="L228" s="258"/>
      <c r="M228" s="258"/>
      <c r="N228" s="258"/>
      <c r="O228" s="258"/>
      <c r="P228" s="474"/>
      <c r="Q228" s="258"/>
      <c r="R228" s="258"/>
      <c r="S228" s="258"/>
      <c r="T228" s="258"/>
      <c r="U228" s="258"/>
      <c r="V228" s="258"/>
      <c r="W228" s="258"/>
      <c r="X228" s="258"/>
      <c r="Y228" s="258"/>
      <c r="Z228" s="258"/>
      <c r="AA228" s="258"/>
      <c r="AB228" s="258"/>
      <c r="AC228" s="258"/>
      <c r="AD228" s="258"/>
      <c r="AE228" s="258"/>
      <c r="AF228" s="258"/>
      <c r="AG228" s="258"/>
      <c r="AH228" s="258"/>
      <c r="AI228" s="258"/>
      <c r="AJ228" s="258"/>
      <c r="AK228" s="258"/>
      <c r="AL228" s="258"/>
      <c r="AM228" s="258"/>
      <c r="AN228" s="258"/>
      <c r="AO228" s="258"/>
      <c r="AP228" s="258"/>
      <c r="AQ228" s="258"/>
      <c r="AR228" s="258"/>
      <c r="AS228" s="258"/>
    </row>
    <row r="229" spans="1:45" ht="122.4" customHeight="1" thickBot="1" x14ac:dyDescent="0.45">
      <c r="A229" s="258"/>
      <c r="B229" s="1298"/>
      <c r="C229" s="1298"/>
      <c r="D229" s="594"/>
      <c r="E229" s="258"/>
      <c r="F229" s="351"/>
      <c r="G229" s="258"/>
      <c r="H229" s="258"/>
      <c r="I229" s="258"/>
      <c r="J229" s="258"/>
      <c r="K229" s="258"/>
      <c r="L229" s="258"/>
      <c r="M229" s="258"/>
      <c r="N229" s="258"/>
      <c r="O229" s="258"/>
      <c r="P229" s="474"/>
      <c r="Q229" s="258"/>
      <c r="R229" s="258"/>
      <c r="S229" s="258"/>
      <c r="T229" s="258"/>
      <c r="U229" s="258"/>
      <c r="V229" s="258"/>
      <c r="W229" s="258"/>
      <c r="X229" s="258"/>
      <c r="Y229" s="258"/>
      <c r="Z229" s="258"/>
      <c r="AA229" s="258"/>
      <c r="AB229" s="258"/>
      <c r="AC229" s="258"/>
      <c r="AD229" s="258"/>
      <c r="AE229" s="258"/>
      <c r="AF229" s="258"/>
      <c r="AG229" s="258"/>
      <c r="AH229" s="258"/>
      <c r="AI229" s="258"/>
      <c r="AJ229" s="258"/>
      <c r="AK229" s="258"/>
      <c r="AL229" s="258"/>
      <c r="AM229" s="258"/>
      <c r="AN229" s="258"/>
      <c r="AO229" s="258"/>
      <c r="AP229" s="258"/>
      <c r="AQ229" s="258"/>
      <c r="AR229" s="258"/>
      <c r="AS229" s="258"/>
    </row>
    <row r="230" spans="1:45" ht="122.4" customHeight="1" thickBot="1" x14ac:dyDescent="0.45">
      <c r="A230" s="258"/>
      <c r="B230" s="1298"/>
      <c r="C230" s="1298"/>
      <c r="D230" s="594"/>
      <c r="E230" s="258"/>
      <c r="F230" s="351"/>
      <c r="G230" s="258"/>
      <c r="H230" s="258"/>
      <c r="I230" s="258"/>
      <c r="J230" s="258"/>
      <c r="K230" s="258"/>
      <c r="L230" s="258"/>
      <c r="M230" s="258"/>
      <c r="N230" s="258"/>
      <c r="O230" s="258"/>
      <c r="P230" s="474"/>
      <c r="Q230" s="258"/>
      <c r="R230" s="258"/>
      <c r="S230" s="258"/>
      <c r="T230" s="258"/>
      <c r="U230" s="258"/>
      <c r="V230" s="258"/>
      <c r="W230" s="258"/>
      <c r="X230" s="258"/>
      <c r="Y230" s="258"/>
      <c r="Z230" s="258"/>
      <c r="AA230" s="258"/>
      <c r="AB230" s="258"/>
      <c r="AC230" s="258"/>
      <c r="AD230" s="258"/>
      <c r="AE230" s="258"/>
      <c r="AF230" s="258"/>
      <c r="AG230" s="258"/>
      <c r="AH230" s="258"/>
      <c r="AI230" s="258"/>
      <c r="AJ230" s="258"/>
      <c r="AK230" s="258"/>
      <c r="AL230" s="258"/>
      <c r="AM230" s="258"/>
      <c r="AN230" s="258"/>
      <c r="AO230" s="258"/>
      <c r="AP230" s="258"/>
      <c r="AQ230" s="258"/>
      <c r="AR230" s="258"/>
      <c r="AS230" s="258"/>
    </row>
    <row r="231" spans="1:45" ht="122.4" customHeight="1" thickBot="1" x14ac:dyDescent="0.45">
      <c r="A231" s="258"/>
      <c r="B231" s="1298"/>
      <c r="C231" s="1298"/>
      <c r="D231" s="594"/>
      <c r="E231" s="258"/>
      <c r="F231" s="351"/>
      <c r="G231" s="258"/>
      <c r="H231" s="258"/>
      <c r="I231" s="258"/>
      <c r="J231" s="258"/>
      <c r="K231" s="258"/>
      <c r="L231" s="258"/>
      <c r="M231" s="258"/>
      <c r="N231" s="258"/>
      <c r="O231" s="258"/>
      <c r="P231" s="474"/>
      <c r="Q231" s="258"/>
      <c r="R231" s="258"/>
      <c r="S231" s="258"/>
      <c r="T231" s="258"/>
      <c r="U231" s="258"/>
      <c r="V231" s="258"/>
      <c r="W231" s="258"/>
      <c r="X231" s="258"/>
      <c r="Y231" s="258"/>
      <c r="Z231" s="258"/>
      <c r="AA231" s="258"/>
      <c r="AB231" s="258"/>
      <c r="AC231" s="258"/>
      <c r="AD231" s="258"/>
      <c r="AE231" s="258"/>
      <c r="AF231" s="258"/>
      <c r="AG231" s="258"/>
      <c r="AH231" s="258"/>
      <c r="AI231" s="258"/>
      <c r="AJ231" s="258"/>
      <c r="AK231" s="258"/>
      <c r="AL231" s="258"/>
      <c r="AM231" s="258"/>
      <c r="AN231" s="258"/>
      <c r="AO231" s="258"/>
      <c r="AP231" s="258"/>
      <c r="AQ231" s="258"/>
      <c r="AR231" s="258"/>
      <c r="AS231" s="258"/>
    </row>
    <row r="232" spans="1:45" ht="122.4" customHeight="1" thickBot="1" x14ac:dyDescent="0.45">
      <c r="A232" s="258"/>
      <c r="B232" s="1298"/>
      <c r="C232" s="1298"/>
      <c r="D232" s="594"/>
      <c r="E232" s="258"/>
      <c r="F232" s="351"/>
      <c r="G232" s="258"/>
      <c r="H232" s="258"/>
      <c r="I232" s="258"/>
      <c r="J232" s="258"/>
      <c r="K232" s="258"/>
      <c r="L232" s="258"/>
      <c r="M232" s="258"/>
      <c r="N232" s="258"/>
      <c r="O232" s="258"/>
      <c r="P232" s="474"/>
      <c r="Q232" s="258"/>
      <c r="R232" s="258"/>
      <c r="S232" s="258"/>
      <c r="T232" s="258"/>
      <c r="U232" s="258"/>
      <c r="V232" s="258"/>
      <c r="W232" s="258"/>
      <c r="X232" s="258"/>
      <c r="Y232" s="258"/>
      <c r="Z232" s="258"/>
      <c r="AA232" s="258"/>
      <c r="AB232" s="258"/>
      <c r="AC232" s="258"/>
      <c r="AD232" s="258"/>
      <c r="AE232" s="258"/>
      <c r="AF232" s="258"/>
      <c r="AG232" s="258"/>
      <c r="AH232" s="258"/>
      <c r="AI232" s="258"/>
      <c r="AJ232" s="258"/>
      <c r="AK232" s="258"/>
      <c r="AL232" s="258"/>
      <c r="AM232" s="258"/>
      <c r="AN232" s="258"/>
      <c r="AO232" s="258"/>
      <c r="AP232" s="258"/>
      <c r="AQ232" s="258"/>
      <c r="AR232" s="258"/>
      <c r="AS232" s="258"/>
    </row>
    <row r="233" spans="1:45" ht="122.4" customHeight="1" thickBot="1" x14ac:dyDescent="0.45">
      <c r="A233" s="258"/>
      <c r="B233" s="1298"/>
      <c r="C233" s="1298"/>
      <c r="D233" s="594"/>
      <c r="E233" s="258"/>
      <c r="F233" s="351"/>
      <c r="G233" s="258"/>
      <c r="H233" s="258"/>
      <c r="I233" s="258"/>
      <c r="J233" s="258"/>
      <c r="K233" s="258"/>
      <c r="L233" s="258"/>
      <c r="M233" s="258"/>
      <c r="N233" s="258"/>
      <c r="O233" s="258"/>
      <c r="P233" s="474"/>
      <c r="Q233" s="258"/>
      <c r="R233" s="258"/>
      <c r="S233" s="258"/>
      <c r="T233" s="258"/>
      <c r="U233" s="258"/>
      <c r="V233" s="258"/>
      <c r="W233" s="258"/>
      <c r="X233" s="258"/>
      <c r="Y233" s="258"/>
      <c r="Z233" s="258"/>
      <c r="AA233" s="258"/>
      <c r="AB233" s="258"/>
      <c r="AC233" s="258"/>
      <c r="AD233" s="258"/>
      <c r="AE233" s="258"/>
      <c r="AF233" s="258"/>
      <c r="AG233" s="258"/>
      <c r="AH233" s="258"/>
      <c r="AI233" s="258"/>
      <c r="AJ233" s="258"/>
      <c r="AK233" s="258"/>
      <c r="AL233" s="258"/>
      <c r="AM233" s="258"/>
      <c r="AN233" s="258"/>
      <c r="AO233" s="258"/>
      <c r="AP233" s="258"/>
      <c r="AQ233" s="258"/>
      <c r="AR233" s="258"/>
      <c r="AS233" s="258"/>
    </row>
    <row r="234" spans="1:45" ht="122.4" customHeight="1" thickBot="1" x14ac:dyDescent="0.45">
      <c r="A234" s="258"/>
      <c r="B234" s="1298"/>
      <c r="C234" s="1298"/>
      <c r="D234" s="594"/>
      <c r="E234" s="258"/>
      <c r="F234" s="351"/>
      <c r="G234" s="258"/>
      <c r="H234" s="258"/>
      <c r="I234" s="258"/>
      <c r="J234" s="258"/>
      <c r="K234" s="258"/>
      <c r="L234" s="258"/>
      <c r="M234" s="258"/>
      <c r="N234" s="258"/>
      <c r="O234" s="258"/>
      <c r="P234" s="474"/>
      <c r="Q234" s="258"/>
      <c r="R234" s="258"/>
      <c r="S234" s="258"/>
      <c r="T234" s="258"/>
      <c r="U234" s="258"/>
      <c r="V234" s="258"/>
      <c r="W234" s="258"/>
      <c r="X234" s="258"/>
      <c r="Y234" s="258"/>
      <c r="Z234" s="258"/>
      <c r="AA234" s="258"/>
      <c r="AB234" s="258"/>
      <c r="AC234" s="258"/>
      <c r="AD234" s="258"/>
      <c r="AE234" s="258"/>
      <c r="AF234" s="258"/>
      <c r="AG234" s="258"/>
      <c r="AH234" s="258"/>
      <c r="AI234" s="258"/>
      <c r="AJ234" s="258"/>
      <c r="AK234" s="258"/>
      <c r="AL234" s="258"/>
      <c r="AM234" s="258"/>
      <c r="AN234" s="258"/>
      <c r="AO234" s="258"/>
      <c r="AP234" s="258"/>
      <c r="AQ234" s="258"/>
      <c r="AR234" s="258"/>
      <c r="AS234" s="258"/>
    </row>
    <row r="235" spans="1:45" ht="122.4" customHeight="1" thickBot="1" x14ac:dyDescent="0.45">
      <c r="A235" s="258"/>
      <c r="B235" s="1298"/>
      <c r="C235" s="1298"/>
      <c r="D235" s="594"/>
      <c r="E235" s="258"/>
      <c r="F235" s="351"/>
      <c r="G235" s="258"/>
      <c r="H235" s="258"/>
      <c r="I235" s="258"/>
      <c r="J235" s="258"/>
      <c r="K235" s="258"/>
      <c r="L235" s="258"/>
      <c r="M235" s="258"/>
      <c r="N235" s="258"/>
      <c r="O235" s="258"/>
      <c r="P235" s="474"/>
      <c r="Q235" s="258"/>
      <c r="R235" s="258"/>
      <c r="S235" s="258"/>
      <c r="T235" s="258"/>
      <c r="U235" s="258"/>
      <c r="V235" s="258"/>
      <c r="W235" s="258"/>
      <c r="X235" s="258"/>
      <c r="Y235" s="258"/>
      <c r="Z235" s="258"/>
      <c r="AA235" s="258"/>
      <c r="AB235" s="258"/>
      <c r="AC235" s="258"/>
      <c r="AD235" s="258"/>
      <c r="AE235" s="258"/>
      <c r="AF235" s="258"/>
      <c r="AG235" s="258"/>
      <c r="AH235" s="258"/>
      <c r="AI235" s="258"/>
      <c r="AJ235" s="258"/>
      <c r="AK235" s="258"/>
      <c r="AL235" s="258"/>
      <c r="AM235" s="258"/>
      <c r="AN235" s="258"/>
      <c r="AO235" s="258"/>
      <c r="AP235" s="258"/>
      <c r="AQ235" s="258"/>
      <c r="AR235" s="258"/>
      <c r="AS235" s="258"/>
    </row>
    <row r="236" spans="1:45" ht="122.4" customHeight="1" thickBot="1" x14ac:dyDescent="0.45">
      <c r="A236" s="258"/>
      <c r="B236" s="1298"/>
      <c r="C236" s="1298"/>
      <c r="D236" s="594"/>
      <c r="E236" s="258"/>
      <c r="F236" s="351"/>
      <c r="G236" s="258"/>
      <c r="H236" s="258"/>
      <c r="I236" s="258"/>
      <c r="J236" s="258"/>
      <c r="K236" s="258"/>
      <c r="L236" s="258"/>
      <c r="M236" s="258"/>
      <c r="N236" s="258"/>
      <c r="O236" s="258"/>
      <c r="P236" s="474"/>
      <c r="Q236" s="258"/>
      <c r="R236" s="258"/>
      <c r="S236" s="258"/>
      <c r="T236" s="258"/>
      <c r="U236" s="258"/>
      <c r="V236" s="258"/>
      <c r="W236" s="258"/>
      <c r="X236" s="258"/>
      <c r="Y236" s="258"/>
      <c r="Z236" s="258"/>
      <c r="AA236" s="258"/>
      <c r="AB236" s="258"/>
      <c r="AC236" s="258"/>
      <c r="AD236" s="258"/>
      <c r="AE236" s="258"/>
      <c r="AF236" s="258"/>
      <c r="AG236" s="258"/>
      <c r="AH236" s="258"/>
      <c r="AI236" s="258"/>
      <c r="AJ236" s="258"/>
      <c r="AK236" s="258"/>
      <c r="AL236" s="258"/>
      <c r="AM236" s="258"/>
      <c r="AN236" s="258"/>
      <c r="AO236" s="258"/>
      <c r="AP236" s="258"/>
      <c r="AQ236" s="258"/>
      <c r="AR236" s="258"/>
      <c r="AS236" s="258"/>
    </row>
    <row r="237" spans="1:45" ht="122.4" customHeight="1" thickBot="1" x14ac:dyDescent="0.45">
      <c r="A237" s="258"/>
      <c r="B237" s="1298"/>
      <c r="C237" s="1298"/>
      <c r="D237" s="594"/>
      <c r="E237" s="258"/>
      <c r="F237" s="351"/>
      <c r="G237" s="258"/>
      <c r="H237" s="258"/>
      <c r="I237" s="258"/>
      <c r="J237" s="258"/>
      <c r="K237" s="258"/>
      <c r="L237" s="258"/>
      <c r="M237" s="258"/>
      <c r="N237" s="258"/>
      <c r="O237" s="258"/>
      <c r="P237" s="474"/>
      <c r="Q237" s="258"/>
      <c r="R237" s="258"/>
      <c r="S237" s="258"/>
      <c r="T237" s="258"/>
      <c r="U237" s="258"/>
      <c r="V237" s="258"/>
      <c r="W237" s="258"/>
      <c r="X237" s="258"/>
      <c r="Y237" s="258"/>
      <c r="Z237" s="258"/>
      <c r="AA237" s="258"/>
      <c r="AB237" s="258"/>
      <c r="AC237" s="258"/>
      <c r="AD237" s="258"/>
      <c r="AE237" s="258"/>
      <c r="AF237" s="258"/>
      <c r="AG237" s="258"/>
      <c r="AH237" s="258"/>
      <c r="AI237" s="258"/>
      <c r="AJ237" s="258"/>
      <c r="AK237" s="258"/>
      <c r="AL237" s="258"/>
      <c r="AM237" s="258"/>
      <c r="AN237" s="258"/>
      <c r="AO237" s="258"/>
      <c r="AP237" s="258"/>
      <c r="AQ237" s="258"/>
      <c r="AR237" s="258"/>
      <c r="AS237" s="258"/>
    </row>
    <row r="238" spans="1:45" ht="122.4" customHeight="1" thickBot="1" x14ac:dyDescent="0.45">
      <c r="A238" s="258"/>
      <c r="B238" s="1298"/>
      <c r="C238" s="1298"/>
      <c r="D238" s="594"/>
      <c r="E238" s="258"/>
      <c r="F238" s="351"/>
      <c r="G238" s="258"/>
      <c r="H238" s="258"/>
      <c r="I238" s="258"/>
      <c r="J238" s="258"/>
      <c r="K238" s="258"/>
      <c r="L238" s="258"/>
      <c r="M238" s="258"/>
      <c r="N238" s="258"/>
      <c r="O238" s="258"/>
      <c r="P238" s="474"/>
      <c r="Q238" s="258"/>
      <c r="R238" s="258"/>
      <c r="S238" s="258"/>
      <c r="T238" s="258"/>
      <c r="U238" s="258"/>
      <c r="V238" s="258"/>
      <c r="W238" s="258"/>
      <c r="X238" s="258"/>
      <c r="Y238" s="258"/>
      <c r="Z238" s="258"/>
      <c r="AA238" s="258"/>
      <c r="AB238" s="258"/>
      <c r="AC238" s="258"/>
      <c r="AD238" s="258"/>
      <c r="AE238" s="258"/>
      <c r="AF238" s="258"/>
      <c r="AG238" s="258"/>
      <c r="AH238" s="258"/>
      <c r="AI238" s="258"/>
      <c r="AJ238" s="258"/>
      <c r="AK238" s="258"/>
      <c r="AL238" s="258"/>
      <c r="AM238" s="258"/>
      <c r="AN238" s="258"/>
      <c r="AO238" s="258"/>
      <c r="AP238" s="258"/>
      <c r="AQ238" s="258"/>
      <c r="AR238" s="258"/>
      <c r="AS238" s="258"/>
    </row>
    <row r="239" spans="1:45" ht="122.4" customHeight="1" thickBot="1" x14ac:dyDescent="0.45">
      <c r="A239" s="258"/>
      <c r="B239" s="1298"/>
      <c r="C239" s="1298"/>
      <c r="D239" s="594"/>
      <c r="E239" s="258"/>
      <c r="F239" s="351"/>
      <c r="G239" s="258"/>
      <c r="H239" s="258"/>
      <c r="I239" s="258"/>
      <c r="J239" s="258"/>
      <c r="K239" s="258"/>
      <c r="L239" s="258"/>
      <c r="M239" s="258"/>
      <c r="N239" s="258"/>
      <c r="O239" s="258"/>
      <c r="P239" s="474"/>
      <c r="Q239" s="258"/>
      <c r="R239" s="258"/>
      <c r="S239" s="258"/>
      <c r="T239" s="258"/>
      <c r="U239" s="258"/>
      <c r="V239" s="258"/>
      <c r="W239" s="258"/>
      <c r="X239" s="258"/>
      <c r="Y239" s="258"/>
      <c r="Z239" s="258"/>
      <c r="AA239" s="258"/>
      <c r="AB239" s="258"/>
      <c r="AC239" s="258"/>
      <c r="AD239" s="258"/>
      <c r="AE239" s="258"/>
      <c r="AF239" s="258"/>
      <c r="AG239" s="258"/>
      <c r="AH239" s="258"/>
      <c r="AI239" s="258"/>
      <c r="AJ239" s="258"/>
      <c r="AK239" s="258"/>
      <c r="AL239" s="258"/>
      <c r="AM239" s="258"/>
      <c r="AN239" s="258"/>
      <c r="AO239" s="258"/>
      <c r="AP239" s="258"/>
      <c r="AQ239" s="258"/>
      <c r="AR239" s="258"/>
      <c r="AS239" s="258"/>
    </row>
    <row r="240" spans="1:45" ht="122.4" customHeight="1" thickBot="1" x14ac:dyDescent="0.45">
      <c r="A240" s="258"/>
      <c r="B240" s="1298"/>
      <c r="C240" s="1298"/>
      <c r="D240" s="594"/>
      <c r="E240" s="258"/>
      <c r="F240" s="351"/>
      <c r="G240" s="258"/>
      <c r="H240" s="258"/>
      <c r="I240" s="258"/>
      <c r="J240" s="258"/>
      <c r="K240" s="258"/>
      <c r="L240" s="258"/>
      <c r="M240" s="258"/>
      <c r="N240" s="258"/>
      <c r="O240" s="258"/>
      <c r="P240" s="474"/>
      <c r="Q240" s="258"/>
      <c r="R240" s="258"/>
      <c r="S240" s="258"/>
      <c r="T240" s="258"/>
      <c r="U240" s="258"/>
      <c r="V240" s="258"/>
      <c r="W240" s="258"/>
      <c r="X240" s="258"/>
      <c r="Y240" s="258"/>
      <c r="Z240" s="258"/>
      <c r="AA240" s="258"/>
      <c r="AB240" s="258"/>
      <c r="AC240" s="258"/>
      <c r="AD240" s="258"/>
      <c r="AE240" s="258"/>
      <c r="AF240" s="258"/>
      <c r="AG240" s="258"/>
      <c r="AH240" s="258"/>
      <c r="AI240" s="258"/>
      <c r="AJ240" s="258"/>
      <c r="AK240" s="258"/>
      <c r="AL240" s="258"/>
      <c r="AM240" s="258"/>
      <c r="AN240" s="258"/>
      <c r="AO240" s="258"/>
      <c r="AP240" s="258"/>
      <c r="AQ240" s="258"/>
      <c r="AR240" s="258"/>
      <c r="AS240" s="258"/>
    </row>
    <row r="241" spans="1:45" ht="122.4" customHeight="1" thickBot="1" x14ac:dyDescent="0.45">
      <c r="A241" s="258"/>
      <c r="B241" s="1298"/>
      <c r="C241" s="1298"/>
      <c r="D241" s="594"/>
      <c r="E241" s="258"/>
      <c r="F241" s="351"/>
      <c r="G241" s="258"/>
      <c r="H241" s="258"/>
      <c r="I241" s="258"/>
      <c r="J241" s="258"/>
      <c r="K241" s="258"/>
      <c r="L241" s="258"/>
      <c r="M241" s="258"/>
      <c r="N241" s="258"/>
      <c r="O241" s="258"/>
      <c r="P241" s="474"/>
      <c r="Q241" s="258"/>
      <c r="R241" s="258"/>
      <c r="S241" s="258"/>
      <c r="T241" s="258"/>
      <c r="U241" s="258"/>
      <c r="V241" s="258"/>
      <c r="W241" s="258"/>
      <c r="X241" s="258"/>
      <c r="Y241" s="258"/>
      <c r="Z241" s="258"/>
      <c r="AA241" s="258"/>
      <c r="AB241" s="258"/>
      <c r="AC241" s="258"/>
      <c r="AD241" s="258"/>
      <c r="AE241" s="258"/>
      <c r="AF241" s="258"/>
      <c r="AG241" s="258"/>
      <c r="AH241" s="258"/>
      <c r="AI241" s="258"/>
      <c r="AJ241" s="258"/>
      <c r="AK241" s="258"/>
      <c r="AL241" s="258"/>
      <c r="AM241" s="258"/>
      <c r="AN241" s="258"/>
      <c r="AO241" s="258"/>
      <c r="AP241" s="258"/>
      <c r="AQ241" s="258"/>
      <c r="AR241" s="258"/>
      <c r="AS241" s="258"/>
    </row>
    <row r="242" spans="1:45" ht="122.4" customHeight="1" thickBot="1" x14ac:dyDescent="0.45">
      <c r="A242" s="258"/>
      <c r="B242" s="1298"/>
      <c r="C242" s="1298"/>
      <c r="D242" s="594"/>
      <c r="E242" s="258"/>
      <c r="F242" s="351"/>
      <c r="G242" s="258"/>
      <c r="H242" s="258"/>
      <c r="I242" s="258"/>
      <c r="J242" s="258"/>
      <c r="K242" s="258"/>
      <c r="L242" s="258"/>
      <c r="M242" s="258"/>
      <c r="N242" s="258"/>
      <c r="O242" s="258"/>
      <c r="P242" s="474"/>
      <c r="Q242" s="258"/>
      <c r="R242" s="258"/>
      <c r="S242" s="258"/>
      <c r="T242" s="258"/>
      <c r="U242" s="258"/>
      <c r="V242" s="258"/>
      <c r="W242" s="258"/>
      <c r="X242" s="258"/>
      <c r="Y242" s="258"/>
      <c r="Z242" s="258"/>
      <c r="AA242" s="258"/>
      <c r="AB242" s="258"/>
      <c r="AC242" s="258"/>
      <c r="AD242" s="258"/>
      <c r="AE242" s="258"/>
      <c r="AF242" s="258"/>
      <c r="AG242" s="258"/>
      <c r="AH242" s="258"/>
      <c r="AI242" s="258"/>
      <c r="AJ242" s="258"/>
      <c r="AK242" s="258"/>
      <c r="AL242" s="258"/>
      <c r="AM242" s="258"/>
      <c r="AN242" s="258"/>
      <c r="AO242" s="258"/>
      <c r="AP242" s="258"/>
      <c r="AQ242" s="258"/>
      <c r="AR242" s="258"/>
      <c r="AS242" s="258"/>
    </row>
    <row r="243" spans="1:45" ht="122.4" customHeight="1" thickBot="1" x14ac:dyDescent="0.45">
      <c r="A243" s="258"/>
      <c r="B243" s="1298"/>
      <c r="C243" s="1298"/>
      <c r="D243" s="594"/>
      <c r="E243" s="258"/>
      <c r="F243" s="351"/>
      <c r="G243" s="258"/>
      <c r="H243" s="258"/>
      <c r="I243" s="258"/>
      <c r="J243" s="258"/>
      <c r="K243" s="258"/>
      <c r="L243" s="258"/>
      <c r="M243" s="258"/>
      <c r="N243" s="258"/>
      <c r="O243" s="258"/>
      <c r="P243" s="474"/>
      <c r="Q243" s="258"/>
      <c r="R243" s="258"/>
      <c r="S243" s="258"/>
      <c r="T243" s="258"/>
      <c r="U243" s="258"/>
      <c r="V243" s="258"/>
      <c r="W243" s="258"/>
      <c r="X243" s="258"/>
      <c r="Y243" s="258"/>
      <c r="Z243" s="258"/>
      <c r="AA243" s="258"/>
      <c r="AB243" s="258"/>
      <c r="AC243" s="258"/>
      <c r="AD243" s="258"/>
      <c r="AE243" s="258"/>
      <c r="AF243" s="258"/>
      <c r="AG243" s="258"/>
      <c r="AH243" s="258"/>
      <c r="AI243" s="258"/>
      <c r="AJ243" s="258"/>
      <c r="AK243" s="258"/>
      <c r="AL243" s="258"/>
      <c r="AM243" s="258"/>
      <c r="AN243" s="258"/>
      <c r="AO243" s="258"/>
      <c r="AP243" s="258"/>
      <c r="AQ243" s="258"/>
      <c r="AR243" s="258"/>
      <c r="AS243" s="258"/>
    </row>
    <row r="244" spans="1:45" ht="122.4" customHeight="1" thickBot="1" x14ac:dyDescent="0.45">
      <c r="A244" s="258"/>
      <c r="B244" s="1298"/>
      <c r="C244" s="1298"/>
      <c r="D244" s="594"/>
      <c r="E244" s="258"/>
      <c r="F244" s="351"/>
      <c r="G244" s="258"/>
      <c r="H244" s="258"/>
      <c r="I244" s="258"/>
      <c r="J244" s="258"/>
      <c r="K244" s="258"/>
      <c r="L244" s="258"/>
      <c r="M244" s="258"/>
      <c r="N244" s="258"/>
      <c r="O244" s="258"/>
      <c r="P244" s="474"/>
      <c r="Q244" s="258"/>
      <c r="R244" s="258"/>
      <c r="S244" s="258"/>
      <c r="T244" s="258"/>
      <c r="U244" s="258"/>
      <c r="V244" s="258"/>
      <c r="W244" s="258"/>
      <c r="X244" s="258"/>
      <c r="Y244" s="258"/>
      <c r="Z244" s="258"/>
      <c r="AA244" s="258"/>
      <c r="AB244" s="258"/>
      <c r="AC244" s="258"/>
      <c r="AD244" s="258"/>
      <c r="AE244" s="258"/>
      <c r="AF244" s="258"/>
      <c r="AG244" s="258"/>
      <c r="AH244" s="258"/>
      <c r="AI244" s="258"/>
      <c r="AJ244" s="258"/>
      <c r="AK244" s="258"/>
      <c r="AL244" s="258"/>
      <c r="AM244" s="258"/>
      <c r="AN244" s="258"/>
      <c r="AO244" s="258"/>
      <c r="AP244" s="258"/>
      <c r="AQ244" s="258"/>
      <c r="AR244" s="258"/>
      <c r="AS244" s="258"/>
    </row>
    <row r="245" spans="1:45" ht="122.4" customHeight="1" thickBot="1" x14ac:dyDescent="0.45">
      <c r="A245" s="258"/>
      <c r="B245" s="1298"/>
      <c r="C245" s="1298"/>
      <c r="D245" s="594"/>
      <c r="E245" s="258"/>
      <c r="F245" s="351"/>
      <c r="G245" s="258"/>
      <c r="H245" s="258"/>
      <c r="I245" s="258"/>
      <c r="J245" s="258"/>
      <c r="K245" s="258"/>
      <c r="L245" s="258"/>
      <c r="M245" s="258"/>
      <c r="N245" s="258"/>
      <c r="O245" s="258"/>
      <c r="P245" s="474"/>
      <c r="Q245" s="258"/>
      <c r="R245" s="258"/>
      <c r="S245" s="258"/>
      <c r="T245" s="258"/>
      <c r="U245" s="258"/>
      <c r="V245" s="258"/>
      <c r="W245" s="258"/>
      <c r="X245" s="258"/>
      <c r="Y245" s="258"/>
      <c r="Z245" s="258"/>
      <c r="AA245" s="258"/>
      <c r="AB245" s="258"/>
      <c r="AC245" s="258"/>
      <c r="AD245" s="258"/>
      <c r="AE245" s="258"/>
      <c r="AF245" s="258"/>
      <c r="AG245" s="258"/>
      <c r="AH245" s="258"/>
      <c r="AI245" s="258"/>
      <c r="AJ245" s="258"/>
      <c r="AK245" s="258"/>
      <c r="AL245" s="258"/>
      <c r="AM245" s="258"/>
      <c r="AN245" s="258"/>
      <c r="AO245" s="258"/>
      <c r="AP245" s="258"/>
      <c r="AQ245" s="258"/>
      <c r="AR245" s="258"/>
      <c r="AS245" s="258"/>
    </row>
    <row r="246" spans="1:45" ht="122.4" customHeight="1" thickBot="1" x14ac:dyDescent="0.45">
      <c r="A246" s="258"/>
      <c r="B246" s="1298"/>
      <c r="C246" s="1298"/>
      <c r="D246" s="594"/>
      <c r="E246" s="258"/>
      <c r="F246" s="351"/>
      <c r="G246" s="258"/>
      <c r="H246" s="258"/>
      <c r="I246" s="258"/>
      <c r="J246" s="258"/>
      <c r="K246" s="258"/>
      <c r="L246" s="258"/>
      <c r="M246" s="258"/>
      <c r="N246" s="258"/>
      <c r="O246" s="258"/>
      <c r="P246" s="474"/>
      <c r="Q246" s="258"/>
      <c r="R246" s="258"/>
      <c r="S246" s="258"/>
      <c r="T246" s="258"/>
      <c r="U246" s="258"/>
      <c r="V246" s="258"/>
      <c r="W246" s="258"/>
      <c r="X246" s="258"/>
      <c r="Y246" s="258"/>
      <c r="Z246" s="258"/>
      <c r="AA246" s="258"/>
      <c r="AB246" s="258"/>
      <c r="AC246" s="258"/>
      <c r="AD246" s="258"/>
      <c r="AE246" s="258"/>
      <c r="AF246" s="258"/>
      <c r="AG246" s="258"/>
      <c r="AH246" s="258"/>
      <c r="AI246" s="258"/>
      <c r="AJ246" s="258"/>
      <c r="AK246" s="258"/>
      <c r="AL246" s="258"/>
      <c r="AM246" s="258"/>
      <c r="AN246" s="258"/>
      <c r="AO246" s="258"/>
      <c r="AP246" s="258"/>
      <c r="AQ246" s="258"/>
      <c r="AR246" s="258"/>
      <c r="AS246" s="258"/>
    </row>
    <row r="247" spans="1:45" ht="122.4" customHeight="1" thickBot="1" x14ac:dyDescent="0.45">
      <c r="A247" s="258"/>
      <c r="B247" s="1298"/>
      <c r="C247" s="1298"/>
      <c r="D247" s="594"/>
      <c r="E247" s="258"/>
      <c r="F247" s="351"/>
      <c r="G247" s="258"/>
      <c r="H247" s="258"/>
      <c r="I247" s="258"/>
      <c r="J247" s="258"/>
      <c r="K247" s="258"/>
      <c r="L247" s="258"/>
      <c r="M247" s="258"/>
      <c r="N247" s="258"/>
      <c r="O247" s="258"/>
      <c r="P247" s="474"/>
      <c r="Q247" s="258"/>
      <c r="R247" s="258"/>
      <c r="S247" s="258"/>
      <c r="T247" s="258"/>
      <c r="U247" s="258"/>
      <c r="V247" s="258"/>
      <c r="W247" s="258"/>
      <c r="X247" s="258"/>
      <c r="Y247" s="258"/>
      <c r="Z247" s="258"/>
      <c r="AA247" s="258"/>
      <c r="AB247" s="258"/>
      <c r="AC247" s="258"/>
      <c r="AD247" s="258"/>
      <c r="AE247" s="258"/>
      <c r="AF247" s="258"/>
      <c r="AG247" s="258"/>
      <c r="AH247" s="258"/>
      <c r="AI247" s="258"/>
      <c r="AJ247" s="258"/>
      <c r="AK247" s="258"/>
      <c r="AL247" s="258"/>
      <c r="AM247" s="258"/>
      <c r="AN247" s="258"/>
      <c r="AO247" s="258"/>
      <c r="AP247" s="258"/>
      <c r="AQ247" s="258"/>
      <c r="AR247" s="258"/>
      <c r="AS247" s="258"/>
    </row>
    <row r="248" spans="1:45" ht="122.4" customHeight="1" thickBot="1" x14ac:dyDescent="0.45">
      <c r="A248" s="258"/>
      <c r="B248" s="1298"/>
      <c r="C248" s="1298"/>
      <c r="D248" s="594"/>
      <c r="E248" s="258"/>
      <c r="F248" s="351"/>
      <c r="G248" s="258"/>
      <c r="H248" s="258"/>
      <c r="I248" s="258"/>
      <c r="J248" s="258"/>
      <c r="K248" s="258"/>
      <c r="L248" s="258"/>
      <c r="M248" s="258"/>
      <c r="N248" s="258"/>
      <c r="O248" s="258"/>
      <c r="P248" s="474"/>
      <c r="Q248" s="258"/>
      <c r="R248" s="258"/>
      <c r="S248" s="258"/>
      <c r="T248" s="258"/>
      <c r="U248" s="258"/>
      <c r="V248" s="258"/>
      <c r="W248" s="258"/>
      <c r="X248" s="258"/>
      <c r="Y248" s="258"/>
      <c r="Z248" s="258"/>
      <c r="AA248" s="258"/>
      <c r="AB248" s="258"/>
      <c r="AC248" s="258"/>
      <c r="AD248" s="258"/>
      <c r="AE248" s="258"/>
      <c r="AF248" s="258"/>
      <c r="AG248" s="258"/>
      <c r="AH248" s="258"/>
      <c r="AI248" s="258"/>
      <c r="AJ248" s="258"/>
      <c r="AK248" s="258"/>
      <c r="AL248" s="258"/>
      <c r="AM248" s="258"/>
      <c r="AN248" s="258"/>
      <c r="AO248" s="258"/>
      <c r="AP248" s="258"/>
      <c r="AQ248" s="258"/>
      <c r="AR248" s="258"/>
      <c r="AS248" s="258"/>
    </row>
    <row r="249" spans="1:45" ht="122.4" customHeight="1" thickBot="1" x14ac:dyDescent="0.45">
      <c r="A249" s="258"/>
      <c r="B249" s="1298"/>
      <c r="C249" s="1298"/>
      <c r="D249" s="594"/>
      <c r="E249" s="258"/>
      <c r="F249" s="351"/>
      <c r="G249" s="258"/>
      <c r="H249" s="258"/>
      <c r="I249" s="258"/>
      <c r="J249" s="258"/>
      <c r="K249" s="258"/>
      <c r="L249" s="258"/>
      <c r="M249" s="258"/>
      <c r="N249" s="258"/>
      <c r="O249" s="258"/>
      <c r="P249" s="474"/>
      <c r="Q249" s="258"/>
      <c r="R249" s="258"/>
      <c r="S249" s="258"/>
      <c r="T249" s="258"/>
      <c r="U249" s="258"/>
      <c r="V249" s="258"/>
      <c r="W249" s="258"/>
      <c r="X249" s="258"/>
      <c r="Y249" s="258"/>
      <c r="Z249" s="258"/>
      <c r="AA249" s="258"/>
      <c r="AB249" s="258"/>
      <c r="AC249" s="258"/>
      <c r="AD249" s="258"/>
      <c r="AE249" s="258"/>
      <c r="AF249" s="258"/>
      <c r="AG249" s="258"/>
      <c r="AH249" s="258"/>
      <c r="AI249" s="258"/>
      <c r="AJ249" s="258"/>
      <c r="AK249" s="258"/>
      <c r="AL249" s="258"/>
      <c r="AM249" s="258"/>
      <c r="AN249" s="258"/>
      <c r="AO249" s="258"/>
      <c r="AP249" s="258"/>
      <c r="AQ249" s="258"/>
      <c r="AR249" s="258"/>
      <c r="AS249" s="258"/>
    </row>
    <row r="250" spans="1:45" ht="122.4" customHeight="1" thickBot="1" x14ac:dyDescent="0.45">
      <c r="A250" s="258"/>
      <c r="B250" s="1298"/>
      <c r="C250" s="1298"/>
      <c r="D250" s="594"/>
      <c r="E250" s="258"/>
      <c r="F250" s="351"/>
      <c r="G250" s="258"/>
      <c r="H250" s="258"/>
      <c r="I250" s="258"/>
      <c r="J250" s="258"/>
      <c r="K250" s="258"/>
      <c r="L250" s="258"/>
      <c r="M250" s="258"/>
      <c r="N250" s="258"/>
      <c r="O250" s="258"/>
      <c r="P250" s="474"/>
      <c r="Q250" s="258"/>
      <c r="R250" s="258"/>
      <c r="S250" s="258"/>
      <c r="T250" s="258"/>
      <c r="U250" s="258"/>
      <c r="V250" s="258"/>
      <c r="W250" s="258"/>
      <c r="X250" s="258"/>
      <c r="Y250" s="258"/>
      <c r="Z250" s="258"/>
      <c r="AA250" s="258"/>
      <c r="AB250" s="258"/>
      <c r="AC250" s="258"/>
      <c r="AD250" s="258"/>
      <c r="AE250" s="258"/>
      <c r="AF250" s="258"/>
      <c r="AG250" s="258"/>
      <c r="AH250" s="258"/>
      <c r="AI250" s="258"/>
      <c r="AJ250" s="258"/>
      <c r="AK250" s="258"/>
      <c r="AL250" s="258"/>
      <c r="AM250" s="258"/>
      <c r="AN250" s="258"/>
      <c r="AO250" s="258"/>
      <c r="AP250" s="258"/>
      <c r="AQ250" s="258"/>
      <c r="AR250" s="258"/>
      <c r="AS250" s="258"/>
    </row>
    <row r="251" spans="1:45" ht="122.4" customHeight="1" thickBot="1" x14ac:dyDescent="0.45">
      <c r="A251" s="258"/>
      <c r="B251" s="1298"/>
      <c r="C251" s="1298"/>
      <c r="D251" s="594"/>
      <c r="E251" s="258"/>
      <c r="F251" s="351"/>
      <c r="G251" s="258"/>
      <c r="H251" s="258"/>
      <c r="I251" s="258"/>
      <c r="J251" s="258"/>
      <c r="K251" s="258"/>
      <c r="L251" s="258"/>
      <c r="M251" s="258"/>
      <c r="N251" s="258"/>
      <c r="O251" s="258"/>
      <c r="P251" s="474"/>
      <c r="Q251" s="258"/>
      <c r="R251" s="258"/>
      <c r="S251" s="258"/>
      <c r="T251" s="258"/>
      <c r="U251" s="258"/>
      <c r="V251" s="258"/>
      <c r="W251" s="258"/>
      <c r="X251" s="258"/>
      <c r="Y251" s="258"/>
      <c r="Z251" s="258"/>
      <c r="AA251" s="258"/>
      <c r="AB251" s="258"/>
      <c r="AC251" s="258"/>
      <c r="AD251" s="258"/>
      <c r="AE251" s="258"/>
      <c r="AF251" s="258"/>
      <c r="AG251" s="258"/>
      <c r="AH251" s="258"/>
      <c r="AI251" s="258"/>
      <c r="AJ251" s="258"/>
      <c r="AK251" s="258"/>
      <c r="AL251" s="258"/>
      <c r="AM251" s="258"/>
      <c r="AN251" s="258"/>
      <c r="AO251" s="258"/>
      <c r="AP251" s="258"/>
      <c r="AQ251" s="258"/>
      <c r="AR251" s="258"/>
      <c r="AS251" s="258"/>
    </row>
    <row r="252" spans="1:45" ht="122.4" customHeight="1" thickBot="1" x14ac:dyDescent="0.45">
      <c r="A252" s="258"/>
      <c r="B252" s="1298"/>
      <c r="C252" s="1298"/>
      <c r="D252" s="594"/>
      <c r="E252" s="258"/>
      <c r="F252" s="351"/>
      <c r="G252" s="258"/>
      <c r="H252" s="258"/>
      <c r="I252" s="258"/>
      <c r="J252" s="258"/>
      <c r="K252" s="258"/>
      <c r="L252" s="258"/>
      <c r="M252" s="258"/>
      <c r="N252" s="258"/>
      <c r="O252" s="258"/>
      <c r="P252" s="474"/>
      <c r="Q252" s="258"/>
      <c r="R252" s="258"/>
      <c r="S252" s="258"/>
      <c r="T252" s="258"/>
      <c r="U252" s="258"/>
      <c r="V252" s="258"/>
      <c r="W252" s="258"/>
      <c r="X252" s="258"/>
      <c r="Y252" s="258"/>
      <c r="Z252" s="258"/>
      <c r="AA252" s="258"/>
      <c r="AB252" s="258"/>
      <c r="AC252" s="258"/>
      <c r="AD252" s="258"/>
      <c r="AE252" s="258"/>
      <c r="AF252" s="258"/>
      <c r="AG252" s="258"/>
      <c r="AH252" s="258"/>
      <c r="AI252" s="258"/>
      <c r="AJ252" s="258"/>
      <c r="AK252" s="258"/>
      <c r="AL252" s="258"/>
      <c r="AM252" s="258"/>
      <c r="AN252" s="258"/>
      <c r="AO252" s="258"/>
      <c r="AP252" s="258"/>
      <c r="AQ252" s="258"/>
      <c r="AR252" s="258"/>
      <c r="AS252" s="258"/>
    </row>
    <row r="253" spans="1:45" ht="122.4" customHeight="1" thickBot="1" x14ac:dyDescent="0.45">
      <c r="A253" s="258"/>
      <c r="B253" s="1298"/>
      <c r="C253" s="1298"/>
      <c r="D253" s="594"/>
      <c r="E253" s="258"/>
      <c r="F253" s="351"/>
      <c r="G253" s="258"/>
      <c r="H253" s="258"/>
      <c r="I253" s="258"/>
      <c r="J253" s="258"/>
      <c r="K253" s="258"/>
      <c r="L253" s="258"/>
      <c r="M253" s="258"/>
      <c r="N253" s="258"/>
      <c r="O253" s="258"/>
      <c r="P253" s="474"/>
      <c r="Q253" s="258"/>
      <c r="R253" s="258"/>
      <c r="S253" s="258"/>
      <c r="T253" s="258"/>
      <c r="U253" s="258"/>
      <c r="V253" s="258"/>
      <c r="W253" s="258"/>
      <c r="X253" s="258"/>
      <c r="Y253" s="258"/>
      <c r="Z253" s="258"/>
      <c r="AA253" s="258"/>
      <c r="AB253" s="258"/>
      <c r="AC253" s="258"/>
      <c r="AD253" s="258"/>
      <c r="AE253" s="258"/>
      <c r="AF253" s="258"/>
      <c r="AG253" s="258"/>
      <c r="AH253" s="258"/>
      <c r="AI253" s="258"/>
      <c r="AJ253" s="258"/>
      <c r="AK253" s="258"/>
      <c r="AL253" s="258"/>
      <c r="AM253" s="258"/>
      <c r="AN253" s="258"/>
      <c r="AO253" s="258"/>
      <c r="AP253" s="258"/>
      <c r="AQ253" s="258"/>
      <c r="AR253" s="258"/>
      <c r="AS253" s="258"/>
    </row>
    <row r="254" spans="1:45" ht="122.4" customHeight="1" thickBot="1" x14ac:dyDescent="0.45">
      <c r="A254" s="258"/>
      <c r="B254" s="1298"/>
      <c r="C254" s="1298"/>
      <c r="D254" s="594"/>
      <c r="E254" s="258"/>
      <c r="F254" s="351"/>
      <c r="G254" s="258"/>
      <c r="H254" s="258"/>
      <c r="I254" s="258"/>
      <c r="J254" s="258"/>
      <c r="K254" s="258"/>
      <c r="L254" s="258"/>
      <c r="M254" s="258"/>
      <c r="N254" s="258"/>
      <c r="O254" s="258"/>
      <c r="P254" s="474"/>
      <c r="Q254" s="258"/>
      <c r="R254" s="258"/>
      <c r="S254" s="258"/>
      <c r="T254" s="258"/>
      <c r="U254" s="258"/>
      <c r="V254" s="258"/>
      <c r="W254" s="258"/>
      <c r="X254" s="258"/>
      <c r="Y254" s="258"/>
      <c r="Z254" s="258"/>
      <c r="AA254" s="258"/>
      <c r="AB254" s="258"/>
      <c r="AC254" s="258"/>
      <c r="AD254" s="258"/>
      <c r="AE254" s="258"/>
      <c r="AF254" s="258"/>
      <c r="AG254" s="258"/>
      <c r="AH254" s="258"/>
      <c r="AI254" s="258"/>
      <c r="AJ254" s="258"/>
      <c r="AK254" s="258"/>
      <c r="AL254" s="258"/>
      <c r="AM254" s="258"/>
      <c r="AN254" s="258"/>
      <c r="AO254" s="258"/>
      <c r="AP254" s="258"/>
      <c r="AQ254" s="258"/>
      <c r="AR254" s="258"/>
      <c r="AS254" s="258"/>
    </row>
    <row r="255" spans="1:45" ht="122.4" customHeight="1" thickBot="1" x14ac:dyDescent="0.45">
      <c r="A255" s="258"/>
      <c r="B255" s="1298"/>
      <c r="C255" s="1298"/>
      <c r="D255" s="594"/>
      <c r="E255" s="258"/>
      <c r="F255" s="351"/>
      <c r="G255" s="258"/>
      <c r="H255" s="258"/>
      <c r="I255" s="258"/>
      <c r="J255" s="258"/>
      <c r="K255" s="258"/>
      <c r="L255" s="258"/>
      <c r="M255" s="258"/>
      <c r="N255" s="258"/>
      <c r="O255" s="258"/>
      <c r="P255" s="474"/>
      <c r="Q255" s="258"/>
      <c r="R255" s="258"/>
      <c r="S255" s="258"/>
      <c r="T255" s="258"/>
      <c r="U255" s="258"/>
      <c r="V255" s="258"/>
      <c r="W255" s="258"/>
      <c r="X255" s="258"/>
      <c r="Y255" s="258"/>
      <c r="Z255" s="258"/>
      <c r="AA255" s="258"/>
      <c r="AB255" s="258"/>
      <c r="AC255" s="258"/>
      <c r="AD255" s="258"/>
      <c r="AE255" s="258"/>
      <c r="AF255" s="258"/>
      <c r="AG255" s="258"/>
      <c r="AH255" s="258"/>
      <c r="AI255" s="258"/>
      <c r="AJ255" s="258"/>
      <c r="AK255" s="258"/>
      <c r="AL255" s="258"/>
      <c r="AM255" s="258"/>
      <c r="AN255" s="258"/>
      <c r="AO255" s="258"/>
      <c r="AP255" s="258"/>
      <c r="AQ255" s="258"/>
      <c r="AR255" s="258"/>
      <c r="AS255" s="258"/>
    </row>
    <row r="256" spans="1:45" ht="122.4" customHeight="1" thickBot="1" x14ac:dyDescent="0.45">
      <c r="A256" s="258"/>
      <c r="B256" s="1298"/>
      <c r="C256" s="1298"/>
      <c r="D256" s="594"/>
      <c r="E256" s="258"/>
      <c r="F256" s="351"/>
      <c r="G256" s="258"/>
      <c r="H256" s="258"/>
      <c r="I256" s="258"/>
      <c r="J256" s="258"/>
      <c r="K256" s="258"/>
      <c r="L256" s="258"/>
      <c r="M256" s="258"/>
      <c r="N256" s="258"/>
      <c r="O256" s="258"/>
      <c r="P256" s="474"/>
      <c r="Q256" s="258"/>
      <c r="R256" s="258"/>
      <c r="S256" s="258"/>
      <c r="T256" s="258"/>
      <c r="U256" s="258"/>
      <c r="V256" s="258"/>
      <c r="W256" s="258"/>
      <c r="X256" s="258"/>
      <c r="Y256" s="258"/>
      <c r="Z256" s="258"/>
      <c r="AA256" s="258"/>
      <c r="AB256" s="258"/>
      <c r="AC256" s="258"/>
      <c r="AD256" s="258"/>
      <c r="AE256" s="258"/>
      <c r="AF256" s="258"/>
      <c r="AG256" s="258"/>
      <c r="AH256" s="258"/>
      <c r="AI256" s="258"/>
      <c r="AJ256" s="258"/>
      <c r="AK256" s="258"/>
      <c r="AL256" s="258"/>
      <c r="AM256" s="258"/>
      <c r="AN256" s="258"/>
      <c r="AO256" s="258"/>
      <c r="AP256" s="258"/>
      <c r="AQ256" s="258"/>
      <c r="AR256" s="258"/>
      <c r="AS256" s="258"/>
    </row>
    <row r="257" spans="1:45" ht="122.4" customHeight="1" thickBot="1" x14ac:dyDescent="0.45">
      <c r="A257" s="258"/>
      <c r="B257" s="1298"/>
      <c r="C257" s="1298"/>
      <c r="D257" s="594"/>
      <c r="E257" s="258"/>
      <c r="F257" s="351"/>
      <c r="G257" s="258"/>
      <c r="H257" s="258"/>
      <c r="I257" s="258"/>
      <c r="J257" s="258"/>
      <c r="K257" s="258"/>
      <c r="L257" s="258"/>
      <c r="M257" s="258"/>
      <c r="N257" s="258"/>
      <c r="O257" s="258"/>
      <c r="P257" s="474"/>
      <c r="Q257" s="258"/>
      <c r="R257" s="258"/>
      <c r="S257" s="258"/>
      <c r="T257" s="258"/>
      <c r="U257" s="258"/>
      <c r="V257" s="258"/>
      <c r="W257" s="258"/>
      <c r="X257" s="258"/>
      <c r="Y257" s="258"/>
      <c r="Z257" s="258"/>
      <c r="AA257" s="258"/>
      <c r="AB257" s="258"/>
      <c r="AC257" s="258"/>
      <c r="AD257" s="258"/>
      <c r="AE257" s="258"/>
      <c r="AF257" s="258"/>
      <c r="AG257" s="258"/>
      <c r="AH257" s="258"/>
      <c r="AI257" s="258"/>
      <c r="AJ257" s="258"/>
      <c r="AK257" s="258"/>
      <c r="AL257" s="258"/>
      <c r="AM257" s="258"/>
      <c r="AN257" s="258"/>
      <c r="AO257" s="258"/>
      <c r="AP257" s="258"/>
      <c r="AQ257" s="258"/>
      <c r="AR257" s="258"/>
      <c r="AS257" s="258"/>
    </row>
    <row r="258" spans="1:45" ht="122.4" customHeight="1" thickBot="1" x14ac:dyDescent="0.45">
      <c r="A258" s="258"/>
      <c r="B258" s="1298"/>
      <c r="C258" s="1298"/>
      <c r="D258" s="594"/>
      <c r="E258" s="258"/>
      <c r="F258" s="351"/>
      <c r="G258" s="258"/>
      <c r="H258" s="258"/>
      <c r="I258" s="258"/>
      <c r="J258" s="258"/>
      <c r="K258" s="258"/>
      <c r="L258" s="258"/>
      <c r="M258" s="258"/>
      <c r="N258" s="258"/>
      <c r="O258" s="258"/>
      <c r="P258" s="474"/>
      <c r="Q258" s="258"/>
      <c r="R258" s="258"/>
      <c r="S258" s="258"/>
      <c r="T258" s="258"/>
      <c r="U258" s="258"/>
      <c r="V258" s="258"/>
      <c r="W258" s="258"/>
      <c r="X258" s="258"/>
      <c r="Y258" s="258"/>
      <c r="Z258" s="258"/>
      <c r="AA258" s="258"/>
      <c r="AB258" s="258"/>
      <c r="AC258" s="258"/>
      <c r="AD258" s="258"/>
      <c r="AE258" s="258"/>
      <c r="AF258" s="258"/>
      <c r="AG258" s="258"/>
      <c r="AH258" s="258"/>
      <c r="AI258" s="258"/>
      <c r="AJ258" s="258"/>
      <c r="AK258" s="258"/>
      <c r="AL258" s="258"/>
      <c r="AM258" s="258"/>
      <c r="AN258" s="258"/>
      <c r="AO258" s="258"/>
      <c r="AP258" s="258"/>
      <c r="AQ258" s="258"/>
      <c r="AR258" s="258"/>
      <c r="AS258" s="258"/>
    </row>
    <row r="259" spans="1:45" ht="122.4" customHeight="1" thickBot="1" x14ac:dyDescent="0.45">
      <c r="A259" s="258"/>
      <c r="B259" s="1298"/>
      <c r="C259" s="1298"/>
      <c r="D259" s="594"/>
      <c r="E259" s="258"/>
      <c r="F259" s="351"/>
      <c r="G259" s="258"/>
      <c r="H259" s="258"/>
      <c r="I259" s="258"/>
      <c r="J259" s="258"/>
      <c r="K259" s="258"/>
      <c r="L259" s="258"/>
      <c r="M259" s="258"/>
      <c r="N259" s="258"/>
      <c r="O259" s="258"/>
      <c r="P259" s="474"/>
      <c r="Q259" s="258"/>
      <c r="R259" s="258"/>
      <c r="S259" s="258"/>
      <c r="T259" s="258"/>
      <c r="U259" s="258"/>
      <c r="V259" s="258"/>
      <c r="W259" s="258"/>
      <c r="X259" s="258"/>
      <c r="Y259" s="258"/>
      <c r="Z259" s="258"/>
      <c r="AA259" s="258"/>
      <c r="AB259" s="258"/>
      <c r="AC259" s="258"/>
      <c r="AD259" s="258"/>
      <c r="AE259" s="258"/>
      <c r="AF259" s="258"/>
      <c r="AG259" s="258"/>
      <c r="AH259" s="258"/>
      <c r="AI259" s="258"/>
      <c r="AJ259" s="258"/>
      <c r="AK259" s="258"/>
      <c r="AL259" s="258"/>
      <c r="AM259" s="258"/>
      <c r="AN259" s="258"/>
      <c r="AO259" s="258"/>
      <c r="AP259" s="258"/>
      <c r="AQ259" s="258"/>
      <c r="AR259" s="258"/>
      <c r="AS259" s="258"/>
    </row>
    <row r="260" spans="1:45" ht="122.4" customHeight="1" thickBot="1" x14ac:dyDescent="0.45">
      <c r="A260" s="258"/>
      <c r="B260" s="1298"/>
      <c r="C260" s="1298"/>
      <c r="D260" s="594"/>
      <c r="E260" s="258"/>
      <c r="F260" s="351"/>
      <c r="G260" s="258"/>
      <c r="H260" s="258"/>
      <c r="I260" s="258"/>
      <c r="J260" s="258"/>
      <c r="K260" s="258"/>
      <c r="L260" s="258"/>
      <c r="M260" s="258"/>
      <c r="N260" s="258"/>
      <c r="O260" s="258"/>
      <c r="P260" s="474"/>
      <c r="Q260" s="258"/>
      <c r="R260" s="258"/>
      <c r="S260" s="258"/>
      <c r="T260" s="258"/>
      <c r="U260" s="258"/>
      <c r="V260" s="258"/>
      <c r="W260" s="258"/>
      <c r="X260" s="258"/>
      <c r="Y260" s="258"/>
      <c r="Z260" s="258"/>
      <c r="AA260" s="258"/>
      <c r="AB260" s="258"/>
      <c r="AC260" s="258"/>
      <c r="AD260" s="258"/>
      <c r="AE260" s="258"/>
      <c r="AF260" s="258"/>
      <c r="AG260" s="258"/>
      <c r="AH260" s="258"/>
      <c r="AI260" s="258"/>
      <c r="AJ260" s="258"/>
      <c r="AK260" s="258"/>
      <c r="AL260" s="258"/>
      <c r="AM260" s="258"/>
      <c r="AN260" s="258"/>
      <c r="AO260" s="258"/>
      <c r="AP260" s="258"/>
      <c r="AQ260" s="258"/>
      <c r="AR260" s="258"/>
      <c r="AS260" s="258"/>
    </row>
    <row r="261" spans="1:45" ht="122.4" customHeight="1" thickBot="1" x14ac:dyDescent="0.45">
      <c r="A261" s="258"/>
      <c r="B261" s="1298"/>
      <c r="C261" s="1298"/>
      <c r="D261" s="594"/>
      <c r="E261" s="258"/>
      <c r="F261" s="351"/>
      <c r="G261" s="258"/>
      <c r="H261" s="258"/>
      <c r="I261" s="258"/>
      <c r="J261" s="258"/>
      <c r="K261" s="258"/>
      <c r="L261" s="258"/>
      <c r="M261" s="258"/>
      <c r="N261" s="258"/>
      <c r="O261" s="258"/>
      <c r="P261" s="474"/>
      <c r="Q261" s="258"/>
      <c r="R261" s="258"/>
      <c r="S261" s="258"/>
      <c r="T261" s="258"/>
      <c r="U261" s="258"/>
      <c r="V261" s="258"/>
      <c r="W261" s="258"/>
      <c r="X261" s="258"/>
      <c r="Y261" s="258"/>
      <c r="Z261" s="258"/>
      <c r="AA261" s="258"/>
      <c r="AB261" s="258"/>
      <c r="AC261" s="258"/>
      <c r="AD261" s="258"/>
      <c r="AE261" s="258"/>
      <c r="AF261" s="258"/>
      <c r="AG261" s="258"/>
      <c r="AH261" s="258"/>
      <c r="AI261" s="258"/>
      <c r="AJ261" s="258"/>
      <c r="AK261" s="258"/>
      <c r="AL261" s="258"/>
      <c r="AM261" s="258"/>
      <c r="AN261" s="258"/>
      <c r="AO261" s="258"/>
      <c r="AP261" s="258"/>
      <c r="AQ261" s="258"/>
      <c r="AR261" s="258"/>
      <c r="AS261" s="258"/>
    </row>
    <row r="262" spans="1:45" ht="122.4" customHeight="1" thickBot="1" x14ac:dyDescent="0.45">
      <c r="A262" s="258"/>
      <c r="B262" s="1298"/>
      <c r="C262" s="1298"/>
      <c r="D262" s="594"/>
      <c r="E262" s="258"/>
      <c r="F262" s="351"/>
      <c r="G262" s="258"/>
      <c r="H262" s="258"/>
      <c r="I262" s="258"/>
      <c r="J262" s="258"/>
      <c r="K262" s="258"/>
      <c r="L262" s="258"/>
      <c r="M262" s="258"/>
      <c r="N262" s="258"/>
      <c r="O262" s="258"/>
      <c r="P262" s="474"/>
      <c r="Q262" s="258"/>
      <c r="R262" s="258"/>
      <c r="S262" s="258"/>
      <c r="T262" s="258"/>
      <c r="U262" s="258"/>
      <c r="V262" s="258"/>
      <c r="W262" s="258"/>
      <c r="X262" s="258"/>
      <c r="Y262" s="258"/>
      <c r="Z262" s="258"/>
      <c r="AA262" s="258"/>
      <c r="AB262" s="258"/>
      <c r="AC262" s="258"/>
      <c r="AD262" s="258"/>
      <c r="AE262" s="258"/>
      <c r="AF262" s="258"/>
      <c r="AG262" s="258"/>
      <c r="AH262" s="258"/>
      <c r="AI262" s="258"/>
      <c r="AJ262" s="258"/>
      <c r="AK262" s="258"/>
      <c r="AL262" s="258"/>
      <c r="AM262" s="258"/>
      <c r="AN262" s="258"/>
      <c r="AO262" s="258"/>
      <c r="AP262" s="258"/>
      <c r="AQ262" s="258"/>
      <c r="AR262" s="258"/>
      <c r="AS262" s="258"/>
    </row>
    <row r="263" spans="1:45" ht="122.4" customHeight="1" thickBot="1" x14ac:dyDescent="0.45">
      <c r="A263" s="258"/>
      <c r="B263" s="1298"/>
      <c r="C263" s="1298"/>
      <c r="D263" s="594"/>
      <c r="E263" s="258"/>
      <c r="F263" s="351"/>
      <c r="G263" s="258"/>
      <c r="H263" s="258"/>
      <c r="I263" s="258"/>
      <c r="J263" s="258"/>
      <c r="K263" s="258"/>
      <c r="L263" s="258"/>
      <c r="M263" s="258"/>
      <c r="N263" s="258"/>
      <c r="O263" s="258"/>
      <c r="P263" s="474"/>
      <c r="Q263" s="258"/>
      <c r="R263" s="258"/>
      <c r="S263" s="258"/>
      <c r="T263" s="258"/>
      <c r="U263" s="258"/>
      <c r="V263" s="258"/>
      <c r="W263" s="258"/>
      <c r="X263" s="258"/>
      <c r="Y263" s="258"/>
      <c r="Z263" s="258"/>
      <c r="AA263" s="258"/>
      <c r="AB263" s="258"/>
      <c r="AC263" s="258"/>
      <c r="AD263" s="258"/>
      <c r="AE263" s="258"/>
      <c r="AF263" s="258"/>
      <c r="AG263" s="258"/>
      <c r="AH263" s="258"/>
      <c r="AI263" s="258"/>
      <c r="AJ263" s="258"/>
      <c r="AK263" s="258"/>
      <c r="AL263" s="258"/>
      <c r="AM263" s="258"/>
      <c r="AN263" s="258"/>
      <c r="AO263" s="258"/>
      <c r="AP263" s="258"/>
      <c r="AQ263" s="258"/>
      <c r="AR263" s="258"/>
      <c r="AS263" s="258"/>
    </row>
    <row r="264" spans="1:45" ht="122.4" customHeight="1" thickBot="1" x14ac:dyDescent="0.45">
      <c r="A264" s="258"/>
      <c r="B264" s="1298"/>
      <c r="C264" s="1298"/>
      <c r="D264" s="594"/>
      <c r="E264" s="258"/>
      <c r="F264" s="351"/>
      <c r="G264" s="258"/>
      <c r="H264" s="258"/>
      <c r="I264" s="258"/>
      <c r="J264" s="258"/>
      <c r="K264" s="258"/>
      <c r="L264" s="258"/>
      <c r="M264" s="258"/>
      <c r="N264" s="258"/>
      <c r="O264" s="258"/>
      <c r="P264" s="474"/>
      <c r="Q264" s="258"/>
      <c r="R264" s="258"/>
      <c r="S264" s="258"/>
      <c r="T264" s="258"/>
      <c r="U264" s="258"/>
      <c r="V264" s="258"/>
      <c r="W264" s="258"/>
      <c r="X264" s="258"/>
      <c r="Y264" s="258"/>
      <c r="Z264" s="258"/>
      <c r="AA264" s="258"/>
      <c r="AB264" s="258"/>
      <c r="AC264" s="258"/>
      <c r="AD264" s="258"/>
      <c r="AE264" s="258"/>
      <c r="AF264" s="258"/>
      <c r="AG264" s="258"/>
      <c r="AH264" s="258"/>
      <c r="AI264" s="258"/>
      <c r="AJ264" s="258"/>
      <c r="AK264" s="258"/>
      <c r="AL264" s="258"/>
      <c r="AM264" s="258"/>
      <c r="AN264" s="258"/>
      <c r="AO264" s="258"/>
      <c r="AP264" s="258"/>
      <c r="AQ264" s="258"/>
      <c r="AR264" s="258"/>
      <c r="AS264" s="258"/>
    </row>
    <row r="265" spans="1:45" ht="122.4" customHeight="1" thickBot="1" x14ac:dyDescent="0.45">
      <c r="A265" s="258"/>
      <c r="B265" s="1298"/>
      <c r="C265" s="1298"/>
      <c r="D265" s="594"/>
      <c r="E265" s="258"/>
      <c r="F265" s="351"/>
      <c r="G265" s="258"/>
      <c r="H265" s="258"/>
      <c r="I265" s="258"/>
      <c r="J265" s="258"/>
      <c r="K265" s="258"/>
      <c r="L265" s="258"/>
      <c r="M265" s="258"/>
      <c r="N265" s="258"/>
      <c r="O265" s="258"/>
      <c r="P265" s="474"/>
      <c r="Q265" s="258"/>
      <c r="R265" s="258"/>
      <c r="S265" s="258"/>
      <c r="T265" s="258"/>
      <c r="U265" s="258"/>
      <c r="V265" s="258"/>
      <c r="W265" s="258"/>
      <c r="X265" s="258"/>
      <c r="Y265" s="258"/>
      <c r="Z265" s="258"/>
      <c r="AA265" s="258"/>
      <c r="AB265" s="258"/>
      <c r="AC265" s="258"/>
      <c r="AD265" s="258"/>
      <c r="AE265" s="258"/>
      <c r="AF265" s="258"/>
      <c r="AG265" s="258"/>
      <c r="AH265" s="258"/>
      <c r="AI265" s="258"/>
      <c r="AJ265" s="258"/>
      <c r="AK265" s="258"/>
      <c r="AL265" s="258"/>
      <c r="AM265" s="258"/>
      <c r="AN265" s="258"/>
      <c r="AO265" s="258"/>
      <c r="AP265" s="258"/>
      <c r="AQ265" s="258"/>
      <c r="AR265" s="258"/>
      <c r="AS265" s="258"/>
    </row>
    <row r="266" spans="1:45" ht="122.4" customHeight="1" thickBot="1" x14ac:dyDescent="0.45">
      <c r="A266" s="258"/>
      <c r="B266" s="1298"/>
      <c r="C266" s="1298"/>
      <c r="D266" s="594"/>
      <c r="E266" s="258"/>
      <c r="F266" s="351"/>
      <c r="G266" s="258"/>
      <c r="H266" s="258"/>
      <c r="I266" s="258"/>
      <c r="J266" s="258"/>
      <c r="K266" s="258"/>
      <c r="L266" s="258"/>
      <c r="M266" s="258"/>
      <c r="N266" s="258"/>
      <c r="O266" s="258"/>
      <c r="P266" s="474"/>
      <c r="Q266" s="258"/>
      <c r="R266" s="258"/>
      <c r="S266" s="258"/>
      <c r="T266" s="258"/>
      <c r="U266" s="258"/>
      <c r="V266" s="258"/>
      <c r="W266" s="258"/>
      <c r="X266" s="258"/>
      <c r="Y266" s="258"/>
      <c r="Z266" s="258"/>
      <c r="AA266" s="258"/>
      <c r="AB266" s="258"/>
      <c r="AC266" s="258"/>
      <c r="AD266" s="258"/>
      <c r="AE266" s="258"/>
      <c r="AF266" s="258"/>
      <c r="AG266" s="258"/>
      <c r="AH266" s="258"/>
      <c r="AI266" s="258"/>
      <c r="AJ266" s="258"/>
      <c r="AK266" s="258"/>
      <c r="AL266" s="258"/>
      <c r="AM266" s="258"/>
      <c r="AN266" s="258"/>
      <c r="AO266" s="258"/>
      <c r="AP266" s="258"/>
      <c r="AQ266" s="258"/>
      <c r="AR266" s="258"/>
      <c r="AS266" s="258"/>
    </row>
    <row r="267" spans="1:45" ht="122.4" customHeight="1" thickBot="1" x14ac:dyDescent="0.45">
      <c r="A267" s="258"/>
      <c r="B267" s="1298"/>
      <c r="C267" s="1298"/>
      <c r="D267" s="594"/>
      <c r="E267" s="258"/>
      <c r="F267" s="351"/>
      <c r="G267" s="258"/>
      <c r="H267" s="258"/>
      <c r="I267" s="258"/>
      <c r="J267" s="258"/>
      <c r="K267" s="258"/>
      <c r="L267" s="258"/>
      <c r="M267" s="258"/>
      <c r="N267" s="258"/>
      <c r="O267" s="258"/>
      <c r="P267" s="474"/>
      <c r="Q267" s="258"/>
      <c r="R267" s="258"/>
      <c r="S267" s="258"/>
      <c r="T267" s="258"/>
      <c r="U267" s="258"/>
      <c r="V267" s="258"/>
      <c r="W267" s="258"/>
      <c r="X267" s="258"/>
      <c r="Y267" s="258"/>
      <c r="Z267" s="258"/>
      <c r="AA267" s="258"/>
      <c r="AB267" s="258"/>
      <c r="AC267" s="258"/>
      <c r="AD267" s="258"/>
      <c r="AE267" s="258"/>
      <c r="AF267" s="258"/>
      <c r="AG267" s="258"/>
      <c r="AH267" s="258"/>
      <c r="AI267" s="258"/>
      <c r="AJ267" s="258"/>
      <c r="AK267" s="258"/>
      <c r="AL267" s="258"/>
      <c r="AM267" s="258"/>
      <c r="AN267" s="258"/>
      <c r="AO267" s="258"/>
      <c r="AP267" s="258"/>
      <c r="AQ267" s="258"/>
      <c r="AR267" s="258"/>
      <c r="AS267" s="258"/>
    </row>
    <row r="268" spans="1:45" ht="122.4" customHeight="1" thickBot="1" x14ac:dyDescent="0.45">
      <c r="A268" s="258"/>
      <c r="B268" s="1298"/>
      <c r="C268" s="1298"/>
      <c r="D268" s="594"/>
      <c r="E268" s="258"/>
      <c r="F268" s="351"/>
      <c r="G268" s="258"/>
      <c r="H268" s="258"/>
      <c r="I268" s="258"/>
      <c r="J268" s="258"/>
      <c r="K268" s="258"/>
      <c r="L268" s="258"/>
      <c r="M268" s="258"/>
      <c r="N268" s="258"/>
      <c r="O268" s="258"/>
      <c r="P268" s="474"/>
      <c r="Q268" s="258"/>
      <c r="R268" s="258"/>
      <c r="S268" s="258"/>
      <c r="T268" s="258"/>
      <c r="U268" s="258"/>
      <c r="V268" s="258"/>
      <c r="W268" s="258"/>
      <c r="X268" s="258"/>
      <c r="Y268" s="258"/>
      <c r="Z268" s="258"/>
      <c r="AA268" s="258"/>
      <c r="AB268" s="258"/>
      <c r="AC268" s="258"/>
      <c r="AD268" s="258"/>
      <c r="AE268" s="258"/>
      <c r="AF268" s="258"/>
      <c r="AG268" s="258"/>
      <c r="AH268" s="258"/>
      <c r="AI268" s="258"/>
      <c r="AJ268" s="258"/>
      <c r="AK268" s="258"/>
      <c r="AL268" s="258"/>
      <c r="AM268" s="258"/>
      <c r="AN268" s="258"/>
      <c r="AO268" s="258"/>
      <c r="AP268" s="258"/>
      <c r="AQ268" s="258"/>
      <c r="AR268" s="258"/>
      <c r="AS268" s="258"/>
    </row>
    <row r="269" spans="1:45" ht="122.4" customHeight="1" thickBot="1" x14ac:dyDescent="0.45">
      <c r="A269" s="258"/>
      <c r="B269" s="1298"/>
      <c r="C269" s="1298"/>
      <c r="D269" s="594"/>
      <c r="E269" s="258"/>
      <c r="F269" s="351"/>
      <c r="G269" s="258"/>
      <c r="H269" s="258"/>
      <c r="I269" s="258"/>
      <c r="J269" s="258"/>
      <c r="K269" s="258"/>
      <c r="L269" s="258"/>
      <c r="M269" s="258"/>
      <c r="N269" s="258"/>
      <c r="O269" s="258"/>
      <c r="P269" s="474"/>
      <c r="Q269" s="258"/>
      <c r="R269" s="258"/>
      <c r="S269" s="258"/>
      <c r="T269" s="258"/>
      <c r="U269" s="258"/>
      <c r="V269" s="258"/>
      <c r="W269" s="258"/>
      <c r="X269" s="258"/>
      <c r="Y269" s="258"/>
      <c r="Z269" s="258"/>
      <c r="AA269" s="258"/>
      <c r="AB269" s="258"/>
      <c r="AC269" s="258"/>
      <c r="AD269" s="258"/>
      <c r="AE269" s="258"/>
      <c r="AF269" s="258"/>
      <c r="AG269" s="258"/>
      <c r="AH269" s="258"/>
      <c r="AI269" s="258"/>
      <c r="AJ269" s="258"/>
      <c r="AK269" s="258"/>
      <c r="AL269" s="258"/>
      <c r="AM269" s="258"/>
      <c r="AN269" s="258"/>
      <c r="AO269" s="258"/>
      <c r="AP269" s="258"/>
      <c r="AQ269" s="258"/>
      <c r="AR269" s="258"/>
      <c r="AS269" s="258"/>
    </row>
    <row r="270" spans="1:45" ht="122.4" customHeight="1" thickBot="1" x14ac:dyDescent="0.45">
      <c r="A270" s="258"/>
      <c r="B270" s="1298"/>
      <c r="C270" s="1298"/>
      <c r="D270" s="594"/>
      <c r="E270" s="258"/>
      <c r="F270" s="351"/>
      <c r="G270" s="258"/>
      <c r="H270" s="258"/>
      <c r="I270" s="258"/>
      <c r="J270" s="258"/>
      <c r="K270" s="258"/>
      <c r="L270" s="258"/>
      <c r="M270" s="258"/>
      <c r="N270" s="258"/>
      <c r="O270" s="258"/>
      <c r="P270" s="474"/>
      <c r="Q270" s="258"/>
      <c r="R270" s="258"/>
      <c r="S270" s="258"/>
      <c r="T270" s="258"/>
      <c r="U270" s="258"/>
      <c r="V270" s="258"/>
      <c r="W270" s="258"/>
      <c r="X270" s="258"/>
      <c r="Y270" s="258"/>
      <c r="Z270" s="258"/>
      <c r="AA270" s="258"/>
      <c r="AB270" s="258"/>
      <c r="AC270" s="258"/>
      <c r="AD270" s="258"/>
      <c r="AE270" s="258"/>
      <c r="AF270" s="258"/>
      <c r="AG270" s="258"/>
      <c r="AH270" s="258"/>
      <c r="AI270" s="258"/>
      <c r="AJ270" s="258"/>
      <c r="AK270" s="258"/>
      <c r="AL270" s="258"/>
      <c r="AM270" s="258"/>
      <c r="AN270" s="258"/>
      <c r="AO270" s="258"/>
      <c r="AP270" s="258"/>
      <c r="AQ270" s="258"/>
      <c r="AR270" s="258"/>
      <c r="AS270" s="258"/>
    </row>
    <row r="271" spans="1:45" ht="122.4" customHeight="1" thickBot="1" x14ac:dyDescent="0.45">
      <c r="A271" s="258"/>
      <c r="B271" s="1298"/>
      <c r="C271" s="1298"/>
      <c r="D271" s="594"/>
      <c r="E271" s="258"/>
      <c r="F271" s="351"/>
      <c r="G271" s="258"/>
      <c r="H271" s="258"/>
      <c r="I271" s="258"/>
      <c r="J271" s="258"/>
      <c r="K271" s="258"/>
      <c r="L271" s="258"/>
      <c r="M271" s="258"/>
      <c r="N271" s="258"/>
      <c r="O271" s="258"/>
      <c r="P271" s="474"/>
      <c r="Q271" s="258"/>
      <c r="R271" s="258"/>
      <c r="S271" s="258"/>
      <c r="T271" s="258"/>
      <c r="U271" s="258"/>
      <c r="V271" s="258"/>
      <c r="W271" s="258"/>
      <c r="X271" s="258"/>
      <c r="Y271" s="258"/>
      <c r="Z271" s="258"/>
      <c r="AA271" s="258"/>
      <c r="AB271" s="258"/>
      <c r="AC271" s="258"/>
      <c r="AD271" s="258"/>
      <c r="AE271" s="258"/>
      <c r="AF271" s="258"/>
      <c r="AG271" s="258"/>
      <c r="AH271" s="258"/>
      <c r="AI271" s="258"/>
      <c r="AJ271" s="258"/>
      <c r="AK271" s="258"/>
      <c r="AL271" s="258"/>
      <c r="AM271" s="258"/>
      <c r="AN271" s="258"/>
      <c r="AO271" s="258"/>
      <c r="AP271" s="258"/>
      <c r="AQ271" s="258"/>
      <c r="AR271" s="258"/>
      <c r="AS271" s="258"/>
    </row>
    <row r="272" spans="1:45" ht="122.4" customHeight="1" thickBot="1" x14ac:dyDescent="0.45">
      <c r="A272" s="258"/>
      <c r="B272" s="1298"/>
      <c r="C272" s="1298"/>
      <c r="D272" s="594"/>
      <c r="E272" s="258"/>
      <c r="F272" s="351"/>
      <c r="G272" s="258"/>
      <c r="H272" s="258"/>
      <c r="I272" s="258"/>
      <c r="J272" s="258"/>
      <c r="K272" s="258"/>
      <c r="L272" s="258"/>
      <c r="M272" s="258"/>
      <c r="N272" s="258"/>
      <c r="O272" s="258"/>
      <c r="P272" s="474"/>
      <c r="Q272" s="258"/>
      <c r="R272" s="258"/>
      <c r="S272" s="258"/>
      <c r="T272" s="258"/>
      <c r="U272" s="258"/>
      <c r="V272" s="258"/>
      <c r="W272" s="258"/>
      <c r="X272" s="258"/>
      <c r="Y272" s="258"/>
      <c r="Z272" s="258"/>
      <c r="AA272" s="258"/>
      <c r="AB272" s="258"/>
      <c r="AC272" s="258"/>
      <c r="AD272" s="258"/>
      <c r="AE272" s="258"/>
      <c r="AF272" s="258"/>
      <c r="AG272" s="258"/>
      <c r="AH272" s="258"/>
      <c r="AI272" s="258"/>
      <c r="AJ272" s="258"/>
      <c r="AK272" s="258"/>
      <c r="AL272" s="258"/>
      <c r="AM272" s="258"/>
      <c r="AN272" s="258"/>
      <c r="AO272" s="258"/>
      <c r="AP272" s="258"/>
      <c r="AQ272" s="258"/>
      <c r="AR272" s="258"/>
      <c r="AS272" s="258"/>
    </row>
    <row r="273" spans="1:45" ht="122.4" customHeight="1" thickBot="1" x14ac:dyDescent="0.45">
      <c r="A273" s="258"/>
      <c r="B273" s="1298"/>
      <c r="C273" s="1298"/>
      <c r="D273" s="594"/>
      <c r="E273" s="258"/>
      <c r="F273" s="351"/>
      <c r="G273" s="258"/>
      <c r="H273" s="258"/>
      <c r="I273" s="258"/>
      <c r="J273" s="258"/>
      <c r="K273" s="258"/>
      <c r="L273" s="258"/>
      <c r="M273" s="258"/>
      <c r="N273" s="258"/>
      <c r="O273" s="258"/>
      <c r="P273" s="474"/>
      <c r="Q273" s="258"/>
      <c r="R273" s="258"/>
      <c r="S273" s="258"/>
      <c r="T273" s="258"/>
      <c r="U273" s="258"/>
      <c r="V273" s="258"/>
      <c r="W273" s="258"/>
      <c r="X273" s="258"/>
      <c r="Y273" s="258"/>
      <c r="Z273" s="258"/>
      <c r="AA273" s="258"/>
      <c r="AB273" s="258"/>
      <c r="AC273" s="258"/>
      <c r="AD273" s="258"/>
      <c r="AE273" s="258"/>
      <c r="AF273" s="258"/>
      <c r="AG273" s="258"/>
      <c r="AH273" s="258"/>
      <c r="AI273" s="258"/>
      <c r="AJ273" s="258"/>
      <c r="AK273" s="258"/>
      <c r="AL273" s="258"/>
      <c r="AM273" s="258"/>
      <c r="AN273" s="258"/>
      <c r="AO273" s="258"/>
      <c r="AP273" s="258"/>
      <c r="AQ273" s="258"/>
      <c r="AR273" s="258"/>
      <c r="AS273" s="258"/>
    </row>
    <row r="274" spans="1:45" ht="122.4" customHeight="1" thickBot="1" x14ac:dyDescent="0.45">
      <c r="A274" s="258"/>
      <c r="B274" s="1298"/>
      <c r="C274" s="1298"/>
      <c r="D274" s="594"/>
      <c r="E274" s="258"/>
      <c r="F274" s="351"/>
      <c r="G274" s="258"/>
      <c r="H274" s="258"/>
      <c r="I274" s="258"/>
      <c r="J274" s="258"/>
      <c r="K274" s="258"/>
      <c r="L274" s="258"/>
      <c r="M274" s="258"/>
      <c r="N274" s="258"/>
      <c r="O274" s="258"/>
      <c r="P274" s="474"/>
      <c r="Q274" s="258"/>
      <c r="R274" s="258"/>
      <c r="S274" s="258"/>
      <c r="T274" s="258"/>
      <c r="U274" s="258"/>
      <c r="V274" s="258"/>
      <c r="W274" s="258"/>
      <c r="X274" s="258"/>
      <c r="Y274" s="258"/>
      <c r="Z274" s="258"/>
      <c r="AA274" s="258"/>
      <c r="AB274" s="258"/>
      <c r="AC274" s="258"/>
      <c r="AD274" s="258"/>
      <c r="AE274" s="258"/>
      <c r="AF274" s="258"/>
      <c r="AG274" s="258"/>
      <c r="AH274" s="258"/>
      <c r="AI274" s="258"/>
      <c r="AJ274" s="258"/>
      <c r="AK274" s="258"/>
      <c r="AL274" s="258"/>
      <c r="AM274" s="258"/>
      <c r="AN274" s="258"/>
      <c r="AO274" s="258"/>
      <c r="AP274" s="258"/>
      <c r="AQ274" s="258"/>
      <c r="AR274" s="258"/>
      <c r="AS274" s="258"/>
    </row>
    <row r="275" spans="1:45" ht="122.4" customHeight="1" thickBot="1" x14ac:dyDescent="0.45">
      <c r="A275" s="258"/>
      <c r="B275" s="1298"/>
      <c r="C275" s="1298"/>
      <c r="D275" s="594"/>
      <c r="E275" s="258"/>
      <c r="F275" s="351"/>
      <c r="G275" s="258"/>
      <c r="H275" s="258"/>
      <c r="I275" s="258"/>
      <c r="J275" s="258"/>
      <c r="K275" s="258"/>
      <c r="L275" s="258"/>
      <c r="M275" s="258"/>
      <c r="N275" s="258"/>
      <c r="O275" s="258"/>
      <c r="P275" s="474"/>
      <c r="Q275" s="258"/>
      <c r="R275" s="258"/>
      <c r="S275" s="258"/>
      <c r="T275" s="258"/>
      <c r="U275" s="258"/>
      <c r="V275" s="258"/>
      <c r="W275" s="258"/>
      <c r="X275" s="258"/>
      <c r="Y275" s="258"/>
      <c r="Z275" s="258"/>
      <c r="AA275" s="258"/>
      <c r="AB275" s="258"/>
      <c r="AC275" s="258"/>
      <c r="AD275" s="258"/>
      <c r="AE275" s="258"/>
      <c r="AF275" s="258"/>
      <c r="AG275" s="258"/>
      <c r="AH275" s="258"/>
      <c r="AI275" s="258"/>
      <c r="AJ275" s="258"/>
      <c r="AK275" s="258"/>
      <c r="AL275" s="258"/>
      <c r="AM275" s="258"/>
      <c r="AN275" s="258"/>
      <c r="AO275" s="258"/>
      <c r="AP275" s="258"/>
      <c r="AQ275" s="258"/>
      <c r="AR275" s="258"/>
      <c r="AS275" s="258"/>
    </row>
    <row r="276" spans="1:45" ht="122.4" customHeight="1" thickBot="1" x14ac:dyDescent="0.45">
      <c r="A276" s="258"/>
      <c r="B276" s="1298"/>
      <c r="C276" s="1298"/>
      <c r="D276" s="594"/>
      <c r="E276" s="258"/>
      <c r="F276" s="351"/>
      <c r="G276" s="258"/>
      <c r="H276" s="258"/>
      <c r="I276" s="258"/>
      <c r="J276" s="258"/>
      <c r="K276" s="258"/>
      <c r="L276" s="258"/>
      <c r="M276" s="258"/>
      <c r="N276" s="258"/>
      <c r="O276" s="258"/>
      <c r="P276" s="474"/>
      <c r="Q276" s="258"/>
      <c r="R276" s="258"/>
      <c r="S276" s="258"/>
      <c r="T276" s="258"/>
      <c r="U276" s="258"/>
      <c r="V276" s="258"/>
      <c r="W276" s="258"/>
      <c r="X276" s="258"/>
      <c r="Y276" s="258"/>
      <c r="Z276" s="258"/>
      <c r="AA276" s="258"/>
      <c r="AB276" s="258"/>
      <c r="AC276" s="258"/>
      <c r="AD276" s="258"/>
      <c r="AE276" s="258"/>
      <c r="AF276" s="258"/>
      <c r="AG276" s="258"/>
      <c r="AH276" s="258"/>
      <c r="AI276" s="258"/>
      <c r="AJ276" s="258"/>
      <c r="AK276" s="258"/>
      <c r="AL276" s="258"/>
      <c r="AM276" s="258"/>
      <c r="AN276" s="258"/>
      <c r="AO276" s="258"/>
      <c r="AP276" s="258"/>
      <c r="AQ276" s="258"/>
      <c r="AR276" s="258"/>
      <c r="AS276" s="258"/>
    </row>
    <row r="277" spans="1:45" ht="122.4" customHeight="1" thickBot="1" x14ac:dyDescent="0.45">
      <c r="A277" s="258"/>
      <c r="B277" s="1298"/>
      <c r="C277" s="1298"/>
      <c r="D277" s="594"/>
      <c r="E277" s="258"/>
      <c r="F277" s="351"/>
      <c r="G277" s="258"/>
      <c r="H277" s="258"/>
      <c r="I277" s="258"/>
      <c r="J277" s="258"/>
      <c r="K277" s="258"/>
      <c r="L277" s="258"/>
      <c r="M277" s="258"/>
      <c r="N277" s="258"/>
      <c r="O277" s="258"/>
      <c r="P277" s="474"/>
      <c r="Q277" s="258"/>
      <c r="R277" s="258"/>
      <c r="S277" s="258"/>
      <c r="T277" s="258"/>
      <c r="U277" s="258"/>
      <c r="V277" s="258"/>
      <c r="W277" s="258"/>
      <c r="X277" s="258"/>
      <c r="Y277" s="258"/>
      <c r="Z277" s="258"/>
      <c r="AA277" s="258"/>
      <c r="AB277" s="258"/>
      <c r="AC277" s="258"/>
      <c r="AD277" s="258"/>
      <c r="AE277" s="258"/>
      <c r="AF277" s="258"/>
      <c r="AG277" s="258"/>
      <c r="AH277" s="258"/>
      <c r="AI277" s="258"/>
      <c r="AJ277" s="258"/>
      <c r="AK277" s="258"/>
      <c r="AL277" s="258"/>
      <c r="AM277" s="258"/>
      <c r="AN277" s="258"/>
      <c r="AO277" s="258"/>
      <c r="AP277" s="258"/>
      <c r="AQ277" s="258"/>
      <c r="AR277" s="258"/>
      <c r="AS277" s="258"/>
    </row>
    <row r="278" spans="1:45" ht="122.4" customHeight="1" thickBot="1" x14ac:dyDescent="0.45">
      <c r="A278" s="258"/>
      <c r="B278" s="1298"/>
      <c r="C278" s="1298"/>
      <c r="D278" s="594"/>
      <c r="E278" s="258"/>
      <c r="F278" s="351"/>
      <c r="G278" s="258"/>
      <c r="H278" s="258"/>
      <c r="I278" s="258"/>
      <c r="J278" s="258"/>
      <c r="K278" s="258"/>
      <c r="L278" s="258"/>
      <c r="M278" s="258"/>
      <c r="N278" s="258"/>
      <c r="O278" s="258"/>
      <c r="P278" s="474"/>
      <c r="Q278" s="258"/>
      <c r="R278" s="258"/>
      <c r="S278" s="258"/>
      <c r="T278" s="258"/>
      <c r="U278" s="258"/>
      <c r="V278" s="258"/>
      <c r="W278" s="258"/>
      <c r="X278" s="258"/>
      <c r="Y278" s="258"/>
      <c r="Z278" s="258"/>
      <c r="AA278" s="258"/>
      <c r="AB278" s="258"/>
      <c r="AC278" s="258"/>
      <c r="AD278" s="258"/>
      <c r="AE278" s="258"/>
      <c r="AF278" s="258"/>
      <c r="AG278" s="258"/>
      <c r="AH278" s="258"/>
      <c r="AI278" s="258"/>
      <c r="AJ278" s="258"/>
      <c r="AK278" s="258"/>
      <c r="AL278" s="258"/>
      <c r="AM278" s="258"/>
      <c r="AN278" s="258"/>
      <c r="AO278" s="258"/>
      <c r="AP278" s="258"/>
      <c r="AQ278" s="258"/>
      <c r="AR278" s="258"/>
      <c r="AS278" s="258"/>
    </row>
    <row r="279" spans="1:45" ht="122.4" customHeight="1" thickBot="1" x14ac:dyDescent="0.45">
      <c r="A279" s="258"/>
      <c r="B279" s="1298"/>
      <c r="C279" s="1298"/>
      <c r="D279" s="594"/>
      <c r="E279" s="258"/>
      <c r="F279" s="351"/>
      <c r="G279" s="258"/>
      <c r="H279" s="258"/>
      <c r="I279" s="258"/>
      <c r="J279" s="258"/>
      <c r="K279" s="258"/>
      <c r="L279" s="258"/>
      <c r="M279" s="258"/>
      <c r="N279" s="258"/>
      <c r="O279" s="258"/>
      <c r="P279" s="474"/>
      <c r="Q279" s="258"/>
      <c r="R279" s="258"/>
      <c r="S279" s="258"/>
      <c r="T279" s="258"/>
      <c r="U279" s="258"/>
      <c r="V279" s="258"/>
      <c r="W279" s="258"/>
      <c r="X279" s="258"/>
      <c r="Y279" s="258"/>
      <c r="Z279" s="258"/>
      <c r="AA279" s="258"/>
      <c r="AB279" s="258"/>
      <c r="AC279" s="258"/>
      <c r="AD279" s="258"/>
      <c r="AE279" s="258"/>
      <c r="AF279" s="258"/>
      <c r="AG279" s="258"/>
      <c r="AH279" s="258"/>
      <c r="AI279" s="258"/>
      <c r="AJ279" s="258"/>
      <c r="AK279" s="258"/>
      <c r="AL279" s="258"/>
      <c r="AM279" s="258"/>
      <c r="AN279" s="258"/>
      <c r="AO279" s="258"/>
      <c r="AP279" s="258"/>
      <c r="AQ279" s="258"/>
      <c r="AR279" s="258"/>
      <c r="AS279" s="258"/>
    </row>
    <row r="280" spans="1:45" ht="122.4" customHeight="1" thickBot="1" x14ac:dyDescent="0.45">
      <c r="A280" s="258"/>
      <c r="B280" s="1298"/>
      <c r="C280" s="1298"/>
      <c r="D280" s="594"/>
      <c r="E280" s="258"/>
      <c r="F280" s="351"/>
      <c r="G280" s="258"/>
      <c r="H280" s="258"/>
      <c r="I280" s="258"/>
      <c r="J280" s="258"/>
      <c r="K280" s="258"/>
      <c r="L280" s="258"/>
      <c r="M280" s="258"/>
      <c r="N280" s="258"/>
      <c r="O280" s="258"/>
      <c r="P280" s="474"/>
      <c r="Q280" s="258"/>
      <c r="R280" s="258"/>
      <c r="S280" s="258"/>
      <c r="T280" s="258"/>
      <c r="U280" s="258"/>
      <c r="V280" s="258"/>
      <c r="W280" s="258"/>
      <c r="X280" s="258"/>
      <c r="Y280" s="258"/>
      <c r="Z280" s="258"/>
      <c r="AA280" s="258"/>
      <c r="AB280" s="258"/>
      <c r="AC280" s="258"/>
      <c r="AD280" s="258"/>
      <c r="AE280" s="258"/>
      <c r="AF280" s="258"/>
      <c r="AG280" s="258"/>
      <c r="AH280" s="258"/>
      <c r="AI280" s="258"/>
      <c r="AJ280" s="258"/>
      <c r="AK280" s="258"/>
      <c r="AL280" s="258"/>
      <c r="AM280" s="258"/>
      <c r="AN280" s="258"/>
      <c r="AO280" s="258"/>
      <c r="AP280" s="258"/>
      <c r="AQ280" s="258"/>
      <c r="AR280" s="258"/>
      <c r="AS280" s="258"/>
    </row>
    <row r="281" spans="1:45" ht="122.4" customHeight="1" thickBot="1" x14ac:dyDescent="0.45">
      <c r="A281" s="258"/>
      <c r="B281" s="1298"/>
      <c r="C281" s="1298"/>
      <c r="D281" s="594"/>
      <c r="E281" s="258"/>
      <c r="F281" s="351"/>
      <c r="G281" s="258"/>
      <c r="H281" s="258"/>
      <c r="I281" s="258"/>
      <c r="J281" s="258"/>
      <c r="K281" s="258"/>
      <c r="L281" s="258"/>
      <c r="M281" s="258"/>
      <c r="N281" s="258"/>
      <c r="O281" s="258"/>
      <c r="P281" s="474"/>
      <c r="Q281" s="258"/>
      <c r="R281" s="258"/>
      <c r="S281" s="258"/>
      <c r="T281" s="258"/>
      <c r="U281" s="258"/>
      <c r="V281" s="258"/>
      <c r="W281" s="258"/>
      <c r="X281" s="258"/>
      <c r="Y281" s="258"/>
      <c r="Z281" s="258"/>
      <c r="AA281" s="258"/>
      <c r="AB281" s="258"/>
      <c r="AC281" s="258"/>
      <c r="AD281" s="258"/>
      <c r="AE281" s="258"/>
      <c r="AF281" s="258"/>
      <c r="AG281" s="258"/>
      <c r="AH281" s="258"/>
      <c r="AI281" s="258"/>
      <c r="AJ281" s="258"/>
      <c r="AK281" s="258"/>
      <c r="AL281" s="258"/>
      <c r="AM281" s="258"/>
      <c r="AN281" s="258"/>
      <c r="AO281" s="258"/>
      <c r="AP281" s="258"/>
      <c r="AQ281" s="258"/>
      <c r="AR281" s="258"/>
      <c r="AS281" s="258"/>
    </row>
    <row r="282" spans="1:45" ht="122.4" customHeight="1" thickBot="1" x14ac:dyDescent="0.45">
      <c r="A282" s="258"/>
      <c r="B282" s="1298"/>
      <c r="C282" s="1298"/>
      <c r="D282" s="594"/>
      <c r="E282" s="258"/>
      <c r="F282" s="351"/>
      <c r="G282" s="258"/>
      <c r="H282" s="258"/>
      <c r="I282" s="258"/>
      <c r="J282" s="258"/>
      <c r="K282" s="258"/>
      <c r="L282" s="258"/>
      <c r="M282" s="258"/>
      <c r="N282" s="258"/>
      <c r="O282" s="258"/>
      <c r="P282" s="474"/>
      <c r="Q282" s="258"/>
      <c r="R282" s="258"/>
      <c r="S282" s="258"/>
      <c r="T282" s="258"/>
      <c r="U282" s="258"/>
      <c r="V282" s="258"/>
      <c r="W282" s="258"/>
      <c r="X282" s="258"/>
      <c r="Y282" s="258"/>
      <c r="Z282" s="258"/>
      <c r="AA282" s="258"/>
      <c r="AB282" s="258"/>
      <c r="AC282" s="258"/>
      <c r="AD282" s="258"/>
      <c r="AE282" s="258"/>
      <c r="AF282" s="258"/>
      <c r="AG282" s="258"/>
      <c r="AH282" s="258"/>
      <c r="AI282" s="258"/>
      <c r="AJ282" s="258"/>
      <c r="AK282" s="258"/>
      <c r="AL282" s="258"/>
      <c r="AM282" s="258"/>
      <c r="AN282" s="258"/>
      <c r="AO282" s="258"/>
      <c r="AP282" s="258"/>
      <c r="AQ282" s="258"/>
      <c r="AR282" s="258"/>
      <c r="AS282" s="258"/>
    </row>
    <row r="283" spans="1:45" ht="122.4" customHeight="1" thickBot="1" x14ac:dyDescent="0.45">
      <c r="A283" s="258"/>
      <c r="B283" s="1298"/>
      <c r="C283" s="1298"/>
      <c r="D283" s="594"/>
      <c r="E283" s="258"/>
      <c r="F283" s="351"/>
      <c r="G283" s="258"/>
      <c r="H283" s="258"/>
      <c r="I283" s="258"/>
      <c r="J283" s="258"/>
      <c r="K283" s="258"/>
      <c r="L283" s="258"/>
      <c r="M283" s="258"/>
      <c r="N283" s="258"/>
      <c r="O283" s="258"/>
      <c r="P283" s="474"/>
      <c r="Q283" s="258"/>
      <c r="R283" s="258"/>
      <c r="S283" s="258"/>
      <c r="T283" s="258"/>
      <c r="U283" s="258"/>
      <c r="V283" s="258"/>
      <c r="W283" s="258"/>
      <c r="X283" s="258"/>
      <c r="Y283" s="258"/>
      <c r="Z283" s="258"/>
      <c r="AA283" s="258"/>
      <c r="AB283" s="258"/>
      <c r="AC283" s="258"/>
      <c r="AD283" s="258"/>
      <c r="AE283" s="258"/>
      <c r="AF283" s="258"/>
      <c r="AG283" s="258"/>
      <c r="AH283" s="258"/>
      <c r="AI283" s="258"/>
      <c r="AJ283" s="258"/>
      <c r="AK283" s="258"/>
      <c r="AL283" s="258"/>
      <c r="AM283" s="258"/>
      <c r="AN283" s="258"/>
      <c r="AO283" s="258"/>
      <c r="AP283" s="258"/>
      <c r="AQ283" s="258"/>
      <c r="AR283" s="258"/>
      <c r="AS283" s="258"/>
    </row>
    <row r="284" spans="1:45" ht="122.4" customHeight="1" thickBot="1" x14ac:dyDescent="0.45">
      <c r="A284" s="258"/>
      <c r="B284" s="1298"/>
      <c r="C284" s="1298"/>
      <c r="D284" s="594"/>
      <c r="E284" s="258"/>
      <c r="F284" s="351"/>
      <c r="G284" s="258"/>
      <c r="H284" s="258"/>
      <c r="I284" s="258"/>
      <c r="J284" s="258"/>
      <c r="K284" s="258"/>
      <c r="L284" s="258"/>
      <c r="M284" s="258"/>
      <c r="N284" s="258"/>
      <c r="O284" s="258"/>
      <c r="P284" s="474"/>
      <c r="Q284" s="258"/>
      <c r="R284" s="258"/>
      <c r="S284" s="258"/>
      <c r="T284" s="258"/>
      <c r="U284" s="258"/>
      <c r="V284" s="258"/>
      <c r="W284" s="258"/>
      <c r="X284" s="258"/>
      <c r="Y284" s="258"/>
      <c r="Z284" s="258"/>
      <c r="AA284" s="258"/>
      <c r="AB284" s="258"/>
      <c r="AC284" s="258"/>
      <c r="AD284" s="258"/>
      <c r="AE284" s="258"/>
      <c r="AF284" s="258"/>
      <c r="AG284" s="258"/>
      <c r="AH284" s="258"/>
      <c r="AI284" s="258"/>
      <c r="AJ284" s="258"/>
      <c r="AK284" s="258"/>
      <c r="AL284" s="258"/>
      <c r="AM284" s="258"/>
      <c r="AN284" s="258"/>
      <c r="AO284" s="258"/>
      <c r="AP284" s="258"/>
      <c r="AQ284" s="258"/>
      <c r="AR284" s="258"/>
      <c r="AS284" s="258"/>
    </row>
    <row r="285" spans="1:45" ht="122.4" customHeight="1" thickBot="1" x14ac:dyDescent="0.45">
      <c r="A285" s="258"/>
      <c r="B285" s="1298"/>
      <c r="C285" s="1298"/>
      <c r="D285" s="594"/>
      <c r="E285" s="258"/>
      <c r="F285" s="351"/>
      <c r="G285" s="258"/>
      <c r="H285" s="258"/>
      <c r="I285" s="258"/>
      <c r="J285" s="258"/>
      <c r="K285" s="258"/>
      <c r="L285" s="258"/>
      <c r="M285" s="258"/>
      <c r="N285" s="258"/>
      <c r="O285" s="258"/>
      <c r="P285" s="474"/>
      <c r="Q285" s="258"/>
      <c r="R285" s="258"/>
      <c r="S285" s="258"/>
      <c r="T285" s="258"/>
      <c r="U285" s="258"/>
      <c r="V285" s="258"/>
      <c r="W285" s="258"/>
      <c r="X285" s="258"/>
      <c r="Y285" s="258"/>
      <c r="Z285" s="258"/>
      <c r="AA285" s="258"/>
      <c r="AB285" s="258"/>
      <c r="AC285" s="258"/>
      <c r="AD285" s="258"/>
      <c r="AE285" s="258"/>
      <c r="AF285" s="258"/>
      <c r="AG285" s="258"/>
      <c r="AH285" s="258"/>
      <c r="AI285" s="258"/>
      <c r="AJ285" s="258"/>
      <c r="AK285" s="258"/>
      <c r="AL285" s="258"/>
      <c r="AM285" s="258"/>
      <c r="AN285" s="258"/>
      <c r="AO285" s="258"/>
      <c r="AP285" s="258"/>
      <c r="AQ285" s="258"/>
      <c r="AR285" s="258"/>
      <c r="AS285" s="258"/>
    </row>
    <row r="286" spans="1:45" ht="122.4" customHeight="1" thickBot="1" x14ac:dyDescent="0.45">
      <c r="A286" s="258"/>
      <c r="B286" s="1298"/>
      <c r="C286" s="1298"/>
      <c r="D286" s="594"/>
      <c r="E286" s="258"/>
      <c r="F286" s="351"/>
      <c r="G286" s="258"/>
      <c r="H286" s="258"/>
      <c r="I286" s="258"/>
      <c r="J286" s="258"/>
      <c r="K286" s="258"/>
      <c r="L286" s="258"/>
      <c r="M286" s="258"/>
      <c r="N286" s="258"/>
      <c r="O286" s="258"/>
      <c r="P286" s="474"/>
      <c r="Q286" s="258"/>
      <c r="R286" s="258"/>
      <c r="S286" s="258"/>
      <c r="T286" s="258"/>
      <c r="U286" s="258"/>
      <c r="V286" s="258"/>
      <c r="W286" s="258"/>
      <c r="X286" s="258"/>
      <c r="Y286" s="258"/>
      <c r="Z286" s="258"/>
      <c r="AA286" s="258"/>
      <c r="AB286" s="258"/>
      <c r="AC286" s="258"/>
      <c r="AD286" s="258"/>
      <c r="AE286" s="258"/>
      <c r="AF286" s="258"/>
      <c r="AG286" s="258"/>
      <c r="AH286" s="258"/>
      <c r="AI286" s="258"/>
      <c r="AJ286" s="258"/>
      <c r="AK286" s="258"/>
      <c r="AL286" s="258"/>
      <c r="AM286" s="258"/>
      <c r="AN286" s="258"/>
      <c r="AO286" s="258"/>
      <c r="AP286" s="258"/>
      <c r="AQ286" s="258"/>
      <c r="AR286" s="258"/>
      <c r="AS286" s="258"/>
    </row>
    <row r="287" spans="1:45" ht="122.4" customHeight="1" thickBot="1" x14ac:dyDescent="0.45">
      <c r="A287" s="258"/>
      <c r="B287" s="1298"/>
      <c r="C287" s="1298"/>
      <c r="D287" s="594"/>
      <c r="E287" s="258"/>
      <c r="F287" s="351"/>
      <c r="G287" s="258"/>
      <c r="H287" s="258"/>
      <c r="I287" s="258"/>
      <c r="J287" s="258"/>
      <c r="K287" s="258"/>
      <c r="L287" s="258"/>
      <c r="M287" s="258"/>
      <c r="N287" s="258"/>
      <c r="O287" s="258"/>
      <c r="P287" s="474"/>
      <c r="Q287" s="258"/>
      <c r="R287" s="258"/>
      <c r="S287" s="258"/>
      <c r="T287" s="258"/>
      <c r="U287" s="258"/>
      <c r="V287" s="258"/>
      <c r="W287" s="258"/>
      <c r="X287" s="258"/>
      <c r="Y287" s="258"/>
      <c r="Z287" s="258"/>
      <c r="AA287" s="258"/>
      <c r="AB287" s="258"/>
      <c r="AC287" s="258"/>
      <c r="AD287" s="258"/>
      <c r="AE287" s="258"/>
      <c r="AF287" s="258"/>
      <c r="AG287" s="258"/>
      <c r="AH287" s="258"/>
      <c r="AI287" s="258"/>
      <c r="AJ287" s="258"/>
      <c r="AK287" s="258"/>
      <c r="AL287" s="258"/>
      <c r="AM287" s="258"/>
      <c r="AN287" s="258"/>
      <c r="AO287" s="258"/>
      <c r="AP287" s="258"/>
      <c r="AQ287" s="258"/>
      <c r="AR287" s="258"/>
      <c r="AS287" s="258"/>
    </row>
    <row r="288" spans="1:45" ht="122.4" customHeight="1" thickBot="1" x14ac:dyDescent="0.45">
      <c r="A288" s="258"/>
      <c r="B288" s="1298"/>
      <c r="C288" s="1298"/>
      <c r="D288" s="594"/>
      <c r="E288" s="258"/>
      <c r="F288" s="351"/>
      <c r="G288" s="258"/>
      <c r="H288" s="258"/>
      <c r="I288" s="258"/>
      <c r="J288" s="258"/>
      <c r="K288" s="258"/>
      <c r="L288" s="258"/>
      <c r="M288" s="258"/>
      <c r="N288" s="258"/>
      <c r="O288" s="258"/>
      <c r="P288" s="474"/>
      <c r="Q288" s="258"/>
      <c r="R288" s="258"/>
      <c r="S288" s="258"/>
      <c r="T288" s="258"/>
      <c r="U288" s="258"/>
      <c r="V288" s="258"/>
      <c r="W288" s="258"/>
      <c r="X288" s="258"/>
      <c r="Y288" s="258"/>
      <c r="Z288" s="258"/>
      <c r="AA288" s="258"/>
      <c r="AB288" s="258"/>
      <c r="AC288" s="258"/>
      <c r="AD288" s="258"/>
      <c r="AE288" s="258"/>
      <c r="AF288" s="258"/>
      <c r="AG288" s="258"/>
      <c r="AH288" s="258"/>
      <c r="AI288" s="258"/>
      <c r="AJ288" s="258"/>
      <c r="AK288" s="258"/>
      <c r="AL288" s="258"/>
      <c r="AM288" s="258"/>
      <c r="AN288" s="258"/>
      <c r="AO288" s="258"/>
      <c r="AP288" s="258"/>
      <c r="AQ288" s="258"/>
      <c r="AR288" s="258"/>
      <c r="AS288" s="258"/>
    </row>
    <row r="289" spans="1:45" ht="122.4" customHeight="1" thickBot="1" x14ac:dyDescent="0.45">
      <c r="A289" s="258"/>
      <c r="B289" s="1298"/>
      <c r="C289" s="1298"/>
      <c r="D289" s="594"/>
      <c r="E289" s="258"/>
      <c r="F289" s="351"/>
      <c r="G289" s="258"/>
      <c r="H289" s="258"/>
      <c r="I289" s="258"/>
      <c r="J289" s="258"/>
      <c r="K289" s="258"/>
      <c r="L289" s="258"/>
      <c r="M289" s="258"/>
      <c r="N289" s="258"/>
      <c r="O289" s="258"/>
      <c r="P289" s="474"/>
      <c r="Q289" s="258"/>
      <c r="R289" s="258"/>
      <c r="S289" s="258"/>
      <c r="T289" s="258"/>
      <c r="U289" s="258"/>
      <c r="V289" s="258"/>
      <c r="W289" s="258"/>
      <c r="X289" s="258"/>
      <c r="Y289" s="258"/>
      <c r="Z289" s="258"/>
      <c r="AA289" s="258"/>
      <c r="AB289" s="258"/>
      <c r="AC289" s="258"/>
      <c r="AD289" s="258"/>
      <c r="AE289" s="258"/>
      <c r="AF289" s="258"/>
      <c r="AG289" s="258"/>
      <c r="AH289" s="258"/>
      <c r="AI289" s="258"/>
      <c r="AJ289" s="258"/>
      <c r="AK289" s="258"/>
      <c r="AL289" s="258"/>
      <c r="AM289" s="258"/>
      <c r="AN289" s="258"/>
      <c r="AO289" s="258"/>
      <c r="AP289" s="258"/>
      <c r="AQ289" s="258"/>
      <c r="AR289" s="258"/>
      <c r="AS289" s="258"/>
    </row>
    <row r="290" spans="1:45" ht="122.4" customHeight="1" thickBot="1" x14ac:dyDescent="0.45">
      <c r="A290" s="258"/>
      <c r="B290" s="1298"/>
      <c r="C290" s="1298"/>
      <c r="D290" s="594"/>
      <c r="E290" s="258"/>
      <c r="F290" s="351"/>
      <c r="G290" s="258"/>
      <c r="H290" s="258"/>
      <c r="I290" s="258"/>
      <c r="J290" s="258"/>
      <c r="K290" s="258"/>
      <c r="L290" s="258"/>
      <c r="M290" s="258"/>
      <c r="N290" s="258"/>
      <c r="O290" s="258"/>
      <c r="P290" s="474"/>
      <c r="Q290" s="258"/>
      <c r="R290" s="258"/>
      <c r="S290" s="258"/>
      <c r="T290" s="258"/>
      <c r="U290" s="258"/>
      <c r="V290" s="258"/>
      <c r="W290" s="258"/>
      <c r="X290" s="258"/>
      <c r="Y290" s="258"/>
      <c r="Z290" s="258"/>
      <c r="AA290" s="258"/>
      <c r="AB290" s="258"/>
      <c r="AC290" s="258"/>
      <c r="AD290" s="258"/>
      <c r="AE290" s="258"/>
      <c r="AF290" s="258"/>
      <c r="AG290" s="258"/>
      <c r="AH290" s="258"/>
      <c r="AI290" s="258"/>
      <c r="AJ290" s="258"/>
      <c r="AK290" s="258"/>
      <c r="AL290" s="258"/>
      <c r="AM290" s="258"/>
      <c r="AN290" s="258"/>
      <c r="AO290" s="258"/>
      <c r="AP290" s="258"/>
      <c r="AQ290" s="258"/>
      <c r="AR290" s="258"/>
      <c r="AS290" s="258"/>
    </row>
    <row r="291" spans="1:45" ht="122.4" customHeight="1" thickBot="1" x14ac:dyDescent="0.45">
      <c r="A291" s="258"/>
      <c r="B291" s="1298"/>
      <c r="C291" s="1298"/>
      <c r="D291" s="594"/>
      <c r="E291" s="258"/>
      <c r="F291" s="351"/>
      <c r="G291" s="258"/>
      <c r="H291" s="258"/>
      <c r="I291" s="258"/>
      <c r="J291" s="258"/>
      <c r="K291" s="258"/>
      <c r="L291" s="258"/>
      <c r="M291" s="258"/>
      <c r="N291" s="258"/>
      <c r="O291" s="258"/>
      <c r="P291" s="474"/>
      <c r="Q291" s="258"/>
      <c r="R291" s="258"/>
      <c r="S291" s="258"/>
      <c r="T291" s="258"/>
      <c r="U291" s="258"/>
      <c r="V291" s="258"/>
      <c r="W291" s="258"/>
      <c r="X291" s="258"/>
      <c r="Y291" s="258"/>
      <c r="Z291" s="258"/>
      <c r="AA291" s="258"/>
      <c r="AB291" s="258"/>
      <c r="AC291" s="258"/>
      <c r="AD291" s="258"/>
      <c r="AE291" s="258"/>
      <c r="AF291" s="258"/>
      <c r="AG291" s="258"/>
      <c r="AH291" s="258"/>
      <c r="AI291" s="258"/>
      <c r="AJ291" s="258"/>
      <c r="AK291" s="258"/>
      <c r="AL291" s="258"/>
      <c r="AM291" s="258"/>
      <c r="AN291" s="258"/>
      <c r="AO291" s="258"/>
      <c r="AP291" s="258"/>
      <c r="AQ291" s="258"/>
      <c r="AR291" s="258"/>
      <c r="AS291" s="258"/>
    </row>
    <row r="292" spans="1:45" ht="122.4" customHeight="1" thickBot="1" x14ac:dyDescent="0.45">
      <c r="A292" s="258"/>
      <c r="B292" s="1298"/>
      <c r="C292" s="1298"/>
      <c r="D292" s="594"/>
      <c r="E292" s="258"/>
      <c r="F292" s="351"/>
      <c r="G292" s="258"/>
      <c r="H292" s="258"/>
      <c r="I292" s="258"/>
      <c r="J292" s="258"/>
      <c r="K292" s="258"/>
      <c r="L292" s="258"/>
      <c r="M292" s="258"/>
      <c r="N292" s="258"/>
      <c r="O292" s="258"/>
      <c r="P292" s="474"/>
      <c r="Q292" s="258"/>
      <c r="R292" s="258"/>
      <c r="S292" s="258"/>
      <c r="T292" s="258"/>
      <c r="U292" s="258"/>
      <c r="V292" s="258"/>
      <c r="W292" s="258"/>
      <c r="X292" s="258"/>
      <c r="Y292" s="258"/>
      <c r="Z292" s="258"/>
      <c r="AA292" s="258"/>
      <c r="AB292" s="258"/>
      <c r="AC292" s="258"/>
      <c r="AD292" s="258"/>
      <c r="AE292" s="258"/>
      <c r="AF292" s="258"/>
      <c r="AG292" s="258"/>
      <c r="AH292" s="258"/>
      <c r="AI292" s="258"/>
      <c r="AJ292" s="258"/>
      <c r="AK292" s="258"/>
      <c r="AL292" s="258"/>
      <c r="AM292" s="258"/>
      <c r="AN292" s="258"/>
      <c r="AO292" s="258"/>
      <c r="AP292" s="258"/>
      <c r="AQ292" s="258"/>
      <c r="AR292" s="258"/>
      <c r="AS292" s="258"/>
    </row>
    <row r="293" spans="1:45" ht="122.4" customHeight="1" thickBot="1" x14ac:dyDescent="0.45">
      <c r="A293" s="258"/>
      <c r="B293" s="1298"/>
      <c r="C293" s="1298"/>
      <c r="D293" s="594"/>
      <c r="E293" s="258"/>
      <c r="F293" s="351"/>
      <c r="G293" s="258"/>
      <c r="H293" s="258"/>
      <c r="I293" s="258"/>
      <c r="J293" s="258"/>
      <c r="K293" s="258"/>
      <c r="L293" s="258"/>
      <c r="M293" s="258"/>
      <c r="N293" s="258"/>
      <c r="O293" s="258"/>
      <c r="P293" s="474"/>
      <c r="Q293" s="258"/>
      <c r="R293" s="258"/>
      <c r="S293" s="258"/>
      <c r="T293" s="258"/>
      <c r="U293" s="258"/>
      <c r="V293" s="258"/>
      <c r="W293" s="258"/>
      <c r="X293" s="258"/>
      <c r="Y293" s="258"/>
      <c r="Z293" s="258"/>
      <c r="AA293" s="258"/>
      <c r="AB293" s="258"/>
      <c r="AC293" s="258"/>
      <c r="AD293" s="258"/>
      <c r="AE293" s="258"/>
      <c r="AF293" s="258"/>
      <c r="AG293" s="258"/>
      <c r="AH293" s="258"/>
      <c r="AI293" s="258"/>
      <c r="AJ293" s="258"/>
      <c r="AK293" s="258"/>
      <c r="AL293" s="258"/>
      <c r="AM293" s="258"/>
      <c r="AN293" s="258"/>
      <c r="AO293" s="258"/>
      <c r="AP293" s="258"/>
      <c r="AQ293" s="258"/>
      <c r="AR293" s="258"/>
      <c r="AS293" s="258"/>
    </row>
    <row r="294" spans="1:45" ht="122.4" customHeight="1" thickBot="1" x14ac:dyDescent="0.45">
      <c r="A294" s="258"/>
      <c r="B294" s="1298"/>
      <c r="C294" s="1298"/>
      <c r="D294" s="594"/>
      <c r="E294" s="258"/>
      <c r="F294" s="351"/>
      <c r="G294" s="258"/>
      <c r="H294" s="258"/>
      <c r="I294" s="258"/>
      <c r="J294" s="258"/>
      <c r="K294" s="258"/>
      <c r="L294" s="258"/>
      <c r="M294" s="258"/>
      <c r="N294" s="258"/>
      <c r="O294" s="258"/>
      <c r="P294" s="474"/>
      <c r="Q294" s="258"/>
      <c r="R294" s="258"/>
      <c r="S294" s="258"/>
      <c r="T294" s="258"/>
      <c r="U294" s="258"/>
      <c r="V294" s="258"/>
      <c r="W294" s="258"/>
      <c r="X294" s="258"/>
      <c r="Y294" s="258"/>
      <c r="Z294" s="258"/>
      <c r="AA294" s="258"/>
      <c r="AB294" s="258"/>
      <c r="AC294" s="258"/>
      <c r="AD294" s="258"/>
      <c r="AE294" s="258"/>
      <c r="AF294" s="258"/>
      <c r="AG294" s="258"/>
      <c r="AH294" s="258"/>
      <c r="AI294" s="258"/>
      <c r="AJ294" s="258"/>
      <c r="AK294" s="258"/>
      <c r="AL294" s="258"/>
      <c r="AM294" s="258"/>
      <c r="AN294" s="258"/>
      <c r="AO294" s="258"/>
      <c r="AP294" s="258"/>
      <c r="AQ294" s="258"/>
      <c r="AR294" s="258"/>
      <c r="AS294" s="258"/>
    </row>
    <row r="295" spans="1:45" ht="122.4" customHeight="1" thickBot="1" x14ac:dyDescent="0.45">
      <c r="A295" s="258"/>
      <c r="B295" s="1298"/>
      <c r="C295" s="1298"/>
      <c r="D295" s="594"/>
      <c r="E295" s="258"/>
      <c r="F295" s="351"/>
      <c r="G295" s="258"/>
      <c r="H295" s="258"/>
      <c r="I295" s="258"/>
      <c r="J295" s="258"/>
      <c r="K295" s="258"/>
      <c r="L295" s="258"/>
      <c r="M295" s="258"/>
      <c r="N295" s="258"/>
      <c r="O295" s="258"/>
      <c r="P295" s="474"/>
      <c r="Q295" s="258"/>
      <c r="R295" s="258"/>
      <c r="S295" s="258"/>
      <c r="T295" s="258"/>
      <c r="U295" s="258"/>
      <c r="V295" s="258"/>
      <c r="W295" s="258"/>
      <c r="X295" s="258"/>
      <c r="Y295" s="258"/>
      <c r="Z295" s="258"/>
      <c r="AA295" s="258"/>
      <c r="AB295" s="258"/>
      <c r="AC295" s="258"/>
      <c r="AD295" s="258"/>
      <c r="AE295" s="258"/>
      <c r="AF295" s="258"/>
      <c r="AG295" s="258"/>
      <c r="AH295" s="258"/>
      <c r="AI295" s="258"/>
      <c r="AJ295" s="258"/>
      <c r="AK295" s="258"/>
      <c r="AL295" s="258"/>
      <c r="AM295" s="258"/>
      <c r="AN295" s="258"/>
      <c r="AO295" s="258"/>
      <c r="AP295" s="258"/>
      <c r="AQ295" s="258"/>
      <c r="AR295" s="258"/>
      <c r="AS295" s="258"/>
    </row>
    <row r="296" spans="1:45" ht="122.4" customHeight="1" thickBot="1" x14ac:dyDescent="0.45">
      <c r="A296" s="258"/>
      <c r="B296" s="1298"/>
      <c r="C296" s="1298"/>
      <c r="D296" s="594"/>
      <c r="E296" s="258"/>
      <c r="F296" s="351"/>
      <c r="G296" s="258"/>
      <c r="H296" s="258"/>
      <c r="I296" s="258"/>
      <c r="J296" s="258"/>
      <c r="K296" s="258"/>
      <c r="L296" s="258"/>
      <c r="M296" s="258"/>
      <c r="N296" s="258"/>
      <c r="O296" s="258"/>
      <c r="P296" s="474"/>
      <c r="Q296" s="258"/>
      <c r="R296" s="258"/>
      <c r="S296" s="258"/>
      <c r="T296" s="258"/>
      <c r="U296" s="258"/>
      <c r="V296" s="258"/>
      <c r="W296" s="258"/>
      <c r="X296" s="258"/>
      <c r="Y296" s="258"/>
      <c r="Z296" s="258"/>
      <c r="AA296" s="258"/>
      <c r="AB296" s="258"/>
      <c r="AC296" s="258"/>
      <c r="AD296" s="258"/>
      <c r="AE296" s="258"/>
      <c r="AF296" s="258"/>
      <c r="AG296" s="258"/>
      <c r="AH296" s="258"/>
      <c r="AI296" s="258"/>
      <c r="AJ296" s="258"/>
      <c r="AK296" s="258"/>
      <c r="AL296" s="258"/>
      <c r="AM296" s="258"/>
      <c r="AN296" s="258"/>
      <c r="AO296" s="258"/>
      <c r="AP296" s="258"/>
      <c r="AQ296" s="258"/>
      <c r="AR296" s="258"/>
      <c r="AS296" s="258"/>
    </row>
    <row r="297" spans="1:45" ht="122.4" customHeight="1" thickBot="1" x14ac:dyDescent="0.45">
      <c r="A297" s="258"/>
      <c r="B297" s="1298"/>
      <c r="C297" s="1298"/>
      <c r="D297" s="594"/>
      <c r="E297" s="258"/>
      <c r="F297" s="351"/>
      <c r="G297" s="258"/>
      <c r="H297" s="258"/>
      <c r="I297" s="258"/>
      <c r="J297" s="258"/>
      <c r="K297" s="258"/>
      <c r="L297" s="258"/>
      <c r="M297" s="258"/>
      <c r="N297" s="258"/>
      <c r="O297" s="258"/>
      <c r="P297" s="474"/>
      <c r="Q297" s="258"/>
      <c r="R297" s="258"/>
      <c r="S297" s="258"/>
      <c r="T297" s="258"/>
      <c r="U297" s="258"/>
      <c r="V297" s="258"/>
      <c r="W297" s="258"/>
      <c r="X297" s="258"/>
      <c r="Y297" s="258"/>
      <c r="Z297" s="258"/>
      <c r="AA297" s="258"/>
      <c r="AB297" s="258"/>
      <c r="AC297" s="258"/>
      <c r="AD297" s="258"/>
      <c r="AE297" s="258"/>
      <c r="AF297" s="258"/>
      <c r="AG297" s="258"/>
      <c r="AH297" s="258"/>
      <c r="AI297" s="258"/>
      <c r="AJ297" s="258"/>
      <c r="AK297" s="258"/>
      <c r="AL297" s="258"/>
      <c r="AM297" s="258"/>
      <c r="AN297" s="258"/>
      <c r="AO297" s="258"/>
      <c r="AP297" s="258"/>
      <c r="AQ297" s="258"/>
      <c r="AR297" s="258"/>
      <c r="AS297" s="258"/>
    </row>
    <row r="298" spans="1:45" ht="122.4" customHeight="1" thickBot="1" x14ac:dyDescent="0.45">
      <c r="A298" s="258"/>
      <c r="B298" s="1298"/>
      <c r="C298" s="1298"/>
      <c r="D298" s="594"/>
      <c r="E298" s="258"/>
      <c r="F298" s="351"/>
      <c r="G298" s="258"/>
      <c r="H298" s="258"/>
      <c r="I298" s="258"/>
      <c r="J298" s="258"/>
      <c r="K298" s="258"/>
      <c r="L298" s="258"/>
      <c r="M298" s="258"/>
      <c r="N298" s="258"/>
      <c r="O298" s="258"/>
      <c r="P298" s="474"/>
      <c r="Q298" s="258"/>
      <c r="R298" s="258"/>
      <c r="S298" s="258"/>
      <c r="T298" s="258"/>
      <c r="U298" s="258"/>
      <c r="V298" s="258"/>
      <c r="W298" s="258"/>
      <c r="X298" s="258"/>
      <c r="Y298" s="258"/>
      <c r="Z298" s="258"/>
      <c r="AA298" s="258"/>
      <c r="AB298" s="258"/>
      <c r="AC298" s="258"/>
      <c r="AD298" s="258"/>
      <c r="AE298" s="258"/>
      <c r="AF298" s="258"/>
      <c r="AG298" s="258"/>
      <c r="AH298" s="258"/>
      <c r="AI298" s="258"/>
      <c r="AJ298" s="258"/>
      <c r="AK298" s="258"/>
      <c r="AL298" s="258"/>
      <c r="AM298" s="258"/>
      <c r="AN298" s="258"/>
      <c r="AO298" s="258"/>
      <c r="AP298" s="258"/>
      <c r="AQ298" s="258"/>
      <c r="AR298" s="258"/>
      <c r="AS298" s="258"/>
    </row>
    <row r="299" spans="1:45" ht="122.4" customHeight="1" thickBot="1" x14ac:dyDescent="0.45">
      <c r="A299" s="258"/>
      <c r="B299" s="1298"/>
      <c r="C299" s="1298"/>
      <c r="D299" s="594"/>
      <c r="E299" s="258"/>
      <c r="F299" s="351"/>
      <c r="G299" s="258"/>
      <c r="H299" s="258"/>
      <c r="I299" s="258"/>
      <c r="J299" s="258"/>
      <c r="K299" s="258"/>
      <c r="L299" s="258"/>
      <c r="M299" s="258"/>
      <c r="N299" s="258"/>
      <c r="O299" s="258"/>
      <c r="P299" s="474"/>
      <c r="Q299" s="258"/>
      <c r="R299" s="258"/>
      <c r="S299" s="258"/>
      <c r="T299" s="258"/>
      <c r="U299" s="258"/>
      <c r="V299" s="258"/>
      <c r="W299" s="258"/>
      <c r="X299" s="258"/>
      <c r="Y299" s="258"/>
      <c r="Z299" s="258"/>
      <c r="AA299" s="258"/>
      <c r="AB299" s="258"/>
      <c r="AC299" s="258"/>
      <c r="AD299" s="258"/>
      <c r="AE299" s="258"/>
      <c r="AF299" s="258"/>
      <c r="AG299" s="258"/>
      <c r="AH299" s="258"/>
      <c r="AI299" s="258"/>
      <c r="AJ299" s="258"/>
      <c r="AK299" s="258"/>
      <c r="AL299" s="258"/>
      <c r="AM299" s="258"/>
      <c r="AN299" s="258"/>
      <c r="AO299" s="258"/>
      <c r="AP299" s="258"/>
      <c r="AQ299" s="258"/>
      <c r="AR299" s="258"/>
      <c r="AS299" s="258"/>
    </row>
    <row r="300" spans="1:45" ht="122.4" customHeight="1" thickBot="1" x14ac:dyDescent="0.45">
      <c r="A300" s="258"/>
      <c r="B300" s="1298"/>
      <c r="C300" s="1298"/>
      <c r="D300" s="594"/>
      <c r="E300" s="258"/>
      <c r="F300" s="351"/>
      <c r="G300" s="258"/>
      <c r="H300" s="258"/>
      <c r="I300" s="258"/>
      <c r="J300" s="258"/>
      <c r="K300" s="258"/>
      <c r="L300" s="258"/>
      <c r="M300" s="258"/>
      <c r="N300" s="258"/>
      <c r="O300" s="258"/>
      <c r="P300" s="474"/>
      <c r="Q300" s="258"/>
      <c r="R300" s="258"/>
      <c r="S300" s="258"/>
      <c r="T300" s="258"/>
      <c r="U300" s="258"/>
      <c r="V300" s="258"/>
      <c r="W300" s="258"/>
      <c r="X300" s="258"/>
      <c r="Y300" s="258"/>
      <c r="Z300" s="258"/>
      <c r="AA300" s="258"/>
      <c r="AB300" s="258"/>
      <c r="AC300" s="258"/>
      <c r="AD300" s="258"/>
      <c r="AE300" s="258"/>
      <c r="AF300" s="258"/>
      <c r="AG300" s="258"/>
      <c r="AH300" s="258"/>
      <c r="AI300" s="258"/>
      <c r="AJ300" s="258"/>
      <c r="AK300" s="258"/>
      <c r="AL300" s="258"/>
      <c r="AM300" s="258"/>
      <c r="AN300" s="258"/>
      <c r="AO300" s="258"/>
      <c r="AP300" s="258"/>
      <c r="AQ300" s="258"/>
      <c r="AR300" s="258"/>
      <c r="AS300" s="258"/>
    </row>
    <row r="301" spans="1:45" ht="122.4" customHeight="1" thickBot="1" x14ac:dyDescent="0.45">
      <c r="A301" s="258"/>
      <c r="B301" s="1298"/>
      <c r="C301" s="1298"/>
      <c r="D301" s="594"/>
      <c r="E301" s="258"/>
      <c r="F301" s="351"/>
      <c r="G301" s="258"/>
      <c r="H301" s="258"/>
      <c r="I301" s="258"/>
      <c r="J301" s="258"/>
      <c r="K301" s="258"/>
      <c r="L301" s="258"/>
      <c r="M301" s="258"/>
      <c r="N301" s="258"/>
      <c r="O301" s="258"/>
      <c r="P301" s="474"/>
      <c r="Q301" s="258"/>
      <c r="R301" s="258"/>
      <c r="S301" s="258"/>
      <c r="T301" s="258"/>
      <c r="U301" s="258"/>
      <c r="V301" s="258"/>
      <c r="W301" s="258"/>
      <c r="X301" s="258"/>
      <c r="Y301" s="258"/>
      <c r="Z301" s="258"/>
      <c r="AA301" s="258"/>
      <c r="AB301" s="258"/>
      <c r="AC301" s="258"/>
      <c r="AD301" s="258"/>
      <c r="AE301" s="258"/>
      <c r="AF301" s="258"/>
      <c r="AG301" s="258"/>
      <c r="AH301" s="258"/>
      <c r="AI301" s="258"/>
      <c r="AJ301" s="258"/>
      <c r="AK301" s="258"/>
      <c r="AL301" s="258"/>
      <c r="AM301" s="258"/>
      <c r="AN301" s="258"/>
      <c r="AO301" s="258"/>
      <c r="AP301" s="258"/>
      <c r="AQ301" s="258"/>
      <c r="AR301" s="258"/>
      <c r="AS301" s="258"/>
    </row>
    <row r="302" spans="1:45" ht="122.4" customHeight="1" thickBot="1" x14ac:dyDescent="0.45">
      <c r="A302" s="258"/>
      <c r="B302" s="1298"/>
      <c r="C302" s="1298"/>
      <c r="D302" s="594"/>
      <c r="E302" s="258"/>
      <c r="F302" s="351"/>
      <c r="G302" s="258"/>
      <c r="H302" s="258"/>
      <c r="I302" s="258"/>
      <c r="J302" s="258"/>
      <c r="K302" s="258"/>
      <c r="L302" s="258"/>
      <c r="M302" s="258"/>
      <c r="N302" s="258"/>
      <c r="O302" s="258"/>
      <c r="P302" s="474"/>
      <c r="Q302" s="258"/>
      <c r="R302" s="258"/>
      <c r="S302" s="258"/>
      <c r="T302" s="258"/>
      <c r="U302" s="258"/>
      <c r="V302" s="258"/>
      <c r="W302" s="258"/>
      <c r="X302" s="258"/>
      <c r="Y302" s="258"/>
      <c r="Z302" s="258"/>
      <c r="AA302" s="258"/>
      <c r="AB302" s="258"/>
      <c r="AC302" s="258"/>
      <c r="AD302" s="258"/>
      <c r="AE302" s="258"/>
      <c r="AF302" s="258"/>
      <c r="AG302" s="258"/>
      <c r="AH302" s="258"/>
      <c r="AI302" s="258"/>
      <c r="AJ302" s="258"/>
      <c r="AK302" s="258"/>
      <c r="AL302" s="258"/>
      <c r="AM302" s="258"/>
      <c r="AN302" s="258"/>
      <c r="AO302" s="258"/>
      <c r="AP302" s="258"/>
      <c r="AQ302" s="258"/>
      <c r="AR302" s="258"/>
      <c r="AS302" s="258"/>
    </row>
    <row r="303" spans="1:45" ht="122.4" customHeight="1" thickBot="1" x14ac:dyDescent="0.45">
      <c r="A303" s="258"/>
      <c r="B303" s="1298"/>
      <c r="C303" s="1298"/>
      <c r="D303" s="594"/>
      <c r="E303" s="258"/>
      <c r="F303" s="351"/>
      <c r="G303" s="258"/>
      <c r="H303" s="258"/>
      <c r="I303" s="258"/>
      <c r="J303" s="258"/>
      <c r="K303" s="258"/>
      <c r="L303" s="258"/>
      <c r="M303" s="258"/>
      <c r="N303" s="258"/>
      <c r="O303" s="258"/>
      <c r="P303" s="474"/>
      <c r="Q303" s="258"/>
      <c r="R303" s="258"/>
      <c r="S303" s="258"/>
      <c r="T303" s="258"/>
      <c r="U303" s="258"/>
      <c r="V303" s="258"/>
      <c r="W303" s="258"/>
      <c r="X303" s="258"/>
      <c r="Y303" s="258"/>
      <c r="Z303" s="258"/>
      <c r="AA303" s="258"/>
      <c r="AB303" s="258"/>
      <c r="AC303" s="258"/>
      <c r="AD303" s="258"/>
      <c r="AE303" s="258"/>
      <c r="AF303" s="258"/>
      <c r="AG303" s="258"/>
      <c r="AH303" s="258"/>
      <c r="AI303" s="258"/>
      <c r="AJ303" s="258"/>
      <c r="AK303" s="258"/>
      <c r="AL303" s="258"/>
      <c r="AM303" s="258"/>
      <c r="AN303" s="258"/>
      <c r="AO303" s="258"/>
      <c r="AP303" s="258"/>
      <c r="AQ303" s="258"/>
      <c r="AR303" s="258"/>
      <c r="AS303" s="258"/>
    </row>
    <row r="304" spans="1:45" ht="122.4" customHeight="1" thickBot="1" x14ac:dyDescent="0.45">
      <c r="A304" s="258"/>
      <c r="B304" s="1298"/>
      <c r="C304" s="1298"/>
      <c r="D304" s="594"/>
      <c r="E304" s="258"/>
      <c r="F304" s="351"/>
      <c r="G304" s="258"/>
      <c r="H304" s="258"/>
      <c r="I304" s="258"/>
      <c r="J304" s="258"/>
      <c r="K304" s="258"/>
      <c r="L304" s="258"/>
      <c r="M304" s="258"/>
      <c r="N304" s="258"/>
      <c r="O304" s="258"/>
      <c r="P304" s="474"/>
      <c r="Q304" s="258"/>
      <c r="R304" s="258"/>
      <c r="S304" s="258"/>
      <c r="T304" s="258"/>
      <c r="U304" s="258"/>
      <c r="V304" s="258"/>
      <c r="W304" s="258"/>
      <c r="X304" s="258"/>
      <c r="Y304" s="258"/>
      <c r="Z304" s="258"/>
      <c r="AA304" s="258"/>
      <c r="AB304" s="258"/>
      <c r="AC304" s="258"/>
      <c r="AD304" s="258"/>
      <c r="AE304" s="258"/>
      <c r="AF304" s="258"/>
      <c r="AG304" s="258"/>
      <c r="AH304" s="258"/>
      <c r="AI304" s="258"/>
      <c r="AJ304" s="258"/>
      <c r="AK304" s="258"/>
      <c r="AL304" s="258"/>
      <c r="AM304" s="258"/>
      <c r="AN304" s="258"/>
      <c r="AO304" s="258"/>
      <c r="AP304" s="258"/>
      <c r="AQ304" s="258"/>
      <c r="AR304" s="258"/>
      <c r="AS304" s="258"/>
    </row>
    <row r="305" spans="1:45" ht="122.4" customHeight="1" thickBot="1" x14ac:dyDescent="0.45">
      <c r="A305" s="258"/>
      <c r="B305" s="1298"/>
      <c r="C305" s="1298"/>
      <c r="D305" s="594"/>
      <c r="E305" s="258"/>
      <c r="F305" s="351"/>
      <c r="G305" s="258"/>
      <c r="H305" s="258"/>
      <c r="I305" s="258"/>
      <c r="J305" s="258"/>
      <c r="K305" s="258"/>
      <c r="L305" s="258"/>
      <c r="M305" s="258"/>
      <c r="N305" s="258"/>
      <c r="O305" s="258"/>
      <c r="P305" s="474"/>
      <c r="Q305" s="258"/>
      <c r="R305" s="258"/>
      <c r="S305" s="258"/>
      <c r="T305" s="258"/>
      <c r="U305" s="258"/>
      <c r="V305" s="258"/>
      <c r="W305" s="258"/>
      <c r="X305" s="258"/>
      <c r="Y305" s="258"/>
      <c r="Z305" s="258"/>
      <c r="AA305" s="258"/>
      <c r="AB305" s="258"/>
      <c r="AC305" s="258"/>
      <c r="AD305" s="258"/>
      <c r="AE305" s="258"/>
      <c r="AF305" s="258"/>
      <c r="AG305" s="258"/>
      <c r="AH305" s="258"/>
      <c r="AI305" s="258"/>
      <c r="AJ305" s="258"/>
      <c r="AK305" s="258"/>
      <c r="AL305" s="258"/>
      <c r="AM305" s="258"/>
      <c r="AN305" s="258"/>
      <c r="AO305" s="258"/>
      <c r="AP305" s="258"/>
      <c r="AQ305" s="258"/>
      <c r="AR305" s="258"/>
      <c r="AS305" s="258"/>
    </row>
    <row r="306" spans="1:45" ht="122.4" customHeight="1" thickBot="1" x14ac:dyDescent="0.45">
      <c r="A306" s="258"/>
      <c r="B306" s="1298"/>
      <c r="C306" s="1298"/>
      <c r="D306" s="594"/>
      <c r="E306" s="258"/>
      <c r="F306" s="351"/>
      <c r="G306" s="258"/>
      <c r="H306" s="258"/>
      <c r="I306" s="258"/>
      <c r="J306" s="258"/>
      <c r="K306" s="258"/>
      <c r="L306" s="258"/>
      <c r="M306" s="258"/>
      <c r="N306" s="258"/>
      <c r="O306" s="258"/>
      <c r="P306" s="474"/>
      <c r="Q306" s="258"/>
      <c r="R306" s="258"/>
      <c r="S306" s="258"/>
      <c r="T306" s="258"/>
      <c r="U306" s="258"/>
      <c r="V306" s="258"/>
      <c r="W306" s="258"/>
      <c r="X306" s="258"/>
      <c r="Y306" s="258"/>
      <c r="Z306" s="258"/>
      <c r="AA306" s="258"/>
      <c r="AB306" s="258"/>
      <c r="AC306" s="258"/>
      <c r="AD306" s="258"/>
      <c r="AE306" s="258"/>
      <c r="AF306" s="258"/>
      <c r="AG306" s="258"/>
      <c r="AH306" s="258"/>
      <c r="AI306" s="258"/>
      <c r="AJ306" s="258"/>
      <c r="AK306" s="258"/>
      <c r="AL306" s="258"/>
      <c r="AM306" s="258"/>
      <c r="AN306" s="258"/>
      <c r="AO306" s="258"/>
      <c r="AP306" s="258"/>
      <c r="AQ306" s="258"/>
      <c r="AR306" s="258"/>
      <c r="AS306" s="258"/>
    </row>
    <row r="307" spans="1:45" ht="122.4" customHeight="1" thickBot="1" x14ac:dyDescent="0.45">
      <c r="A307" s="258"/>
      <c r="B307" s="1298"/>
      <c r="C307" s="1298"/>
      <c r="D307" s="594"/>
      <c r="E307" s="258"/>
      <c r="F307" s="351"/>
      <c r="G307" s="258"/>
      <c r="H307" s="258"/>
      <c r="I307" s="258"/>
      <c r="J307" s="258"/>
      <c r="K307" s="258"/>
      <c r="L307" s="258"/>
      <c r="M307" s="258"/>
      <c r="N307" s="258"/>
      <c r="O307" s="258"/>
      <c r="P307" s="474"/>
      <c r="Q307" s="258"/>
      <c r="R307" s="258"/>
      <c r="S307" s="258"/>
      <c r="T307" s="258"/>
      <c r="U307" s="258"/>
      <c r="V307" s="258"/>
      <c r="W307" s="258"/>
      <c r="X307" s="258"/>
      <c r="Y307" s="258"/>
      <c r="Z307" s="258"/>
      <c r="AA307" s="258"/>
      <c r="AB307" s="258"/>
      <c r="AC307" s="258"/>
      <c r="AD307" s="258"/>
      <c r="AE307" s="258"/>
      <c r="AF307" s="258"/>
      <c r="AG307" s="258"/>
      <c r="AH307" s="258"/>
      <c r="AI307" s="258"/>
      <c r="AJ307" s="258"/>
      <c r="AK307" s="258"/>
      <c r="AL307" s="258"/>
      <c r="AM307" s="258"/>
      <c r="AN307" s="258"/>
      <c r="AO307" s="258"/>
      <c r="AP307" s="258"/>
      <c r="AQ307" s="258"/>
      <c r="AR307" s="258"/>
      <c r="AS307" s="258"/>
    </row>
    <row r="308" spans="1:45" ht="122.4" customHeight="1" thickBot="1" x14ac:dyDescent="0.45">
      <c r="A308" s="258"/>
      <c r="B308" s="1298"/>
      <c r="C308" s="1298"/>
      <c r="D308" s="594"/>
      <c r="E308" s="258"/>
      <c r="F308" s="351"/>
      <c r="G308" s="258"/>
      <c r="H308" s="258"/>
      <c r="I308" s="258"/>
      <c r="J308" s="258"/>
      <c r="K308" s="258"/>
      <c r="L308" s="258"/>
      <c r="M308" s="258"/>
      <c r="N308" s="258"/>
      <c r="O308" s="258"/>
      <c r="P308" s="474"/>
      <c r="Q308" s="258"/>
      <c r="R308" s="258"/>
      <c r="S308" s="258"/>
      <c r="T308" s="258"/>
      <c r="U308" s="258"/>
      <c r="V308" s="258"/>
      <c r="W308" s="258"/>
      <c r="X308" s="258"/>
      <c r="Y308" s="258"/>
      <c r="Z308" s="258"/>
      <c r="AA308" s="258"/>
      <c r="AB308" s="258"/>
      <c r="AC308" s="258"/>
      <c r="AD308" s="258"/>
      <c r="AE308" s="258"/>
      <c r="AF308" s="258"/>
      <c r="AG308" s="258"/>
      <c r="AH308" s="258"/>
      <c r="AI308" s="258"/>
      <c r="AJ308" s="258"/>
      <c r="AK308" s="258"/>
      <c r="AL308" s="258"/>
      <c r="AM308" s="258"/>
      <c r="AN308" s="258"/>
      <c r="AO308" s="258"/>
      <c r="AP308" s="258"/>
      <c r="AQ308" s="258"/>
      <c r="AR308" s="258"/>
      <c r="AS308" s="258"/>
    </row>
    <row r="309" spans="1:45" ht="122.4" customHeight="1" thickBot="1" x14ac:dyDescent="0.45">
      <c r="A309" s="258"/>
      <c r="B309" s="1298"/>
      <c r="C309" s="1298"/>
      <c r="D309" s="594"/>
      <c r="E309" s="258"/>
      <c r="F309" s="351"/>
      <c r="G309" s="258"/>
      <c r="H309" s="258"/>
      <c r="I309" s="258"/>
      <c r="J309" s="258"/>
      <c r="K309" s="258"/>
      <c r="L309" s="258"/>
      <c r="M309" s="258"/>
      <c r="N309" s="258"/>
      <c r="O309" s="258"/>
      <c r="P309" s="474"/>
      <c r="Q309" s="258"/>
      <c r="R309" s="258"/>
      <c r="S309" s="258"/>
      <c r="T309" s="258"/>
      <c r="U309" s="258"/>
      <c r="V309" s="258"/>
      <c r="W309" s="258"/>
      <c r="X309" s="258"/>
      <c r="Y309" s="258"/>
      <c r="Z309" s="258"/>
      <c r="AA309" s="258"/>
      <c r="AB309" s="258"/>
      <c r="AC309" s="258"/>
      <c r="AD309" s="258"/>
      <c r="AE309" s="258"/>
      <c r="AF309" s="258"/>
      <c r="AG309" s="258"/>
      <c r="AH309" s="258"/>
      <c r="AI309" s="258"/>
      <c r="AJ309" s="258"/>
      <c r="AK309" s="258"/>
      <c r="AL309" s="258"/>
      <c r="AM309" s="258"/>
      <c r="AN309" s="258"/>
      <c r="AO309" s="258"/>
      <c r="AP309" s="258"/>
      <c r="AQ309" s="258"/>
      <c r="AR309" s="258"/>
      <c r="AS309" s="258"/>
    </row>
    <row r="310" spans="1:45" ht="122.4" customHeight="1" thickBot="1" x14ac:dyDescent="0.45">
      <c r="A310" s="258"/>
      <c r="B310" s="1298"/>
      <c r="C310" s="1298"/>
      <c r="D310" s="594"/>
      <c r="E310" s="258"/>
      <c r="F310" s="351"/>
      <c r="G310" s="258"/>
      <c r="H310" s="258"/>
      <c r="I310" s="258"/>
      <c r="J310" s="258"/>
      <c r="K310" s="258"/>
      <c r="L310" s="258"/>
      <c r="M310" s="258"/>
      <c r="N310" s="258"/>
      <c r="O310" s="258"/>
      <c r="P310" s="474"/>
      <c r="Q310" s="258"/>
      <c r="R310" s="258"/>
      <c r="S310" s="258"/>
      <c r="T310" s="258"/>
      <c r="U310" s="258"/>
      <c r="V310" s="258"/>
      <c r="W310" s="258"/>
      <c r="X310" s="258"/>
      <c r="Y310" s="258"/>
      <c r="Z310" s="258"/>
      <c r="AA310" s="258"/>
      <c r="AB310" s="258"/>
      <c r="AC310" s="258"/>
      <c r="AD310" s="258"/>
      <c r="AE310" s="258"/>
      <c r="AF310" s="258"/>
      <c r="AG310" s="258"/>
      <c r="AH310" s="258"/>
      <c r="AI310" s="258"/>
      <c r="AJ310" s="258"/>
      <c r="AK310" s="258"/>
      <c r="AL310" s="258"/>
      <c r="AM310" s="258"/>
      <c r="AN310" s="258"/>
      <c r="AO310" s="258"/>
      <c r="AP310" s="258"/>
      <c r="AQ310" s="258"/>
      <c r="AR310" s="258"/>
      <c r="AS310" s="258"/>
    </row>
    <row r="311" spans="1:45" ht="122.4" customHeight="1" thickBot="1" x14ac:dyDescent="0.45">
      <c r="A311" s="258"/>
      <c r="B311" s="1298"/>
      <c r="C311" s="1298"/>
      <c r="D311" s="594"/>
      <c r="E311" s="258"/>
      <c r="F311" s="351"/>
      <c r="G311" s="258"/>
      <c r="H311" s="258"/>
      <c r="I311" s="258"/>
      <c r="J311" s="258"/>
      <c r="K311" s="258"/>
      <c r="L311" s="258"/>
      <c r="M311" s="258"/>
      <c r="N311" s="258"/>
      <c r="O311" s="258"/>
      <c r="P311" s="474"/>
      <c r="Q311" s="258"/>
      <c r="R311" s="258"/>
      <c r="S311" s="258"/>
      <c r="T311" s="258"/>
      <c r="U311" s="258"/>
      <c r="V311" s="258"/>
      <c r="W311" s="258"/>
      <c r="X311" s="258"/>
      <c r="Y311" s="258"/>
      <c r="Z311" s="258"/>
      <c r="AA311" s="258"/>
      <c r="AB311" s="258"/>
      <c r="AC311" s="258"/>
      <c r="AD311" s="258"/>
      <c r="AE311" s="258"/>
      <c r="AF311" s="258"/>
      <c r="AG311" s="258"/>
      <c r="AH311" s="258"/>
      <c r="AI311" s="258"/>
      <c r="AJ311" s="258"/>
      <c r="AK311" s="258"/>
      <c r="AL311" s="258"/>
      <c r="AM311" s="258"/>
      <c r="AN311" s="258"/>
      <c r="AO311" s="258"/>
      <c r="AP311" s="258"/>
      <c r="AQ311" s="258"/>
      <c r="AR311" s="258"/>
      <c r="AS311" s="258"/>
    </row>
    <row r="312" spans="1:45" ht="122.4" customHeight="1" thickBot="1" x14ac:dyDescent="0.45">
      <c r="A312" s="258"/>
      <c r="B312" s="1298"/>
      <c r="C312" s="1298"/>
      <c r="D312" s="594"/>
      <c r="E312" s="258"/>
      <c r="F312" s="351"/>
      <c r="G312" s="258"/>
      <c r="H312" s="258"/>
      <c r="I312" s="258"/>
      <c r="J312" s="258"/>
      <c r="K312" s="258"/>
      <c r="L312" s="258"/>
      <c r="M312" s="258"/>
      <c r="N312" s="258"/>
      <c r="O312" s="258"/>
      <c r="P312" s="474"/>
      <c r="Q312" s="258"/>
      <c r="R312" s="258"/>
      <c r="S312" s="258"/>
      <c r="T312" s="258"/>
      <c r="U312" s="258"/>
      <c r="V312" s="258"/>
      <c r="W312" s="258"/>
      <c r="X312" s="258"/>
      <c r="Y312" s="258"/>
      <c r="Z312" s="258"/>
      <c r="AA312" s="258"/>
      <c r="AB312" s="258"/>
      <c r="AC312" s="258"/>
      <c r="AD312" s="258"/>
      <c r="AE312" s="258"/>
      <c r="AF312" s="258"/>
      <c r="AG312" s="258"/>
      <c r="AH312" s="258"/>
      <c r="AI312" s="258"/>
      <c r="AJ312" s="258"/>
      <c r="AK312" s="258"/>
      <c r="AL312" s="258"/>
      <c r="AM312" s="258"/>
      <c r="AN312" s="258"/>
      <c r="AO312" s="258"/>
      <c r="AP312" s="258"/>
      <c r="AQ312" s="258"/>
      <c r="AR312" s="258"/>
      <c r="AS312" s="258"/>
    </row>
    <row r="313" spans="1:45" ht="122.4" customHeight="1" thickBot="1" x14ac:dyDescent="0.45">
      <c r="A313" s="258"/>
      <c r="B313" s="1298"/>
      <c r="C313" s="1298"/>
      <c r="D313" s="594"/>
      <c r="E313" s="258"/>
      <c r="F313" s="351"/>
      <c r="G313" s="258"/>
      <c r="H313" s="258"/>
      <c r="I313" s="258"/>
      <c r="J313" s="258"/>
      <c r="K313" s="258"/>
      <c r="L313" s="258"/>
      <c r="M313" s="258"/>
      <c r="N313" s="258"/>
      <c r="O313" s="258"/>
      <c r="P313" s="474"/>
      <c r="Q313" s="258"/>
      <c r="R313" s="258"/>
      <c r="S313" s="258"/>
      <c r="T313" s="258"/>
      <c r="U313" s="258"/>
      <c r="V313" s="258"/>
      <c r="W313" s="258"/>
      <c r="X313" s="258"/>
      <c r="Y313" s="258"/>
      <c r="Z313" s="258"/>
      <c r="AA313" s="258"/>
      <c r="AB313" s="258"/>
      <c r="AC313" s="258"/>
      <c r="AD313" s="258"/>
      <c r="AE313" s="258"/>
      <c r="AF313" s="258"/>
      <c r="AG313" s="258"/>
      <c r="AH313" s="258"/>
      <c r="AI313" s="258"/>
      <c r="AJ313" s="258"/>
      <c r="AK313" s="258"/>
      <c r="AL313" s="258"/>
      <c r="AM313" s="258"/>
      <c r="AN313" s="258"/>
      <c r="AO313" s="258"/>
      <c r="AP313" s="258"/>
      <c r="AQ313" s="258"/>
      <c r="AR313" s="258"/>
      <c r="AS313" s="258"/>
    </row>
    <row r="314" spans="1:45" ht="122.4" customHeight="1" thickBot="1" x14ac:dyDescent="0.45">
      <c r="A314" s="258"/>
      <c r="B314" s="1298"/>
      <c r="C314" s="1298"/>
      <c r="D314" s="594"/>
      <c r="E314" s="258"/>
      <c r="F314" s="351"/>
      <c r="G314" s="258"/>
      <c r="H314" s="258"/>
      <c r="I314" s="258"/>
      <c r="J314" s="258"/>
      <c r="K314" s="258"/>
      <c r="L314" s="258"/>
      <c r="M314" s="258"/>
      <c r="N314" s="258"/>
      <c r="O314" s="258"/>
      <c r="P314" s="474"/>
      <c r="Q314" s="258"/>
      <c r="R314" s="258"/>
      <c r="S314" s="258"/>
      <c r="T314" s="258"/>
      <c r="U314" s="258"/>
      <c r="V314" s="258"/>
      <c r="W314" s="258"/>
      <c r="X314" s="258"/>
      <c r="Y314" s="258"/>
      <c r="Z314" s="258"/>
      <c r="AA314" s="258"/>
      <c r="AB314" s="258"/>
      <c r="AC314" s="258"/>
      <c r="AD314" s="258"/>
      <c r="AE314" s="258"/>
      <c r="AF314" s="258"/>
      <c r="AG314" s="258"/>
      <c r="AH314" s="258"/>
      <c r="AI314" s="258"/>
      <c r="AJ314" s="258"/>
      <c r="AK314" s="258"/>
      <c r="AL314" s="258"/>
      <c r="AM314" s="258"/>
      <c r="AN314" s="258"/>
      <c r="AO314" s="258"/>
      <c r="AP314" s="258"/>
      <c r="AQ314" s="258"/>
      <c r="AR314" s="258"/>
      <c r="AS314" s="258"/>
    </row>
    <row r="315" spans="1:45" ht="122.4" customHeight="1" thickBot="1" x14ac:dyDescent="0.45">
      <c r="A315" s="258"/>
      <c r="B315" s="1298"/>
      <c r="C315" s="1298"/>
      <c r="D315" s="594"/>
      <c r="E315" s="258"/>
      <c r="F315" s="351"/>
      <c r="G315" s="258"/>
      <c r="H315" s="258"/>
      <c r="I315" s="258"/>
      <c r="J315" s="258"/>
      <c r="K315" s="258"/>
      <c r="L315" s="258"/>
      <c r="M315" s="258"/>
      <c r="N315" s="258"/>
      <c r="O315" s="258"/>
      <c r="P315" s="474"/>
      <c r="Q315" s="258"/>
      <c r="R315" s="258"/>
      <c r="S315" s="258"/>
      <c r="T315" s="258"/>
      <c r="U315" s="258"/>
      <c r="V315" s="258"/>
      <c r="W315" s="258"/>
      <c r="X315" s="258"/>
      <c r="Y315" s="258"/>
      <c r="Z315" s="258"/>
      <c r="AA315" s="258"/>
      <c r="AB315" s="258"/>
      <c r="AC315" s="258"/>
      <c r="AD315" s="258"/>
      <c r="AE315" s="258"/>
      <c r="AF315" s="258"/>
      <c r="AG315" s="258"/>
      <c r="AH315" s="258"/>
      <c r="AI315" s="258"/>
      <c r="AJ315" s="258"/>
      <c r="AK315" s="258"/>
      <c r="AL315" s="258"/>
      <c r="AM315" s="258"/>
      <c r="AN315" s="258"/>
      <c r="AO315" s="258"/>
      <c r="AP315" s="258"/>
      <c r="AQ315" s="258"/>
      <c r="AR315" s="258"/>
      <c r="AS315" s="258"/>
    </row>
    <row r="316" spans="1:45" ht="122.4" customHeight="1" thickBot="1" x14ac:dyDescent="0.45">
      <c r="A316" s="258"/>
      <c r="B316" s="1298"/>
      <c r="C316" s="1298"/>
      <c r="D316" s="594"/>
      <c r="E316" s="258"/>
      <c r="F316" s="351"/>
      <c r="G316" s="258"/>
      <c r="H316" s="258"/>
      <c r="I316" s="258"/>
      <c r="J316" s="258"/>
      <c r="K316" s="258"/>
      <c r="L316" s="258"/>
      <c r="M316" s="258"/>
      <c r="N316" s="258"/>
      <c r="O316" s="258"/>
      <c r="P316" s="474"/>
      <c r="Q316" s="258"/>
      <c r="R316" s="258"/>
      <c r="S316" s="258"/>
      <c r="T316" s="258"/>
      <c r="U316" s="258"/>
      <c r="V316" s="258"/>
      <c r="W316" s="258"/>
      <c r="X316" s="258"/>
      <c r="Y316" s="258"/>
      <c r="Z316" s="258"/>
      <c r="AA316" s="258"/>
      <c r="AB316" s="258"/>
      <c r="AC316" s="258"/>
      <c r="AD316" s="258"/>
      <c r="AE316" s="258"/>
      <c r="AF316" s="258"/>
      <c r="AG316" s="258"/>
      <c r="AH316" s="258"/>
      <c r="AI316" s="258"/>
      <c r="AJ316" s="258"/>
      <c r="AK316" s="258"/>
      <c r="AL316" s="258"/>
      <c r="AM316" s="258"/>
      <c r="AN316" s="258"/>
      <c r="AO316" s="258"/>
      <c r="AP316" s="258"/>
      <c r="AQ316" s="258"/>
      <c r="AR316" s="258"/>
      <c r="AS316" s="258"/>
    </row>
    <row r="317" spans="1:45" ht="122.4" customHeight="1" thickBot="1" x14ac:dyDescent="0.45">
      <c r="A317" s="258"/>
      <c r="B317" s="1298"/>
      <c r="C317" s="1298"/>
      <c r="D317" s="594"/>
      <c r="E317" s="258"/>
      <c r="F317" s="351"/>
      <c r="G317" s="258"/>
      <c r="H317" s="258"/>
      <c r="I317" s="258"/>
      <c r="J317" s="258"/>
      <c r="K317" s="258"/>
      <c r="L317" s="258"/>
      <c r="M317" s="258"/>
      <c r="N317" s="258"/>
      <c r="O317" s="258"/>
      <c r="P317" s="474"/>
      <c r="Q317" s="258"/>
      <c r="R317" s="258"/>
      <c r="S317" s="258"/>
      <c r="T317" s="258"/>
      <c r="U317" s="258"/>
      <c r="V317" s="258"/>
      <c r="W317" s="258"/>
      <c r="X317" s="258"/>
      <c r="Y317" s="258"/>
      <c r="Z317" s="258"/>
      <c r="AA317" s="258"/>
      <c r="AB317" s="258"/>
      <c r="AC317" s="258"/>
      <c r="AD317" s="258"/>
      <c r="AE317" s="258"/>
      <c r="AF317" s="258"/>
      <c r="AG317" s="258"/>
      <c r="AH317" s="258"/>
      <c r="AI317" s="258"/>
      <c r="AJ317" s="258"/>
      <c r="AK317" s="258"/>
      <c r="AL317" s="258"/>
      <c r="AM317" s="258"/>
      <c r="AN317" s="258"/>
      <c r="AO317" s="258"/>
      <c r="AP317" s="258"/>
      <c r="AQ317" s="258"/>
      <c r="AR317" s="258"/>
      <c r="AS317" s="258"/>
    </row>
    <row r="318" spans="1:45" ht="122.4" customHeight="1" thickBot="1" x14ac:dyDescent="0.45">
      <c r="A318" s="258"/>
      <c r="B318" s="1298"/>
      <c r="C318" s="1298"/>
      <c r="D318" s="594"/>
      <c r="E318" s="258"/>
      <c r="F318" s="351"/>
      <c r="G318" s="258"/>
      <c r="H318" s="258"/>
      <c r="I318" s="258"/>
      <c r="J318" s="258"/>
      <c r="K318" s="258"/>
      <c r="L318" s="258"/>
      <c r="M318" s="258"/>
      <c r="N318" s="258"/>
      <c r="O318" s="258"/>
      <c r="P318" s="474"/>
      <c r="Q318" s="258"/>
      <c r="R318" s="258"/>
      <c r="S318" s="258"/>
      <c r="T318" s="258"/>
      <c r="U318" s="258"/>
      <c r="V318" s="258"/>
      <c r="W318" s="258"/>
      <c r="X318" s="258"/>
      <c r="Y318" s="258"/>
      <c r="Z318" s="258"/>
      <c r="AA318" s="258"/>
      <c r="AB318" s="258"/>
      <c r="AC318" s="258"/>
      <c r="AD318" s="258"/>
      <c r="AE318" s="258"/>
      <c r="AF318" s="258"/>
      <c r="AG318" s="258"/>
      <c r="AH318" s="258"/>
      <c r="AI318" s="258"/>
      <c r="AJ318" s="258"/>
      <c r="AK318" s="258"/>
      <c r="AL318" s="258"/>
      <c r="AM318" s="258"/>
      <c r="AN318" s="258"/>
      <c r="AO318" s="258"/>
      <c r="AP318" s="258"/>
      <c r="AQ318" s="258"/>
      <c r="AR318" s="258"/>
      <c r="AS318" s="258"/>
    </row>
    <row r="319" spans="1:45" ht="122.4" customHeight="1" thickBot="1" x14ac:dyDescent="0.45">
      <c r="A319" s="258"/>
      <c r="B319" s="1298"/>
      <c r="C319" s="1298"/>
      <c r="D319" s="594"/>
      <c r="E319" s="258"/>
      <c r="F319" s="351"/>
      <c r="G319" s="258"/>
      <c r="H319" s="258"/>
      <c r="I319" s="258"/>
      <c r="J319" s="258"/>
      <c r="K319" s="258"/>
      <c r="L319" s="258"/>
      <c r="M319" s="258"/>
      <c r="N319" s="258"/>
      <c r="O319" s="258"/>
      <c r="P319" s="474"/>
      <c r="Q319" s="258"/>
      <c r="R319" s="258"/>
      <c r="S319" s="258"/>
      <c r="T319" s="258"/>
      <c r="U319" s="258"/>
      <c r="V319" s="258"/>
      <c r="W319" s="258"/>
      <c r="X319" s="258"/>
      <c r="Y319" s="258"/>
      <c r="Z319" s="258"/>
      <c r="AA319" s="258"/>
      <c r="AB319" s="258"/>
      <c r="AC319" s="258"/>
      <c r="AD319" s="258"/>
      <c r="AE319" s="258"/>
      <c r="AF319" s="258"/>
      <c r="AG319" s="258"/>
      <c r="AH319" s="258"/>
      <c r="AI319" s="258"/>
      <c r="AJ319" s="258"/>
      <c r="AK319" s="258"/>
      <c r="AL319" s="258"/>
      <c r="AM319" s="258"/>
      <c r="AN319" s="258"/>
      <c r="AO319" s="258"/>
      <c r="AP319" s="258"/>
      <c r="AQ319" s="258"/>
      <c r="AR319" s="258"/>
      <c r="AS319" s="258"/>
    </row>
    <row r="320" spans="1:45" ht="122.4" customHeight="1" thickBot="1" x14ac:dyDescent="0.45">
      <c r="A320" s="258"/>
      <c r="B320" s="1298"/>
      <c r="C320" s="1298"/>
      <c r="D320" s="594"/>
      <c r="E320" s="258"/>
      <c r="F320" s="351"/>
      <c r="G320" s="258"/>
      <c r="H320" s="258"/>
      <c r="I320" s="258"/>
      <c r="J320" s="258"/>
      <c r="K320" s="258"/>
      <c r="L320" s="258"/>
      <c r="M320" s="258"/>
      <c r="N320" s="258"/>
      <c r="O320" s="258"/>
      <c r="P320" s="474"/>
      <c r="Q320" s="258"/>
      <c r="R320" s="258"/>
      <c r="S320" s="258"/>
      <c r="T320" s="258"/>
      <c r="U320" s="258"/>
      <c r="V320" s="258"/>
      <c r="W320" s="258"/>
      <c r="X320" s="258"/>
      <c r="Y320" s="258"/>
      <c r="Z320" s="258"/>
      <c r="AA320" s="258"/>
      <c r="AB320" s="258"/>
      <c r="AC320" s="258"/>
      <c r="AD320" s="258"/>
      <c r="AE320" s="258"/>
      <c r="AF320" s="258"/>
      <c r="AG320" s="258"/>
      <c r="AH320" s="258"/>
      <c r="AI320" s="258"/>
      <c r="AJ320" s="258"/>
      <c r="AK320" s="258"/>
      <c r="AL320" s="258"/>
      <c r="AM320" s="258"/>
      <c r="AN320" s="258"/>
      <c r="AO320" s="258"/>
      <c r="AP320" s="258"/>
      <c r="AQ320" s="258"/>
      <c r="AR320" s="258"/>
      <c r="AS320" s="258"/>
    </row>
    <row r="321" spans="1:45" ht="122.4" customHeight="1" thickBot="1" x14ac:dyDescent="0.45">
      <c r="A321" s="258"/>
      <c r="B321" s="1298"/>
      <c r="C321" s="1298"/>
      <c r="D321" s="594"/>
      <c r="E321" s="258"/>
      <c r="F321" s="351"/>
      <c r="G321" s="258"/>
      <c r="H321" s="258"/>
      <c r="I321" s="258"/>
      <c r="J321" s="258"/>
      <c r="K321" s="258"/>
      <c r="L321" s="258"/>
      <c r="M321" s="258"/>
      <c r="N321" s="258"/>
      <c r="O321" s="258"/>
      <c r="P321" s="474"/>
      <c r="Q321" s="258"/>
      <c r="R321" s="258"/>
      <c r="S321" s="258"/>
      <c r="T321" s="258"/>
      <c r="U321" s="258"/>
      <c r="V321" s="258"/>
      <c r="W321" s="258"/>
      <c r="X321" s="258"/>
      <c r="Y321" s="258"/>
      <c r="Z321" s="258"/>
      <c r="AA321" s="258"/>
      <c r="AB321" s="258"/>
      <c r="AC321" s="258"/>
      <c r="AD321" s="258"/>
      <c r="AE321" s="258"/>
      <c r="AF321" s="258"/>
      <c r="AG321" s="258"/>
      <c r="AH321" s="258"/>
      <c r="AI321" s="258"/>
      <c r="AJ321" s="258"/>
      <c r="AK321" s="258"/>
      <c r="AL321" s="258"/>
      <c r="AM321" s="258"/>
      <c r="AN321" s="258"/>
      <c r="AO321" s="258"/>
      <c r="AP321" s="258"/>
      <c r="AQ321" s="258"/>
      <c r="AR321" s="258"/>
      <c r="AS321" s="258"/>
    </row>
    <row r="322" spans="1:45" ht="122.4" customHeight="1" thickBot="1" x14ac:dyDescent="0.45">
      <c r="A322" s="258"/>
      <c r="B322" s="1298"/>
      <c r="C322" s="1298"/>
      <c r="D322" s="594"/>
      <c r="E322" s="258"/>
      <c r="F322" s="351"/>
      <c r="G322" s="258"/>
      <c r="H322" s="258"/>
      <c r="I322" s="258"/>
      <c r="J322" s="258"/>
      <c r="K322" s="258"/>
      <c r="L322" s="258"/>
      <c r="M322" s="258"/>
      <c r="N322" s="258"/>
      <c r="O322" s="258"/>
      <c r="P322" s="474"/>
      <c r="Q322" s="258"/>
      <c r="R322" s="258"/>
      <c r="S322" s="258"/>
      <c r="T322" s="258"/>
      <c r="U322" s="258"/>
      <c r="V322" s="258"/>
      <c r="W322" s="258"/>
      <c r="X322" s="258"/>
      <c r="Y322" s="258"/>
      <c r="Z322" s="258"/>
      <c r="AA322" s="258"/>
      <c r="AB322" s="258"/>
      <c r="AC322" s="258"/>
      <c r="AD322" s="258"/>
      <c r="AE322" s="258"/>
      <c r="AF322" s="258"/>
      <c r="AG322" s="258"/>
      <c r="AH322" s="258"/>
      <c r="AI322" s="258"/>
      <c r="AJ322" s="258"/>
      <c r="AK322" s="258"/>
      <c r="AL322" s="258"/>
      <c r="AM322" s="258"/>
      <c r="AN322" s="258"/>
      <c r="AO322" s="258"/>
      <c r="AP322" s="258"/>
      <c r="AQ322" s="258"/>
      <c r="AR322" s="258"/>
      <c r="AS322" s="258"/>
    </row>
    <row r="323" spans="1:45" ht="122.4" customHeight="1" thickBot="1" x14ac:dyDescent="0.45">
      <c r="A323" s="258"/>
      <c r="B323" s="1298"/>
      <c r="C323" s="1298"/>
      <c r="D323" s="594"/>
      <c r="E323" s="258"/>
      <c r="F323" s="351"/>
      <c r="G323" s="258"/>
      <c r="H323" s="258"/>
      <c r="I323" s="258"/>
      <c r="J323" s="258"/>
      <c r="K323" s="258"/>
      <c r="L323" s="258"/>
      <c r="M323" s="258"/>
      <c r="N323" s="258"/>
      <c r="O323" s="258"/>
      <c r="P323" s="474"/>
      <c r="Q323" s="258"/>
      <c r="R323" s="258"/>
      <c r="S323" s="258"/>
      <c r="T323" s="258"/>
      <c r="U323" s="258"/>
      <c r="V323" s="258"/>
      <c r="W323" s="258"/>
      <c r="X323" s="258"/>
      <c r="Y323" s="258"/>
      <c r="Z323" s="258"/>
      <c r="AA323" s="258"/>
      <c r="AB323" s="258"/>
      <c r="AC323" s="258"/>
      <c r="AD323" s="258"/>
      <c r="AE323" s="258"/>
      <c r="AF323" s="258"/>
      <c r="AG323" s="258"/>
      <c r="AH323" s="258"/>
      <c r="AI323" s="258"/>
      <c r="AJ323" s="258"/>
      <c r="AK323" s="258"/>
      <c r="AL323" s="258"/>
      <c r="AM323" s="258"/>
      <c r="AN323" s="258"/>
      <c r="AO323" s="258"/>
      <c r="AP323" s="258"/>
      <c r="AQ323" s="258"/>
      <c r="AR323" s="258"/>
      <c r="AS323" s="258"/>
    </row>
    <row r="324" spans="1:45" ht="122.4" customHeight="1" thickBot="1" x14ac:dyDescent="0.45">
      <c r="A324" s="258"/>
      <c r="B324" s="1298"/>
      <c r="C324" s="1298"/>
      <c r="D324" s="594"/>
      <c r="E324" s="258"/>
      <c r="F324" s="351"/>
      <c r="G324" s="258"/>
      <c r="H324" s="258"/>
      <c r="I324" s="258"/>
      <c r="J324" s="258"/>
      <c r="K324" s="258"/>
      <c r="L324" s="258"/>
      <c r="M324" s="258"/>
      <c r="N324" s="258"/>
      <c r="O324" s="258"/>
      <c r="P324" s="474"/>
      <c r="Q324" s="258"/>
      <c r="R324" s="258"/>
      <c r="S324" s="258"/>
      <c r="T324" s="258"/>
      <c r="U324" s="258"/>
      <c r="V324" s="258"/>
      <c r="W324" s="258"/>
      <c r="X324" s="258"/>
      <c r="Y324" s="258"/>
      <c r="Z324" s="258"/>
      <c r="AA324" s="258"/>
      <c r="AB324" s="258"/>
      <c r="AC324" s="258"/>
      <c r="AD324" s="258"/>
      <c r="AE324" s="258"/>
      <c r="AF324" s="258"/>
      <c r="AG324" s="258"/>
      <c r="AH324" s="258"/>
      <c r="AI324" s="258"/>
      <c r="AJ324" s="258"/>
      <c r="AK324" s="258"/>
      <c r="AL324" s="258"/>
      <c r="AM324" s="258"/>
      <c r="AN324" s="258"/>
      <c r="AO324" s="258"/>
      <c r="AP324" s="258"/>
      <c r="AQ324" s="258"/>
      <c r="AR324" s="258"/>
      <c r="AS324" s="258"/>
    </row>
    <row r="325" spans="1:45" ht="122.4" customHeight="1" thickBot="1" x14ac:dyDescent="0.45">
      <c r="A325" s="258"/>
      <c r="B325" s="1298"/>
      <c r="C325" s="1298"/>
      <c r="D325" s="594"/>
      <c r="E325" s="258"/>
      <c r="F325" s="351"/>
      <c r="G325" s="258"/>
      <c r="H325" s="258"/>
      <c r="I325" s="258"/>
      <c r="J325" s="258"/>
      <c r="K325" s="258"/>
      <c r="L325" s="258"/>
      <c r="M325" s="258"/>
      <c r="N325" s="258"/>
      <c r="O325" s="258"/>
      <c r="P325" s="474"/>
      <c r="Q325" s="258"/>
      <c r="R325" s="258"/>
      <c r="S325" s="258"/>
      <c r="T325" s="258"/>
      <c r="U325" s="258"/>
      <c r="V325" s="258"/>
      <c r="W325" s="258"/>
      <c r="X325" s="258"/>
      <c r="Y325" s="258"/>
      <c r="Z325" s="258"/>
      <c r="AA325" s="258"/>
      <c r="AB325" s="258"/>
      <c r="AC325" s="258"/>
      <c r="AD325" s="258"/>
      <c r="AE325" s="258"/>
      <c r="AF325" s="258"/>
      <c r="AG325" s="258"/>
      <c r="AH325" s="258"/>
      <c r="AI325" s="258"/>
      <c r="AJ325" s="258"/>
      <c r="AK325" s="258"/>
      <c r="AL325" s="258"/>
      <c r="AM325" s="258"/>
      <c r="AN325" s="258"/>
      <c r="AO325" s="258"/>
      <c r="AP325" s="258"/>
      <c r="AQ325" s="258"/>
      <c r="AR325" s="258"/>
      <c r="AS325" s="258"/>
    </row>
    <row r="326" spans="1:45" ht="122.4" customHeight="1" thickBot="1" x14ac:dyDescent="0.45">
      <c r="A326" s="258"/>
      <c r="B326" s="1298"/>
      <c r="C326" s="1298"/>
      <c r="D326" s="594"/>
      <c r="E326" s="258"/>
      <c r="F326" s="351"/>
      <c r="G326" s="258"/>
      <c r="H326" s="258"/>
      <c r="I326" s="258"/>
      <c r="J326" s="258"/>
      <c r="K326" s="258"/>
      <c r="L326" s="258"/>
      <c r="M326" s="258"/>
      <c r="N326" s="258"/>
      <c r="O326" s="258"/>
      <c r="P326" s="474"/>
      <c r="Q326" s="258"/>
      <c r="R326" s="258"/>
      <c r="S326" s="258"/>
      <c r="T326" s="258"/>
      <c r="U326" s="258"/>
      <c r="V326" s="258"/>
      <c r="W326" s="258"/>
      <c r="X326" s="258"/>
      <c r="Y326" s="258"/>
      <c r="Z326" s="258"/>
      <c r="AA326" s="258"/>
      <c r="AB326" s="258"/>
      <c r="AC326" s="258"/>
      <c r="AD326" s="258"/>
      <c r="AE326" s="258"/>
      <c r="AF326" s="258"/>
      <c r="AG326" s="258"/>
      <c r="AH326" s="258"/>
      <c r="AI326" s="258"/>
      <c r="AJ326" s="258"/>
      <c r="AK326" s="258"/>
      <c r="AL326" s="258"/>
      <c r="AM326" s="258"/>
      <c r="AN326" s="258"/>
      <c r="AO326" s="258"/>
      <c r="AP326" s="258"/>
      <c r="AQ326" s="258"/>
      <c r="AR326" s="258"/>
      <c r="AS326" s="258"/>
    </row>
    <row r="327" spans="1:45" ht="122.4" customHeight="1" thickBot="1" x14ac:dyDescent="0.45">
      <c r="A327" s="258"/>
      <c r="B327" s="1298"/>
      <c r="C327" s="1298"/>
      <c r="D327" s="594"/>
      <c r="E327" s="258"/>
      <c r="F327" s="351"/>
      <c r="G327" s="258"/>
      <c r="H327" s="258"/>
      <c r="I327" s="258"/>
      <c r="J327" s="258"/>
      <c r="K327" s="258"/>
      <c r="L327" s="258"/>
      <c r="M327" s="258"/>
      <c r="N327" s="258"/>
      <c r="O327" s="258"/>
      <c r="P327" s="474"/>
      <c r="Q327" s="258"/>
      <c r="R327" s="258"/>
      <c r="S327" s="258"/>
      <c r="T327" s="258"/>
      <c r="U327" s="258"/>
      <c r="V327" s="258"/>
      <c r="W327" s="258"/>
      <c r="X327" s="258"/>
      <c r="Y327" s="258"/>
      <c r="Z327" s="258"/>
      <c r="AA327" s="258"/>
      <c r="AB327" s="258"/>
      <c r="AC327" s="258"/>
      <c r="AD327" s="258"/>
      <c r="AE327" s="258"/>
      <c r="AF327" s="258"/>
      <c r="AG327" s="258"/>
      <c r="AH327" s="258"/>
      <c r="AI327" s="258"/>
      <c r="AJ327" s="258"/>
      <c r="AK327" s="258"/>
      <c r="AL327" s="258"/>
      <c r="AM327" s="258"/>
      <c r="AN327" s="258"/>
      <c r="AO327" s="258"/>
      <c r="AP327" s="258"/>
      <c r="AQ327" s="258"/>
      <c r="AR327" s="258"/>
      <c r="AS327" s="258"/>
    </row>
    <row r="328" spans="1:45" ht="122.4" customHeight="1" thickBot="1" x14ac:dyDescent="0.45">
      <c r="A328" s="258"/>
      <c r="B328" s="1298"/>
      <c r="C328" s="1298"/>
      <c r="D328" s="594"/>
      <c r="E328" s="258"/>
      <c r="F328" s="351"/>
      <c r="G328" s="258"/>
      <c r="H328" s="258"/>
      <c r="I328" s="258"/>
      <c r="J328" s="258"/>
      <c r="K328" s="258"/>
      <c r="L328" s="258"/>
      <c r="M328" s="258"/>
      <c r="N328" s="258"/>
      <c r="O328" s="258"/>
      <c r="P328" s="474"/>
      <c r="Q328" s="258"/>
      <c r="R328" s="258"/>
      <c r="S328" s="258"/>
      <c r="T328" s="258"/>
      <c r="U328" s="258"/>
      <c r="V328" s="258"/>
      <c r="W328" s="258"/>
      <c r="X328" s="258"/>
      <c r="Y328" s="258"/>
      <c r="Z328" s="258"/>
      <c r="AA328" s="258"/>
      <c r="AB328" s="258"/>
      <c r="AC328" s="258"/>
      <c r="AD328" s="258"/>
      <c r="AE328" s="258"/>
      <c r="AF328" s="258"/>
      <c r="AG328" s="258"/>
      <c r="AH328" s="258"/>
      <c r="AI328" s="258"/>
      <c r="AJ328" s="258"/>
      <c r="AK328" s="258"/>
      <c r="AL328" s="258"/>
      <c r="AM328" s="258"/>
      <c r="AN328" s="258"/>
      <c r="AO328" s="258"/>
      <c r="AP328" s="258"/>
      <c r="AQ328" s="258"/>
      <c r="AR328" s="258"/>
      <c r="AS328" s="258"/>
    </row>
    <row r="329" spans="1:45" ht="122.4" customHeight="1" thickBot="1" x14ac:dyDescent="0.45">
      <c r="A329" s="258"/>
      <c r="B329" s="1298"/>
      <c r="C329" s="1298"/>
      <c r="D329" s="594"/>
      <c r="E329" s="258"/>
      <c r="F329" s="351"/>
      <c r="G329" s="258"/>
      <c r="H329" s="258"/>
      <c r="I329" s="258"/>
      <c r="J329" s="258"/>
      <c r="K329" s="258"/>
      <c r="L329" s="258"/>
      <c r="M329" s="258"/>
      <c r="N329" s="258"/>
      <c r="O329" s="258"/>
      <c r="P329" s="474"/>
      <c r="Q329" s="258"/>
      <c r="R329" s="258"/>
      <c r="S329" s="258"/>
      <c r="T329" s="258"/>
      <c r="U329" s="258"/>
      <c r="V329" s="258"/>
      <c r="W329" s="258"/>
      <c r="X329" s="258"/>
      <c r="Y329" s="258"/>
      <c r="Z329" s="258"/>
      <c r="AA329" s="258"/>
      <c r="AB329" s="258"/>
      <c r="AC329" s="258"/>
      <c r="AD329" s="258"/>
      <c r="AE329" s="258"/>
      <c r="AF329" s="258"/>
      <c r="AG329" s="258"/>
      <c r="AH329" s="258"/>
      <c r="AI329" s="258"/>
      <c r="AJ329" s="258"/>
      <c r="AK329" s="258"/>
      <c r="AL329" s="258"/>
      <c r="AM329" s="258"/>
      <c r="AN329" s="258"/>
      <c r="AO329" s="258"/>
      <c r="AP329" s="258"/>
      <c r="AQ329" s="258"/>
      <c r="AR329" s="258"/>
      <c r="AS329" s="258"/>
    </row>
    <row r="330" spans="1:45" ht="122.4" customHeight="1" thickBot="1" x14ac:dyDescent="0.45">
      <c r="A330" s="258"/>
      <c r="B330" s="1298"/>
      <c r="C330" s="1298"/>
      <c r="D330" s="594"/>
      <c r="E330" s="258"/>
      <c r="F330" s="351"/>
      <c r="G330" s="258"/>
      <c r="H330" s="258"/>
      <c r="I330" s="258"/>
      <c r="J330" s="258"/>
      <c r="K330" s="258"/>
      <c r="L330" s="258"/>
      <c r="M330" s="258"/>
      <c r="N330" s="258"/>
      <c r="O330" s="258"/>
      <c r="P330" s="474"/>
      <c r="Q330" s="258"/>
      <c r="R330" s="258"/>
      <c r="S330" s="258"/>
      <c r="T330" s="258"/>
      <c r="U330" s="258"/>
      <c r="V330" s="258"/>
      <c r="W330" s="258"/>
      <c r="X330" s="258"/>
      <c r="Y330" s="258"/>
      <c r="Z330" s="258"/>
      <c r="AA330" s="258"/>
      <c r="AB330" s="258"/>
      <c r="AC330" s="258"/>
      <c r="AD330" s="258"/>
      <c r="AE330" s="258"/>
      <c r="AF330" s="258"/>
      <c r="AG330" s="258"/>
      <c r="AH330" s="258"/>
      <c r="AI330" s="258"/>
      <c r="AJ330" s="258"/>
      <c r="AK330" s="258"/>
      <c r="AL330" s="258"/>
      <c r="AM330" s="258"/>
      <c r="AN330" s="258"/>
      <c r="AO330" s="258"/>
      <c r="AP330" s="258"/>
      <c r="AQ330" s="258"/>
      <c r="AR330" s="258"/>
      <c r="AS330" s="258"/>
    </row>
    <row r="331" spans="1:45" ht="122.4" customHeight="1" thickBot="1" x14ac:dyDescent="0.45">
      <c r="A331" s="258"/>
      <c r="B331" s="1298"/>
      <c r="C331" s="1298"/>
      <c r="D331" s="594"/>
      <c r="E331" s="258"/>
      <c r="F331" s="351"/>
      <c r="G331" s="258"/>
      <c r="H331" s="258"/>
      <c r="I331" s="258"/>
      <c r="J331" s="258"/>
      <c r="K331" s="258"/>
      <c r="L331" s="258"/>
      <c r="M331" s="258"/>
      <c r="N331" s="258"/>
      <c r="O331" s="258"/>
      <c r="P331" s="474"/>
      <c r="Q331" s="258"/>
      <c r="R331" s="258"/>
      <c r="S331" s="258"/>
      <c r="T331" s="258"/>
      <c r="U331" s="258"/>
      <c r="V331" s="258"/>
      <c r="W331" s="258"/>
      <c r="X331" s="258"/>
      <c r="Y331" s="258"/>
      <c r="Z331" s="258"/>
      <c r="AA331" s="258"/>
      <c r="AB331" s="258"/>
      <c r="AC331" s="258"/>
      <c r="AD331" s="258"/>
      <c r="AE331" s="258"/>
      <c r="AF331" s="258"/>
      <c r="AG331" s="258"/>
      <c r="AH331" s="258"/>
      <c r="AI331" s="258"/>
      <c r="AJ331" s="258"/>
      <c r="AK331" s="258"/>
      <c r="AL331" s="258"/>
      <c r="AM331" s="258"/>
      <c r="AN331" s="258"/>
      <c r="AO331" s="258"/>
      <c r="AP331" s="258"/>
      <c r="AQ331" s="258"/>
      <c r="AR331" s="258"/>
      <c r="AS331" s="258"/>
    </row>
    <row r="332" spans="1:45" ht="122.4" customHeight="1" thickBot="1" x14ac:dyDescent="0.45">
      <c r="A332" s="258"/>
      <c r="B332" s="1298"/>
      <c r="C332" s="1298"/>
      <c r="D332" s="594"/>
      <c r="E332" s="258"/>
      <c r="F332" s="351"/>
      <c r="G332" s="258"/>
      <c r="H332" s="258"/>
      <c r="I332" s="258"/>
      <c r="J332" s="258"/>
      <c r="K332" s="258"/>
      <c r="L332" s="258"/>
      <c r="M332" s="258"/>
      <c r="N332" s="258"/>
      <c r="O332" s="258"/>
      <c r="P332" s="474"/>
      <c r="Q332" s="258"/>
      <c r="R332" s="258"/>
      <c r="S332" s="258"/>
      <c r="T332" s="258"/>
      <c r="U332" s="258"/>
      <c r="V332" s="258"/>
      <c r="W332" s="258"/>
      <c r="X332" s="258"/>
      <c r="Y332" s="258"/>
      <c r="Z332" s="258"/>
      <c r="AA332" s="258"/>
      <c r="AB332" s="258"/>
      <c r="AC332" s="258"/>
      <c r="AD332" s="258"/>
      <c r="AE332" s="258"/>
      <c r="AF332" s="258"/>
      <c r="AG332" s="258"/>
      <c r="AH332" s="258"/>
      <c r="AI332" s="258"/>
      <c r="AJ332" s="258"/>
      <c r="AK332" s="258"/>
      <c r="AL332" s="258"/>
      <c r="AM332" s="258"/>
      <c r="AN332" s="258"/>
      <c r="AO332" s="258"/>
      <c r="AP332" s="258"/>
      <c r="AQ332" s="258"/>
      <c r="AR332" s="258"/>
      <c r="AS332" s="258"/>
    </row>
    <row r="333" spans="1:45" ht="122.4" customHeight="1" thickBot="1" x14ac:dyDescent="0.45">
      <c r="A333" s="258"/>
      <c r="B333" s="1298"/>
      <c r="C333" s="1298"/>
      <c r="D333" s="594"/>
      <c r="E333" s="258"/>
      <c r="F333" s="351"/>
      <c r="G333" s="258"/>
      <c r="H333" s="258"/>
      <c r="I333" s="258"/>
      <c r="J333" s="258"/>
      <c r="K333" s="258"/>
      <c r="L333" s="258"/>
      <c r="M333" s="258"/>
      <c r="N333" s="258"/>
      <c r="O333" s="258"/>
      <c r="P333" s="474"/>
      <c r="Q333" s="258"/>
      <c r="R333" s="258"/>
      <c r="S333" s="258"/>
      <c r="T333" s="258"/>
      <c r="U333" s="258"/>
      <c r="V333" s="258"/>
      <c r="W333" s="258"/>
      <c r="X333" s="258"/>
      <c r="Y333" s="258"/>
      <c r="Z333" s="258"/>
      <c r="AA333" s="258"/>
      <c r="AB333" s="258"/>
      <c r="AC333" s="258"/>
      <c r="AD333" s="258"/>
      <c r="AE333" s="258"/>
      <c r="AF333" s="258"/>
      <c r="AG333" s="258"/>
      <c r="AH333" s="258"/>
      <c r="AI333" s="258"/>
      <c r="AJ333" s="258"/>
      <c r="AK333" s="258"/>
      <c r="AL333" s="258"/>
      <c r="AM333" s="258"/>
      <c r="AN333" s="258"/>
      <c r="AO333" s="258"/>
      <c r="AP333" s="258"/>
      <c r="AQ333" s="258"/>
      <c r="AR333" s="258"/>
      <c r="AS333" s="258"/>
    </row>
    <row r="334" spans="1:45" ht="122.4" customHeight="1" thickBot="1" x14ac:dyDescent="0.45">
      <c r="A334" s="258"/>
      <c r="B334" s="1298"/>
      <c r="C334" s="1298"/>
      <c r="D334" s="594"/>
      <c r="E334" s="258"/>
      <c r="F334" s="351"/>
      <c r="G334" s="258"/>
      <c r="H334" s="258"/>
      <c r="I334" s="258"/>
      <c r="J334" s="258"/>
      <c r="K334" s="258"/>
      <c r="L334" s="258"/>
      <c r="M334" s="258"/>
      <c r="N334" s="258"/>
      <c r="O334" s="258"/>
      <c r="P334" s="474"/>
      <c r="Q334" s="258"/>
      <c r="R334" s="258"/>
      <c r="S334" s="258"/>
      <c r="T334" s="258"/>
      <c r="U334" s="258"/>
      <c r="V334" s="258"/>
      <c r="W334" s="258"/>
      <c r="X334" s="258"/>
      <c r="Y334" s="258"/>
      <c r="Z334" s="258"/>
      <c r="AA334" s="258"/>
      <c r="AB334" s="258"/>
      <c r="AC334" s="258"/>
      <c r="AD334" s="258"/>
      <c r="AE334" s="258"/>
      <c r="AF334" s="258"/>
      <c r="AG334" s="258"/>
      <c r="AH334" s="258"/>
      <c r="AI334" s="258"/>
      <c r="AJ334" s="258"/>
      <c r="AK334" s="258"/>
      <c r="AL334" s="258"/>
      <c r="AM334" s="258"/>
      <c r="AN334" s="258"/>
      <c r="AO334" s="258"/>
      <c r="AP334" s="258"/>
      <c r="AQ334" s="258"/>
      <c r="AR334" s="258"/>
      <c r="AS334" s="258"/>
    </row>
    <row r="335" spans="1:45" ht="122.4" customHeight="1" thickBot="1" x14ac:dyDescent="0.45">
      <c r="A335" s="258"/>
      <c r="B335" s="1298"/>
      <c r="C335" s="1298"/>
      <c r="D335" s="594"/>
      <c r="E335" s="258"/>
      <c r="F335" s="351"/>
      <c r="G335" s="258"/>
      <c r="H335" s="258"/>
      <c r="I335" s="258"/>
      <c r="J335" s="258"/>
      <c r="K335" s="258"/>
      <c r="L335" s="258"/>
      <c r="M335" s="258"/>
      <c r="N335" s="258"/>
      <c r="O335" s="258"/>
      <c r="P335" s="474"/>
      <c r="Q335" s="258"/>
      <c r="R335" s="258"/>
      <c r="S335" s="258"/>
      <c r="T335" s="258"/>
      <c r="U335" s="258"/>
      <c r="V335" s="258"/>
      <c r="W335" s="258"/>
      <c r="X335" s="258"/>
      <c r="Y335" s="258"/>
      <c r="Z335" s="258"/>
      <c r="AA335" s="258"/>
      <c r="AB335" s="258"/>
      <c r="AC335" s="258"/>
      <c r="AD335" s="258"/>
      <c r="AE335" s="258"/>
      <c r="AF335" s="258"/>
      <c r="AG335" s="258"/>
      <c r="AH335" s="258"/>
      <c r="AI335" s="258"/>
      <c r="AJ335" s="258"/>
      <c r="AK335" s="258"/>
      <c r="AL335" s="258"/>
      <c r="AM335" s="258"/>
      <c r="AN335" s="258"/>
      <c r="AO335" s="258"/>
      <c r="AP335" s="258"/>
      <c r="AQ335" s="258"/>
      <c r="AR335" s="258"/>
      <c r="AS335" s="258"/>
    </row>
    <row r="336" spans="1:45" ht="122.4" customHeight="1" thickBot="1" x14ac:dyDescent="0.45">
      <c r="A336" s="258"/>
      <c r="B336" s="1298"/>
      <c r="C336" s="1298"/>
      <c r="D336" s="594"/>
      <c r="E336" s="258"/>
      <c r="F336" s="351"/>
      <c r="G336" s="258"/>
      <c r="H336" s="258"/>
      <c r="I336" s="258"/>
      <c r="J336" s="258"/>
      <c r="K336" s="258"/>
      <c r="L336" s="258"/>
      <c r="M336" s="258"/>
      <c r="N336" s="258"/>
      <c r="O336" s="258"/>
      <c r="P336" s="474"/>
      <c r="Q336" s="258"/>
      <c r="R336" s="258"/>
      <c r="S336" s="258"/>
      <c r="T336" s="258"/>
      <c r="U336" s="258"/>
      <c r="V336" s="258"/>
      <c r="W336" s="258"/>
      <c r="X336" s="258"/>
      <c r="Y336" s="258"/>
      <c r="Z336" s="258"/>
      <c r="AA336" s="258"/>
      <c r="AB336" s="258"/>
      <c r="AC336" s="258"/>
      <c r="AD336" s="258"/>
      <c r="AE336" s="258"/>
      <c r="AF336" s="258"/>
      <c r="AG336" s="258"/>
      <c r="AH336" s="258"/>
      <c r="AI336" s="258"/>
      <c r="AJ336" s="258"/>
      <c r="AK336" s="258"/>
      <c r="AL336" s="258"/>
      <c r="AM336" s="258"/>
      <c r="AN336" s="258"/>
      <c r="AO336" s="258"/>
      <c r="AP336" s="258"/>
      <c r="AQ336" s="258"/>
      <c r="AR336" s="258"/>
      <c r="AS336" s="258"/>
    </row>
    <row r="337" spans="1:45" ht="122.4" customHeight="1" thickBot="1" x14ac:dyDescent="0.45">
      <c r="A337" s="258"/>
      <c r="B337" s="1298"/>
      <c r="C337" s="1298"/>
      <c r="D337" s="594"/>
      <c r="E337" s="258"/>
      <c r="F337" s="351"/>
      <c r="G337" s="258"/>
      <c r="H337" s="258"/>
      <c r="I337" s="258"/>
      <c r="J337" s="258"/>
      <c r="K337" s="258"/>
      <c r="L337" s="258"/>
      <c r="M337" s="258"/>
      <c r="N337" s="258"/>
      <c r="O337" s="258"/>
      <c r="P337" s="474"/>
      <c r="Q337" s="258"/>
      <c r="R337" s="258"/>
      <c r="S337" s="258"/>
      <c r="T337" s="258"/>
      <c r="U337" s="258"/>
      <c r="V337" s="258"/>
      <c r="W337" s="258"/>
      <c r="X337" s="258"/>
      <c r="Y337" s="258"/>
      <c r="Z337" s="258"/>
      <c r="AA337" s="258"/>
      <c r="AB337" s="258"/>
      <c r="AC337" s="258"/>
      <c r="AD337" s="258"/>
      <c r="AE337" s="258"/>
      <c r="AF337" s="258"/>
      <c r="AG337" s="258"/>
      <c r="AH337" s="258"/>
      <c r="AI337" s="258"/>
      <c r="AJ337" s="258"/>
      <c r="AK337" s="258"/>
      <c r="AL337" s="258"/>
      <c r="AM337" s="258"/>
      <c r="AN337" s="258"/>
      <c r="AO337" s="258"/>
      <c r="AP337" s="258"/>
      <c r="AQ337" s="258"/>
      <c r="AR337" s="258"/>
      <c r="AS337" s="258"/>
    </row>
    <row r="338" spans="1:45" ht="122.4" customHeight="1" thickBot="1" x14ac:dyDescent="0.45">
      <c r="A338" s="258"/>
      <c r="B338" s="1298"/>
      <c r="C338" s="1298"/>
      <c r="D338" s="594"/>
      <c r="E338" s="258"/>
      <c r="F338" s="351"/>
      <c r="G338" s="258"/>
      <c r="H338" s="258"/>
      <c r="I338" s="258"/>
      <c r="J338" s="258"/>
      <c r="K338" s="258"/>
      <c r="L338" s="258"/>
      <c r="M338" s="258"/>
      <c r="N338" s="258"/>
      <c r="O338" s="258"/>
      <c r="P338" s="474"/>
      <c r="Q338" s="258"/>
      <c r="R338" s="258"/>
      <c r="S338" s="258"/>
      <c r="T338" s="258"/>
      <c r="U338" s="258"/>
      <c r="V338" s="258"/>
      <c r="W338" s="258"/>
      <c r="X338" s="258"/>
      <c r="Y338" s="258"/>
      <c r="Z338" s="258"/>
      <c r="AA338" s="258"/>
      <c r="AB338" s="258"/>
      <c r="AC338" s="258"/>
      <c r="AD338" s="258"/>
      <c r="AE338" s="258"/>
      <c r="AF338" s="258"/>
      <c r="AG338" s="258"/>
      <c r="AH338" s="258"/>
      <c r="AI338" s="258"/>
      <c r="AJ338" s="258"/>
      <c r="AK338" s="258"/>
      <c r="AL338" s="258"/>
      <c r="AM338" s="258"/>
      <c r="AN338" s="258"/>
      <c r="AO338" s="258"/>
      <c r="AP338" s="258"/>
      <c r="AQ338" s="258"/>
      <c r="AR338" s="258"/>
      <c r="AS338" s="258"/>
    </row>
    <row r="339" spans="1:45" ht="122.4" customHeight="1" thickBot="1" x14ac:dyDescent="0.45">
      <c r="A339" s="258"/>
      <c r="B339" s="1298"/>
      <c r="C339" s="1298"/>
      <c r="D339" s="594"/>
      <c r="E339" s="258"/>
      <c r="F339" s="351"/>
      <c r="G339" s="258"/>
      <c r="H339" s="258"/>
      <c r="I339" s="258"/>
      <c r="J339" s="258"/>
      <c r="K339" s="258"/>
      <c r="L339" s="258"/>
      <c r="M339" s="258"/>
      <c r="N339" s="258"/>
      <c r="O339" s="258"/>
      <c r="P339" s="474"/>
      <c r="Q339" s="258"/>
      <c r="R339" s="258"/>
      <c r="S339" s="258"/>
      <c r="T339" s="258"/>
      <c r="U339" s="258"/>
      <c r="V339" s="258"/>
      <c r="W339" s="258"/>
      <c r="X339" s="258"/>
      <c r="Y339" s="258"/>
      <c r="Z339" s="258"/>
      <c r="AA339" s="258"/>
      <c r="AB339" s="258"/>
      <c r="AC339" s="258"/>
      <c r="AD339" s="258"/>
      <c r="AE339" s="258"/>
      <c r="AF339" s="258"/>
      <c r="AG339" s="258"/>
      <c r="AH339" s="258"/>
      <c r="AI339" s="258"/>
      <c r="AJ339" s="258"/>
      <c r="AK339" s="258"/>
      <c r="AL339" s="258"/>
      <c r="AM339" s="258"/>
      <c r="AN339" s="258"/>
      <c r="AO339" s="258"/>
      <c r="AP339" s="258"/>
      <c r="AQ339" s="258"/>
      <c r="AR339" s="258"/>
      <c r="AS339" s="258"/>
    </row>
    <row r="340" spans="1:45" ht="122.4" customHeight="1" thickBot="1" x14ac:dyDescent="0.45">
      <c r="A340" s="258"/>
      <c r="B340" s="1298"/>
      <c r="C340" s="1298"/>
      <c r="D340" s="594"/>
      <c r="E340" s="258"/>
      <c r="F340" s="351"/>
      <c r="G340" s="258"/>
      <c r="H340" s="258"/>
      <c r="I340" s="258"/>
      <c r="J340" s="258"/>
      <c r="K340" s="258"/>
      <c r="L340" s="258"/>
      <c r="M340" s="258"/>
      <c r="N340" s="258"/>
      <c r="O340" s="258"/>
      <c r="P340" s="474"/>
      <c r="Q340" s="258"/>
      <c r="R340" s="258"/>
      <c r="S340" s="258"/>
      <c r="T340" s="258"/>
      <c r="U340" s="258"/>
      <c r="V340" s="258"/>
      <c r="W340" s="258"/>
      <c r="X340" s="258"/>
      <c r="Y340" s="258"/>
      <c r="Z340" s="258"/>
      <c r="AA340" s="258"/>
      <c r="AB340" s="258"/>
      <c r="AC340" s="258"/>
      <c r="AD340" s="258"/>
      <c r="AE340" s="258"/>
      <c r="AF340" s="258"/>
      <c r="AG340" s="258"/>
      <c r="AH340" s="258"/>
      <c r="AI340" s="258"/>
      <c r="AJ340" s="258"/>
      <c r="AK340" s="258"/>
      <c r="AL340" s="258"/>
      <c r="AM340" s="258"/>
      <c r="AN340" s="258"/>
      <c r="AO340" s="258"/>
      <c r="AP340" s="258"/>
      <c r="AQ340" s="258"/>
      <c r="AR340" s="258"/>
      <c r="AS340" s="258"/>
    </row>
    <row r="341" spans="1:45" ht="122.4" customHeight="1" thickBot="1" x14ac:dyDescent="0.45">
      <c r="A341" s="258"/>
      <c r="B341" s="1298"/>
      <c r="C341" s="1298"/>
      <c r="D341" s="594"/>
      <c r="E341" s="258"/>
      <c r="F341" s="351"/>
      <c r="G341" s="258"/>
      <c r="H341" s="258"/>
      <c r="I341" s="258"/>
      <c r="J341" s="258"/>
      <c r="K341" s="258"/>
      <c r="L341" s="258"/>
      <c r="M341" s="258"/>
      <c r="N341" s="258"/>
      <c r="O341" s="258"/>
      <c r="P341" s="474"/>
      <c r="Q341" s="258"/>
      <c r="R341" s="258"/>
      <c r="S341" s="258"/>
      <c r="T341" s="258"/>
      <c r="U341" s="258"/>
      <c r="V341" s="258"/>
      <c r="W341" s="258"/>
      <c r="X341" s="258"/>
      <c r="Y341" s="258"/>
      <c r="Z341" s="258"/>
      <c r="AA341" s="258"/>
      <c r="AB341" s="258"/>
      <c r="AC341" s="258"/>
      <c r="AD341" s="258"/>
      <c r="AE341" s="258"/>
      <c r="AF341" s="258"/>
      <c r="AG341" s="258"/>
      <c r="AH341" s="258"/>
      <c r="AI341" s="258"/>
      <c r="AJ341" s="258"/>
      <c r="AK341" s="258"/>
      <c r="AL341" s="258"/>
      <c r="AM341" s="258"/>
      <c r="AN341" s="258"/>
      <c r="AO341" s="258"/>
      <c r="AP341" s="258"/>
      <c r="AQ341" s="258"/>
      <c r="AR341" s="258"/>
      <c r="AS341" s="258"/>
    </row>
    <row r="342" spans="1:45" ht="122.4" customHeight="1" thickBot="1" x14ac:dyDescent="0.45">
      <c r="A342" s="258"/>
      <c r="B342" s="1298"/>
      <c r="C342" s="1298"/>
      <c r="D342" s="594"/>
      <c r="E342" s="258"/>
      <c r="F342" s="351"/>
      <c r="G342" s="258"/>
      <c r="H342" s="258"/>
      <c r="I342" s="258"/>
      <c r="J342" s="258"/>
      <c r="K342" s="258"/>
      <c r="L342" s="258"/>
      <c r="M342" s="258"/>
      <c r="N342" s="258"/>
      <c r="O342" s="258"/>
      <c r="P342" s="474"/>
      <c r="Q342" s="258"/>
      <c r="R342" s="258"/>
      <c r="S342" s="258"/>
      <c r="T342" s="258"/>
      <c r="U342" s="258"/>
      <c r="V342" s="258"/>
      <c r="W342" s="258"/>
      <c r="X342" s="258"/>
      <c r="Y342" s="258"/>
      <c r="Z342" s="258"/>
      <c r="AA342" s="258"/>
      <c r="AB342" s="258"/>
      <c r="AC342" s="258"/>
      <c r="AD342" s="258"/>
      <c r="AE342" s="258"/>
      <c r="AF342" s="258"/>
      <c r="AG342" s="258"/>
      <c r="AH342" s="258"/>
      <c r="AI342" s="258"/>
      <c r="AJ342" s="258"/>
      <c r="AK342" s="258"/>
      <c r="AL342" s="258"/>
      <c r="AM342" s="258"/>
      <c r="AN342" s="258"/>
      <c r="AO342" s="258"/>
      <c r="AP342" s="258"/>
      <c r="AQ342" s="258"/>
      <c r="AR342" s="258"/>
      <c r="AS342" s="258"/>
    </row>
    <row r="343" spans="1:45" ht="122.4" customHeight="1" thickBot="1" x14ac:dyDescent="0.45">
      <c r="A343" s="258"/>
      <c r="B343" s="1298"/>
      <c r="C343" s="1298"/>
      <c r="D343" s="594"/>
      <c r="E343" s="258"/>
      <c r="F343" s="351"/>
      <c r="G343" s="258"/>
      <c r="H343" s="258"/>
      <c r="I343" s="258"/>
      <c r="J343" s="258"/>
      <c r="K343" s="258"/>
      <c r="L343" s="258"/>
      <c r="M343" s="258"/>
      <c r="N343" s="258"/>
      <c r="O343" s="258"/>
      <c r="P343" s="474"/>
      <c r="Q343" s="258"/>
      <c r="R343" s="258"/>
      <c r="S343" s="258"/>
      <c r="T343" s="258"/>
      <c r="U343" s="258"/>
      <c r="V343" s="258"/>
      <c r="W343" s="258"/>
      <c r="X343" s="258"/>
      <c r="Y343" s="258"/>
      <c r="Z343" s="258"/>
      <c r="AA343" s="258"/>
      <c r="AB343" s="258"/>
      <c r="AC343" s="258"/>
      <c r="AD343" s="258"/>
      <c r="AE343" s="258"/>
      <c r="AF343" s="258"/>
      <c r="AG343" s="258"/>
      <c r="AH343" s="258"/>
      <c r="AI343" s="258"/>
      <c r="AJ343" s="258"/>
      <c r="AK343" s="258"/>
      <c r="AL343" s="258"/>
      <c r="AM343" s="258"/>
      <c r="AN343" s="258"/>
      <c r="AO343" s="258"/>
      <c r="AP343" s="258"/>
      <c r="AQ343" s="258"/>
      <c r="AR343" s="258"/>
      <c r="AS343" s="258"/>
    </row>
    <row r="344" spans="1:45" ht="122.4" customHeight="1" thickBot="1" x14ac:dyDescent="0.45">
      <c r="A344" s="258"/>
      <c r="B344" s="1298"/>
      <c r="C344" s="1298"/>
      <c r="D344" s="594"/>
      <c r="E344" s="258"/>
      <c r="F344" s="351"/>
      <c r="G344" s="258"/>
      <c r="H344" s="258"/>
      <c r="I344" s="258"/>
      <c r="J344" s="258"/>
      <c r="K344" s="258"/>
      <c r="L344" s="258"/>
      <c r="M344" s="258"/>
      <c r="N344" s="258"/>
      <c r="O344" s="258"/>
      <c r="P344" s="474"/>
      <c r="Q344" s="258"/>
      <c r="R344" s="258"/>
      <c r="S344" s="258"/>
      <c r="T344" s="258"/>
      <c r="U344" s="258"/>
      <c r="V344" s="258"/>
      <c r="W344" s="258"/>
      <c r="X344" s="258"/>
      <c r="Y344" s="258"/>
      <c r="Z344" s="258"/>
      <c r="AA344" s="258"/>
      <c r="AB344" s="258"/>
      <c r="AC344" s="258"/>
      <c r="AD344" s="258"/>
      <c r="AE344" s="258"/>
      <c r="AF344" s="258"/>
      <c r="AG344" s="258"/>
      <c r="AH344" s="258"/>
      <c r="AI344" s="258"/>
      <c r="AJ344" s="258"/>
      <c r="AK344" s="258"/>
      <c r="AL344" s="258"/>
      <c r="AM344" s="258"/>
      <c r="AN344" s="258"/>
      <c r="AO344" s="258"/>
      <c r="AP344" s="258"/>
      <c r="AQ344" s="258"/>
      <c r="AR344" s="258"/>
      <c r="AS344" s="258"/>
    </row>
    <row r="345" spans="1:45" ht="122.4" customHeight="1" thickBot="1" x14ac:dyDescent="0.45">
      <c r="A345" s="258"/>
      <c r="B345" s="1298"/>
      <c r="C345" s="1298"/>
      <c r="D345" s="594"/>
      <c r="E345" s="258"/>
      <c r="F345" s="351"/>
      <c r="G345" s="258"/>
      <c r="H345" s="258"/>
      <c r="I345" s="258"/>
      <c r="J345" s="258"/>
      <c r="K345" s="258"/>
      <c r="L345" s="258"/>
      <c r="M345" s="258"/>
      <c r="N345" s="258"/>
      <c r="O345" s="258"/>
      <c r="P345" s="474"/>
      <c r="Q345" s="258"/>
      <c r="R345" s="258"/>
      <c r="S345" s="258"/>
      <c r="T345" s="258"/>
      <c r="U345" s="258"/>
      <c r="V345" s="258"/>
      <c r="W345" s="258"/>
      <c r="X345" s="258"/>
      <c r="Y345" s="258"/>
      <c r="Z345" s="258"/>
      <c r="AA345" s="258"/>
      <c r="AB345" s="258"/>
      <c r="AC345" s="258"/>
      <c r="AD345" s="258"/>
      <c r="AE345" s="258"/>
      <c r="AF345" s="258"/>
      <c r="AG345" s="258"/>
      <c r="AH345" s="258"/>
      <c r="AI345" s="258"/>
      <c r="AJ345" s="258"/>
      <c r="AK345" s="258"/>
      <c r="AL345" s="258"/>
      <c r="AM345" s="258"/>
      <c r="AN345" s="258"/>
      <c r="AO345" s="258"/>
      <c r="AP345" s="258"/>
      <c r="AQ345" s="258"/>
      <c r="AR345" s="258"/>
      <c r="AS345" s="258"/>
    </row>
    <row r="346" spans="1:45" ht="122.4" customHeight="1" thickBot="1" x14ac:dyDescent="0.45">
      <c r="A346" s="258"/>
      <c r="B346" s="1298"/>
      <c r="C346" s="1298"/>
      <c r="D346" s="594"/>
      <c r="E346" s="258"/>
      <c r="F346" s="351"/>
      <c r="G346" s="258"/>
      <c r="H346" s="258"/>
      <c r="I346" s="258"/>
      <c r="J346" s="258"/>
      <c r="K346" s="258"/>
      <c r="L346" s="258"/>
      <c r="M346" s="258"/>
      <c r="N346" s="258"/>
      <c r="O346" s="258"/>
      <c r="P346" s="474"/>
      <c r="Q346" s="258"/>
      <c r="R346" s="258"/>
      <c r="S346" s="258"/>
      <c r="T346" s="258"/>
      <c r="U346" s="258"/>
      <c r="V346" s="258"/>
      <c r="W346" s="258"/>
      <c r="X346" s="258"/>
      <c r="Y346" s="258"/>
      <c r="Z346" s="258"/>
      <c r="AA346" s="258"/>
      <c r="AB346" s="258"/>
      <c r="AC346" s="258"/>
      <c r="AD346" s="258"/>
      <c r="AE346" s="258"/>
      <c r="AF346" s="258"/>
      <c r="AG346" s="258"/>
      <c r="AH346" s="258"/>
      <c r="AI346" s="258"/>
      <c r="AJ346" s="258"/>
      <c r="AK346" s="258"/>
      <c r="AL346" s="258"/>
      <c r="AM346" s="258"/>
      <c r="AN346" s="258"/>
      <c r="AO346" s="258"/>
      <c r="AP346" s="258"/>
      <c r="AQ346" s="258"/>
      <c r="AR346" s="258"/>
      <c r="AS346" s="258"/>
    </row>
    <row r="347" spans="1:45" ht="122.4" customHeight="1" thickBot="1" x14ac:dyDescent="0.45">
      <c r="A347" s="258"/>
      <c r="B347" s="1298"/>
      <c r="C347" s="1298"/>
      <c r="D347" s="594"/>
      <c r="E347" s="258"/>
      <c r="F347" s="351"/>
      <c r="G347" s="258"/>
      <c r="H347" s="258"/>
      <c r="I347" s="258"/>
      <c r="J347" s="258"/>
      <c r="K347" s="258"/>
      <c r="L347" s="258"/>
      <c r="M347" s="258"/>
      <c r="N347" s="258"/>
      <c r="O347" s="258"/>
      <c r="P347" s="474"/>
      <c r="Q347" s="258"/>
      <c r="R347" s="258"/>
      <c r="S347" s="258"/>
      <c r="T347" s="258"/>
      <c r="U347" s="258"/>
      <c r="V347" s="258"/>
      <c r="W347" s="258"/>
      <c r="X347" s="258"/>
      <c r="Y347" s="258"/>
      <c r="Z347" s="258"/>
      <c r="AA347" s="258"/>
      <c r="AB347" s="258"/>
      <c r="AC347" s="258"/>
      <c r="AD347" s="258"/>
      <c r="AE347" s="258"/>
      <c r="AF347" s="258"/>
      <c r="AG347" s="258"/>
      <c r="AH347" s="258"/>
      <c r="AI347" s="258"/>
      <c r="AJ347" s="258"/>
      <c r="AK347" s="258"/>
      <c r="AL347" s="258"/>
      <c r="AM347" s="258"/>
      <c r="AN347" s="258"/>
      <c r="AO347" s="258"/>
      <c r="AP347" s="258"/>
      <c r="AQ347" s="258"/>
      <c r="AR347" s="258"/>
      <c r="AS347" s="258"/>
    </row>
    <row r="348" spans="1:45" ht="122.4" customHeight="1" thickBot="1" x14ac:dyDescent="0.45">
      <c r="A348" s="258"/>
      <c r="B348" s="1298"/>
      <c r="C348" s="1298"/>
      <c r="D348" s="594"/>
      <c r="E348" s="258"/>
      <c r="F348" s="351"/>
      <c r="G348" s="258"/>
      <c r="H348" s="258"/>
      <c r="I348" s="258"/>
      <c r="J348" s="258"/>
      <c r="K348" s="258"/>
      <c r="L348" s="258"/>
      <c r="M348" s="258"/>
      <c r="N348" s="258"/>
      <c r="O348" s="258"/>
      <c r="P348" s="474"/>
      <c r="Q348" s="258"/>
      <c r="R348" s="258"/>
      <c r="S348" s="258"/>
      <c r="T348" s="258"/>
      <c r="U348" s="258"/>
      <c r="V348" s="258"/>
      <c r="W348" s="258"/>
      <c r="X348" s="258"/>
      <c r="Y348" s="258"/>
      <c r="Z348" s="258"/>
      <c r="AA348" s="258"/>
      <c r="AB348" s="258"/>
      <c r="AC348" s="258"/>
      <c r="AD348" s="258"/>
      <c r="AE348" s="258"/>
      <c r="AF348" s="258"/>
      <c r="AG348" s="258"/>
      <c r="AH348" s="258"/>
      <c r="AI348" s="258"/>
      <c r="AJ348" s="258"/>
      <c r="AK348" s="258"/>
      <c r="AL348" s="258"/>
      <c r="AM348" s="258"/>
      <c r="AN348" s="258"/>
      <c r="AO348" s="258"/>
      <c r="AP348" s="258"/>
      <c r="AQ348" s="258"/>
      <c r="AR348" s="258"/>
      <c r="AS348" s="258"/>
    </row>
    <row r="349" spans="1:45" ht="122.4" customHeight="1" thickBot="1" x14ac:dyDescent="0.45">
      <c r="A349" s="258"/>
      <c r="B349" s="1298"/>
      <c r="C349" s="1298"/>
      <c r="D349" s="594"/>
      <c r="E349" s="258"/>
      <c r="F349" s="351"/>
      <c r="G349" s="258"/>
      <c r="H349" s="258"/>
      <c r="I349" s="258"/>
      <c r="J349" s="258"/>
      <c r="K349" s="258"/>
      <c r="L349" s="258"/>
      <c r="M349" s="258"/>
      <c r="N349" s="258"/>
      <c r="O349" s="258"/>
      <c r="P349" s="474"/>
      <c r="Q349" s="258"/>
      <c r="R349" s="258"/>
      <c r="S349" s="258"/>
      <c r="T349" s="258"/>
      <c r="U349" s="258"/>
      <c r="V349" s="258"/>
      <c r="W349" s="258"/>
      <c r="X349" s="258"/>
      <c r="Y349" s="258"/>
      <c r="Z349" s="258"/>
      <c r="AA349" s="258"/>
      <c r="AB349" s="258"/>
      <c r="AC349" s="258"/>
      <c r="AD349" s="258"/>
      <c r="AE349" s="258"/>
      <c r="AF349" s="258"/>
      <c r="AG349" s="258"/>
      <c r="AH349" s="258"/>
      <c r="AI349" s="258"/>
      <c r="AJ349" s="258"/>
      <c r="AK349" s="258"/>
      <c r="AL349" s="258"/>
      <c r="AM349" s="258"/>
      <c r="AN349" s="258"/>
      <c r="AO349" s="258"/>
      <c r="AP349" s="258"/>
      <c r="AQ349" s="258"/>
      <c r="AR349" s="258"/>
      <c r="AS349" s="258"/>
    </row>
    <row r="350" spans="1:45" ht="122.4" customHeight="1" thickBot="1" x14ac:dyDescent="0.45">
      <c r="A350" s="258"/>
      <c r="B350" s="1298"/>
      <c r="C350" s="1298"/>
      <c r="D350" s="594"/>
      <c r="E350" s="258"/>
      <c r="F350" s="351"/>
      <c r="G350" s="258"/>
      <c r="H350" s="258"/>
      <c r="I350" s="258"/>
      <c r="J350" s="258"/>
      <c r="K350" s="258"/>
      <c r="L350" s="258"/>
      <c r="M350" s="258"/>
      <c r="N350" s="258"/>
      <c r="O350" s="258"/>
      <c r="P350" s="474"/>
      <c r="Q350" s="258"/>
      <c r="R350" s="258"/>
      <c r="S350" s="258"/>
      <c r="T350" s="258"/>
      <c r="U350" s="258"/>
      <c r="V350" s="258"/>
      <c r="W350" s="258"/>
      <c r="X350" s="258"/>
      <c r="Y350" s="258"/>
      <c r="Z350" s="258"/>
      <c r="AA350" s="258"/>
      <c r="AB350" s="258"/>
      <c r="AC350" s="258"/>
      <c r="AD350" s="258"/>
      <c r="AE350" s="258"/>
      <c r="AF350" s="258"/>
      <c r="AG350" s="258"/>
      <c r="AH350" s="258"/>
      <c r="AI350" s="258"/>
      <c r="AJ350" s="258"/>
      <c r="AK350" s="258"/>
      <c r="AL350" s="258"/>
      <c r="AM350" s="258"/>
      <c r="AN350" s="258"/>
      <c r="AO350" s="258"/>
      <c r="AP350" s="258"/>
      <c r="AQ350" s="258"/>
      <c r="AR350" s="258"/>
      <c r="AS350" s="258"/>
    </row>
    <row r="351" spans="1:45" ht="122.4" customHeight="1" thickBot="1" x14ac:dyDescent="0.45">
      <c r="A351" s="258"/>
      <c r="B351" s="1298"/>
      <c r="C351" s="1298"/>
      <c r="D351" s="594"/>
      <c r="E351" s="258"/>
      <c r="F351" s="351"/>
      <c r="G351" s="258"/>
      <c r="H351" s="258"/>
      <c r="I351" s="258"/>
      <c r="J351" s="258"/>
      <c r="K351" s="258"/>
      <c r="L351" s="258"/>
      <c r="M351" s="258"/>
      <c r="N351" s="258"/>
      <c r="O351" s="258"/>
      <c r="P351" s="474"/>
      <c r="Q351" s="258"/>
      <c r="R351" s="258"/>
      <c r="S351" s="258"/>
      <c r="T351" s="258"/>
      <c r="U351" s="258"/>
      <c r="V351" s="258"/>
      <c r="W351" s="258"/>
      <c r="X351" s="258"/>
      <c r="Y351" s="258"/>
      <c r="Z351" s="258"/>
      <c r="AA351" s="258"/>
      <c r="AB351" s="258"/>
      <c r="AC351" s="258"/>
      <c r="AD351" s="258"/>
      <c r="AE351" s="258"/>
      <c r="AF351" s="258"/>
      <c r="AG351" s="258"/>
      <c r="AH351" s="258"/>
      <c r="AI351" s="258"/>
      <c r="AJ351" s="258"/>
      <c r="AK351" s="258"/>
      <c r="AL351" s="258"/>
      <c r="AM351" s="258"/>
      <c r="AN351" s="258"/>
      <c r="AO351" s="258"/>
      <c r="AP351" s="258"/>
      <c r="AQ351" s="258"/>
      <c r="AR351" s="258"/>
      <c r="AS351" s="258"/>
    </row>
    <row r="352" spans="1:45" ht="122.4" customHeight="1" thickBot="1" x14ac:dyDescent="0.45">
      <c r="A352" s="258"/>
      <c r="B352" s="1298"/>
      <c r="C352" s="1298"/>
      <c r="D352" s="594"/>
      <c r="E352" s="258"/>
      <c r="F352" s="351"/>
      <c r="G352" s="258"/>
      <c r="H352" s="258"/>
      <c r="I352" s="258"/>
      <c r="J352" s="258"/>
      <c r="K352" s="258"/>
      <c r="L352" s="258"/>
      <c r="M352" s="258"/>
      <c r="N352" s="258"/>
      <c r="O352" s="258"/>
      <c r="P352" s="474"/>
      <c r="Q352" s="258"/>
      <c r="R352" s="258"/>
      <c r="S352" s="258"/>
      <c r="T352" s="258"/>
      <c r="U352" s="258"/>
      <c r="V352" s="258"/>
      <c r="W352" s="258"/>
      <c r="X352" s="258"/>
      <c r="Y352" s="258"/>
      <c r="Z352" s="258"/>
      <c r="AA352" s="258"/>
      <c r="AB352" s="258"/>
      <c r="AC352" s="258"/>
      <c r="AD352" s="258"/>
      <c r="AE352" s="258"/>
      <c r="AF352" s="258"/>
      <c r="AG352" s="258"/>
      <c r="AH352" s="258"/>
      <c r="AI352" s="258"/>
      <c r="AJ352" s="258"/>
      <c r="AK352" s="258"/>
      <c r="AL352" s="258"/>
      <c r="AM352" s="258"/>
      <c r="AN352" s="258"/>
      <c r="AO352" s="258"/>
      <c r="AP352" s="258"/>
      <c r="AQ352" s="258"/>
      <c r="AR352" s="258"/>
      <c r="AS352" s="258"/>
    </row>
    <row r="353" spans="1:45" ht="122.4" customHeight="1" thickBot="1" x14ac:dyDescent="0.45">
      <c r="A353" s="258"/>
      <c r="B353" s="1298"/>
      <c r="C353" s="1298"/>
      <c r="D353" s="594"/>
      <c r="E353" s="258"/>
      <c r="F353" s="351"/>
      <c r="G353" s="258"/>
      <c r="H353" s="258"/>
      <c r="I353" s="258"/>
      <c r="J353" s="258"/>
      <c r="K353" s="258"/>
      <c r="L353" s="258"/>
      <c r="M353" s="258"/>
      <c r="N353" s="258"/>
      <c r="O353" s="258"/>
      <c r="P353" s="474"/>
      <c r="Q353" s="258"/>
      <c r="R353" s="258"/>
      <c r="S353" s="258"/>
      <c r="T353" s="258"/>
      <c r="U353" s="258"/>
      <c r="V353" s="258"/>
      <c r="W353" s="258"/>
      <c r="X353" s="258"/>
      <c r="Y353" s="258"/>
      <c r="Z353" s="258"/>
      <c r="AA353" s="258"/>
      <c r="AB353" s="258"/>
      <c r="AC353" s="258"/>
      <c r="AD353" s="258"/>
      <c r="AE353" s="258"/>
      <c r="AF353" s="258"/>
      <c r="AG353" s="258"/>
      <c r="AH353" s="258"/>
      <c r="AI353" s="258"/>
      <c r="AJ353" s="258"/>
      <c r="AK353" s="258"/>
      <c r="AL353" s="258"/>
      <c r="AM353" s="258"/>
      <c r="AN353" s="258"/>
      <c r="AO353" s="258"/>
      <c r="AP353" s="258"/>
      <c r="AQ353" s="258"/>
      <c r="AR353" s="258"/>
      <c r="AS353" s="258"/>
    </row>
    <row r="354" spans="1:45" ht="122.4" customHeight="1" thickBot="1" x14ac:dyDescent="0.45">
      <c r="A354" s="258"/>
      <c r="B354" s="1298"/>
      <c r="C354" s="1298"/>
      <c r="D354" s="594"/>
      <c r="E354" s="258"/>
      <c r="F354" s="351"/>
      <c r="G354" s="258"/>
      <c r="H354" s="258"/>
      <c r="I354" s="258"/>
      <c r="J354" s="258"/>
      <c r="K354" s="258"/>
      <c r="L354" s="258"/>
      <c r="M354" s="258"/>
      <c r="N354" s="258"/>
      <c r="O354" s="258"/>
      <c r="P354" s="474"/>
      <c r="Q354" s="258"/>
      <c r="R354" s="258"/>
      <c r="S354" s="258"/>
      <c r="T354" s="258"/>
      <c r="U354" s="258"/>
      <c r="V354" s="258"/>
      <c r="W354" s="258"/>
      <c r="X354" s="258"/>
      <c r="Y354" s="258"/>
      <c r="Z354" s="258"/>
      <c r="AA354" s="258"/>
      <c r="AB354" s="258"/>
      <c r="AC354" s="258"/>
      <c r="AD354" s="258"/>
      <c r="AE354" s="258"/>
      <c r="AF354" s="258"/>
      <c r="AG354" s="258"/>
      <c r="AH354" s="258"/>
      <c r="AI354" s="258"/>
      <c r="AJ354" s="258"/>
      <c r="AK354" s="258"/>
      <c r="AL354" s="258"/>
      <c r="AM354" s="258"/>
      <c r="AN354" s="258"/>
      <c r="AO354" s="258"/>
      <c r="AP354" s="258"/>
      <c r="AQ354" s="258"/>
      <c r="AR354" s="258"/>
      <c r="AS354" s="258"/>
    </row>
    <row r="355" spans="1:45" ht="122.4" customHeight="1" thickBot="1" x14ac:dyDescent="0.45">
      <c r="A355" s="258"/>
      <c r="B355" s="1298"/>
      <c r="C355" s="1298"/>
      <c r="D355" s="594"/>
      <c r="E355" s="258"/>
      <c r="F355" s="351"/>
      <c r="G355" s="258"/>
      <c r="H355" s="258"/>
      <c r="I355" s="258"/>
      <c r="J355" s="258"/>
      <c r="K355" s="258"/>
      <c r="L355" s="258"/>
      <c r="M355" s="258"/>
      <c r="N355" s="258"/>
      <c r="O355" s="258"/>
      <c r="P355" s="474"/>
      <c r="Q355" s="258"/>
      <c r="R355" s="258"/>
      <c r="S355" s="258"/>
      <c r="T355" s="258"/>
      <c r="U355" s="258"/>
      <c r="V355" s="258"/>
      <c r="W355" s="258"/>
      <c r="X355" s="258"/>
      <c r="Y355" s="258"/>
      <c r="Z355" s="258"/>
      <c r="AA355" s="258"/>
      <c r="AB355" s="258"/>
      <c r="AC355" s="258"/>
      <c r="AD355" s="258"/>
      <c r="AE355" s="258"/>
      <c r="AF355" s="258"/>
      <c r="AG355" s="258"/>
      <c r="AH355" s="258"/>
      <c r="AI355" s="258"/>
      <c r="AJ355" s="258"/>
      <c r="AK355" s="258"/>
      <c r="AL355" s="258"/>
      <c r="AM355" s="258"/>
      <c r="AN355" s="258"/>
      <c r="AO355" s="258"/>
      <c r="AP355" s="258"/>
      <c r="AQ355" s="258"/>
      <c r="AR355" s="258"/>
      <c r="AS355" s="258"/>
    </row>
    <row r="356" spans="1:45" ht="122.4" customHeight="1" thickBot="1" x14ac:dyDescent="0.45">
      <c r="A356" s="258"/>
      <c r="B356" s="1298"/>
      <c r="C356" s="1298"/>
      <c r="D356" s="594"/>
      <c r="E356" s="258"/>
      <c r="F356" s="351"/>
      <c r="G356" s="258"/>
      <c r="H356" s="258"/>
      <c r="I356" s="258"/>
      <c r="J356" s="258"/>
      <c r="K356" s="258"/>
      <c r="L356" s="258"/>
      <c r="M356" s="258"/>
      <c r="N356" s="258"/>
      <c r="O356" s="258"/>
      <c r="P356" s="474"/>
      <c r="Q356" s="258"/>
      <c r="R356" s="258"/>
      <c r="S356" s="258"/>
      <c r="T356" s="258"/>
      <c r="U356" s="258"/>
      <c r="V356" s="258"/>
      <c r="W356" s="258"/>
      <c r="X356" s="258"/>
      <c r="Y356" s="258"/>
      <c r="Z356" s="258"/>
      <c r="AA356" s="258"/>
      <c r="AB356" s="258"/>
      <c r="AC356" s="258"/>
      <c r="AD356" s="258"/>
      <c r="AE356" s="258"/>
      <c r="AF356" s="258"/>
      <c r="AG356" s="258"/>
      <c r="AH356" s="258"/>
      <c r="AI356" s="258"/>
      <c r="AJ356" s="258"/>
      <c r="AK356" s="258"/>
      <c r="AL356" s="258"/>
      <c r="AM356" s="258"/>
      <c r="AN356" s="258"/>
      <c r="AO356" s="258"/>
      <c r="AP356" s="258"/>
      <c r="AQ356" s="258"/>
      <c r="AR356" s="258"/>
      <c r="AS356" s="258"/>
    </row>
    <row r="357" spans="1:45" ht="122.4" customHeight="1" thickBot="1" x14ac:dyDescent="0.45">
      <c r="A357" s="258"/>
      <c r="B357" s="1298"/>
      <c r="C357" s="1298"/>
      <c r="D357" s="594"/>
      <c r="E357" s="258"/>
      <c r="F357" s="351"/>
      <c r="G357" s="258"/>
      <c r="H357" s="258"/>
      <c r="I357" s="258"/>
      <c r="J357" s="258"/>
      <c r="K357" s="258"/>
      <c r="L357" s="258"/>
      <c r="M357" s="258"/>
      <c r="N357" s="258"/>
      <c r="O357" s="258"/>
      <c r="P357" s="474"/>
      <c r="Q357" s="258"/>
      <c r="R357" s="258"/>
      <c r="S357" s="258"/>
      <c r="T357" s="258"/>
      <c r="U357" s="258"/>
      <c r="V357" s="258"/>
      <c r="W357" s="258"/>
      <c r="X357" s="258"/>
      <c r="Y357" s="258"/>
      <c r="Z357" s="258"/>
      <c r="AA357" s="258"/>
      <c r="AB357" s="258"/>
      <c r="AC357" s="258"/>
      <c r="AD357" s="258"/>
      <c r="AE357" s="258"/>
      <c r="AF357" s="258"/>
      <c r="AG357" s="258"/>
      <c r="AH357" s="258"/>
      <c r="AI357" s="258"/>
      <c r="AJ357" s="258"/>
      <c r="AK357" s="258"/>
      <c r="AL357" s="258"/>
      <c r="AM357" s="258"/>
      <c r="AN357" s="258"/>
      <c r="AO357" s="258"/>
      <c r="AP357" s="258"/>
      <c r="AQ357" s="258"/>
      <c r="AR357" s="258"/>
      <c r="AS357" s="258"/>
    </row>
    <row r="358" spans="1:45" ht="122.4" customHeight="1" thickBot="1" x14ac:dyDescent="0.45">
      <c r="A358" s="258"/>
      <c r="B358" s="1298"/>
      <c r="C358" s="1298"/>
      <c r="D358" s="594"/>
      <c r="E358" s="258"/>
      <c r="F358" s="351"/>
      <c r="G358" s="258"/>
      <c r="H358" s="258"/>
      <c r="I358" s="258"/>
      <c r="J358" s="258"/>
      <c r="K358" s="258"/>
      <c r="L358" s="258"/>
      <c r="M358" s="258"/>
      <c r="N358" s="258"/>
      <c r="O358" s="258"/>
      <c r="P358" s="474"/>
      <c r="Q358" s="258"/>
      <c r="R358" s="258"/>
      <c r="S358" s="258"/>
      <c r="T358" s="258"/>
      <c r="U358" s="258"/>
      <c r="V358" s="258"/>
      <c r="W358" s="258"/>
      <c r="X358" s="258"/>
      <c r="Y358" s="258"/>
      <c r="Z358" s="258"/>
      <c r="AA358" s="258"/>
      <c r="AB358" s="258"/>
      <c r="AC358" s="258"/>
      <c r="AD358" s="258"/>
      <c r="AE358" s="258"/>
      <c r="AF358" s="258"/>
      <c r="AG358" s="258"/>
      <c r="AH358" s="258"/>
      <c r="AI358" s="258"/>
      <c r="AJ358" s="258"/>
      <c r="AK358" s="258"/>
      <c r="AL358" s="258"/>
      <c r="AM358" s="258"/>
      <c r="AN358" s="258"/>
      <c r="AO358" s="258"/>
      <c r="AP358" s="258"/>
      <c r="AQ358" s="258"/>
      <c r="AR358" s="258"/>
      <c r="AS358" s="258"/>
    </row>
    <row r="359" spans="1:45" ht="122.4" customHeight="1" thickBot="1" x14ac:dyDescent="0.45">
      <c r="A359" s="258"/>
      <c r="B359" s="1298"/>
      <c r="C359" s="1298"/>
      <c r="D359" s="594"/>
      <c r="E359" s="258"/>
      <c r="F359" s="351"/>
      <c r="G359" s="258"/>
      <c r="H359" s="258"/>
      <c r="I359" s="258"/>
      <c r="J359" s="258"/>
      <c r="K359" s="258"/>
      <c r="L359" s="258"/>
      <c r="M359" s="258"/>
      <c r="N359" s="258"/>
      <c r="O359" s="258"/>
      <c r="P359" s="474"/>
      <c r="Q359" s="258"/>
      <c r="R359" s="258"/>
      <c r="S359" s="258"/>
      <c r="T359" s="258"/>
      <c r="U359" s="258"/>
      <c r="V359" s="258"/>
      <c r="W359" s="258"/>
      <c r="X359" s="258"/>
      <c r="Y359" s="258"/>
      <c r="Z359" s="258"/>
      <c r="AA359" s="258"/>
      <c r="AB359" s="258"/>
      <c r="AC359" s="258"/>
      <c r="AD359" s="258"/>
      <c r="AE359" s="258"/>
      <c r="AF359" s="258"/>
      <c r="AG359" s="258"/>
      <c r="AH359" s="258"/>
      <c r="AI359" s="258"/>
      <c r="AJ359" s="258"/>
      <c r="AK359" s="258"/>
      <c r="AL359" s="258"/>
      <c r="AM359" s="258"/>
      <c r="AN359" s="258"/>
      <c r="AO359" s="258"/>
      <c r="AP359" s="258"/>
      <c r="AQ359" s="258"/>
      <c r="AR359" s="258"/>
      <c r="AS359" s="258"/>
    </row>
    <row r="360" spans="1:45" ht="122.4" customHeight="1" thickBot="1" x14ac:dyDescent="0.45">
      <c r="A360" s="258"/>
      <c r="B360" s="1298"/>
      <c r="C360" s="1298"/>
      <c r="D360" s="594"/>
      <c r="E360" s="258"/>
      <c r="F360" s="351"/>
      <c r="G360" s="258"/>
      <c r="H360" s="258"/>
      <c r="I360" s="258"/>
      <c r="J360" s="258"/>
      <c r="K360" s="258"/>
      <c r="L360" s="258"/>
      <c r="M360" s="258"/>
      <c r="N360" s="258"/>
      <c r="O360" s="258"/>
      <c r="P360" s="474"/>
      <c r="Q360" s="258"/>
      <c r="R360" s="258"/>
      <c r="S360" s="258"/>
      <c r="T360" s="258"/>
      <c r="U360" s="258"/>
      <c r="V360" s="258"/>
      <c r="W360" s="258"/>
      <c r="X360" s="258"/>
      <c r="Y360" s="258"/>
      <c r="Z360" s="258"/>
      <c r="AA360" s="258"/>
      <c r="AB360" s="258"/>
      <c r="AC360" s="258"/>
      <c r="AD360" s="258"/>
      <c r="AE360" s="258"/>
      <c r="AF360" s="258"/>
      <c r="AG360" s="258"/>
      <c r="AH360" s="258"/>
      <c r="AI360" s="258"/>
      <c r="AJ360" s="258"/>
      <c r="AK360" s="258"/>
      <c r="AL360" s="258"/>
      <c r="AM360" s="258"/>
      <c r="AN360" s="258"/>
      <c r="AO360" s="258"/>
      <c r="AP360" s="258"/>
      <c r="AQ360" s="258"/>
      <c r="AR360" s="258"/>
      <c r="AS360" s="258"/>
    </row>
    <row r="361" spans="1:45" ht="122.4" customHeight="1" thickBot="1" x14ac:dyDescent="0.45">
      <c r="A361" s="258"/>
      <c r="B361" s="1298"/>
      <c r="C361" s="1298"/>
      <c r="D361" s="594"/>
      <c r="E361" s="258"/>
      <c r="F361" s="351"/>
      <c r="G361" s="258"/>
      <c r="H361" s="258"/>
      <c r="I361" s="258"/>
      <c r="J361" s="258"/>
      <c r="K361" s="258"/>
      <c r="L361" s="258"/>
      <c r="M361" s="258"/>
      <c r="N361" s="258"/>
      <c r="O361" s="258"/>
      <c r="P361" s="474"/>
      <c r="Q361" s="258"/>
      <c r="R361" s="258"/>
      <c r="S361" s="258"/>
      <c r="T361" s="258"/>
      <c r="U361" s="258"/>
      <c r="V361" s="258"/>
      <c r="W361" s="258"/>
      <c r="X361" s="258"/>
      <c r="Y361" s="258"/>
      <c r="Z361" s="258"/>
      <c r="AA361" s="258"/>
      <c r="AB361" s="258"/>
      <c r="AC361" s="258"/>
      <c r="AD361" s="258"/>
      <c r="AE361" s="258"/>
      <c r="AF361" s="258"/>
      <c r="AG361" s="258"/>
      <c r="AH361" s="258"/>
      <c r="AI361" s="258"/>
      <c r="AJ361" s="258"/>
      <c r="AK361" s="258"/>
      <c r="AL361" s="258"/>
      <c r="AM361" s="258"/>
      <c r="AN361" s="258"/>
      <c r="AO361" s="258"/>
      <c r="AP361" s="258"/>
      <c r="AQ361" s="258"/>
      <c r="AR361" s="258"/>
      <c r="AS361" s="258"/>
    </row>
    <row r="362" spans="1:45" ht="122.4" customHeight="1" thickBot="1" x14ac:dyDescent="0.45">
      <c r="A362" s="258"/>
      <c r="B362" s="1298"/>
      <c r="C362" s="1298"/>
      <c r="D362" s="594"/>
      <c r="E362" s="258"/>
      <c r="F362" s="351"/>
      <c r="G362" s="258"/>
      <c r="H362" s="258"/>
      <c r="I362" s="258"/>
      <c r="J362" s="258"/>
      <c r="K362" s="258"/>
      <c r="L362" s="258"/>
      <c r="M362" s="258"/>
      <c r="N362" s="258"/>
      <c r="O362" s="258"/>
      <c r="P362" s="474"/>
      <c r="Q362" s="258"/>
      <c r="R362" s="258"/>
      <c r="S362" s="258"/>
      <c r="T362" s="258"/>
      <c r="U362" s="258"/>
      <c r="V362" s="258"/>
      <c r="W362" s="258"/>
      <c r="X362" s="258"/>
      <c r="Y362" s="258"/>
      <c r="Z362" s="258"/>
      <c r="AA362" s="258"/>
      <c r="AB362" s="258"/>
      <c r="AC362" s="258"/>
      <c r="AD362" s="258"/>
      <c r="AE362" s="258"/>
      <c r="AF362" s="258"/>
      <c r="AG362" s="258"/>
      <c r="AH362" s="258"/>
      <c r="AI362" s="258"/>
      <c r="AJ362" s="258"/>
      <c r="AK362" s="258"/>
      <c r="AL362" s="258"/>
      <c r="AM362" s="258"/>
      <c r="AN362" s="258"/>
      <c r="AO362" s="258"/>
      <c r="AP362" s="258"/>
      <c r="AQ362" s="258"/>
      <c r="AR362" s="258"/>
      <c r="AS362" s="258"/>
    </row>
    <row r="363" spans="1:45" ht="122.4" customHeight="1" thickBot="1" x14ac:dyDescent="0.45">
      <c r="A363" s="258"/>
      <c r="B363" s="1298"/>
      <c r="C363" s="1298"/>
      <c r="D363" s="594"/>
      <c r="E363" s="258"/>
      <c r="F363" s="351"/>
      <c r="G363" s="258"/>
      <c r="H363" s="258"/>
      <c r="I363" s="258"/>
      <c r="J363" s="258"/>
      <c r="K363" s="258"/>
      <c r="L363" s="258"/>
      <c r="M363" s="258"/>
      <c r="N363" s="258"/>
      <c r="O363" s="258"/>
      <c r="P363" s="474"/>
      <c r="Q363" s="258"/>
      <c r="R363" s="258"/>
      <c r="S363" s="258"/>
      <c r="T363" s="258"/>
      <c r="U363" s="258"/>
      <c r="V363" s="258"/>
      <c r="W363" s="258"/>
      <c r="X363" s="258"/>
      <c r="Y363" s="258"/>
      <c r="Z363" s="258"/>
      <c r="AA363" s="258"/>
      <c r="AB363" s="258"/>
      <c r="AC363" s="258"/>
      <c r="AD363" s="258"/>
      <c r="AE363" s="258"/>
      <c r="AF363" s="258"/>
      <c r="AG363" s="258"/>
      <c r="AH363" s="258"/>
      <c r="AI363" s="258"/>
      <c r="AJ363" s="258"/>
      <c r="AK363" s="258"/>
      <c r="AL363" s="258"/>
      <c r="AM363" s="258"/>
      <c r="AN363" s="258"/>
      <c r="AO363" s="258"/>
      <c r="AP363" s="258"/>
      <c r="AQ363" s="258"/>
      <c r="AR363" s="258"/>
      <c r="AS363" s="258"/>
    </row>
    <row r="364" spans="1:45" ht="122.4" customHeight="1" thickBot="1" x14ac:dyDescent="0.45">
      <c r="A364" s="258"/>
      <c r="B364" s="1298"/>
      <c r="C364" s="1298"/>
      <c r="D364" s="594"/>
      <c r="E364" s="258"/>
      <c r="F364" s="351"/>
      <c r="G364" s="258"/>
      <c r="H364" s="258"/>
      <c r="I364" s="258"/>
      <c r="J364" s="258"/>
      <c r="K364" s="258"/>
      <c r="L364" s="258"/>
      <c r="M364" s="258"/>
      <c r="N364" s="258"/>
      <c r="O364" s="258"/>
      <c r="P364" s="474"/>
      <c r="Q364" s="258"/>
      <c r="R364" s="258"/>
      <c r="S364" s="258"/>
      <c r="T364" s="258"/>
      <c r="U364" s="258"/>
      <c r="V364" s="258"/>
      <c r="W364" s="258"/>
      <c r="X364" s="258"/>
      <c r="Y364" s="258"/>
      <c r="Z364" s="258"/>
      <c r="AA364" s="258"/>
      <c r="AB364" s="258"/>
      <c r="AC364" s="258"/>
      <c r="AD364" s="258"/>
      <c r="AE364" s="258"/>
      <c r="AF364" s="258"/>
      <c r="AG364" s="258"/>
      <c r="AH364" s="258"/>
      <c r="AI364" s="258"/>
      <c r="AJ364" s="258"/>
      <c r="AK364" s="258"/>
      <c r="AL364" s="258"/>
      <c r="AM364" s="258"/>
      <c r="AN364" s="258"/>
      <c r="AO364" s="258"/>
      <c r="AP364" s="258"/>
      <c r="AQ364" s="258"/>
      <c r="AR364" s="258"/>
      <c r="AS364" s="258"/>
    </row>
    <row r="365" spans="1:45" ht="122.4" customHeight="1" thickBot="1" x14ac:dyDescent="0.45">
      <c r="A365" s="258"/>
      <c r="B365" s="1298"/>
      <c r="C365" s="1298"/>
      <c r="D365" s="594"/>
      <c r="E365" s="258"/>
      <c r="F365" s="351"/>
      <c r="G365" s="258"/>
      <c r="H365" s="258"/>
      <c r="I365" s="258"/>
      <c r="J365" s="258"/>
      <c r="K365" s="258"/>
      <c r="L365" s="258"/>
      <c r="M365" s="258"/>
      <c r="N365" s="258"/>
      <c r="O365" s="258"/>
      <c r="P365" s="474"/>
      <c r="Q365" s="258"/>
      <c r="R365" s="258"/>
      <c r="S365" s="258"/>
      <c r="T365" s="258"/>
      <c r="U365" s="258"/>
      <c r="V365" s="258"/>
      <c r="W365" s="258"/>
      <c r="X365" s="258"/>
      <c r="Y365" s="258"/>
      <c r="Z365" s="258"/>
      <c r="AA365" s="258"/>
      <c r="AB365" s="258"/>
      <c r="AC365" s="258"/>
      <c r="AD365" s="258"/>
      <c r="AE365" s="258"/>
      <c r="AF365" s="258"/>
      <c r="AG365" s="258"/>
      <c r="AH365" s="258"/>
      <c r="AI365" s="258"/>
      <c r="AJ365" s="258"/>
      <c r="AK365" s="258"/>
      <c r="AL365" s="258"/>
      <c r="AM365" s="258"/>
      <c r="AN365" s="258"/>
      <c r="AO365" s="258"/>
      <c r="AP365" s="258"/>
      <c r="AQ365" s="258"/>
      <c r="AR365" s="258"/>
      <c r="AS365" s="258"/>
    </row>
    <row r="366" spans="1:45" ht="122.4" customHeight="1" thickBot="1" x14ac:dyDescent="0.45">
      <c r="A366" s="258"/>
      <c r="B366" s="1298"/>
      <c r="C366" s="1298"/>
      <c r="D366" s="594"/>
      <c r="E366" s="258"/>
      <c r="F366" s="351"/>
      <c r="G366" s="258"/>
      <c r="H366" s="258"/>
      <c r="I366" s="258"/>
      <c r="J366" s="258"/>
      <c r="K366" s="258"/>
      <c r="L366" s="258"/>
      <c r="M366" s="258"/>
      <c r="N366" s="258"/>
      <c r="O366" s="258"/>
      <c r="P366" s="474"/>
      <c r="Q366" s="258"/>
      <c r="R366" s="258"/>
      <c r="S366" s="258"/>
      <c r="T366" s="258"/>
      <c r="U366" s="258"/>
      <c r="V366" s="258"/>
      <c r="W366" s="258"/>
      <c r="X366" s="258"/>
      <c r="Y366" s="258"/>
      <c r="Z366" s="258"/>
      <c r="AA366" s="258"/>
      <c r="AB366" s="258"/>
      <c r="AC366" s="258"/>
      <c r="AD366" s="258"/>
      <c r="AE366" s="258"/>
      <c r="AF366" s="258"/>
      <c r="AG366" s="258"/>
      <c r="AH366" s="258"/>
      <c r="AI366" s="258"/>
      <c r="AJ366" s="258"/>
      <c r="AK366" s="258"/>
      <c r="AL366" s="258"/>
      <c r="AM366" s="258"/>
      <c r="AN366" s="258"/>
      <c r="AO366" s="258"/>
      <c r="AP366" s="258"/>
      <c r="AQ366" s="258"/>
      <c r="AR366" s="258"/>
      <c r="AS366" s="258"/>
    </row>
    <row r="367" spans="1:45" ht="122.4" customHeight="1" thickBot="1" x14ac:dyDescent="0.45">
      <c r="A367" s="258"/>
      <c r="B367" s="1298"/>
      <c r="C367" s="1298"/>
      <c r="D367" s="594"/>
      <c r="E367" s="258"/>
      <c r="F367" s="351"/>
      <c r="G367" s="258"/>
      <c r="H367" s="258"/>
      <c r="I367" s="258"/>
      <c r="J367" s="258"/>
      <c r="K367" s="258"/>
      <c r="L367" s="258"/>
      <c r="M367" s="258"/>
      <c r="N367" s="258"/>
      <c r="O367" s="258"/>
      <c r="P367" s="474"/>
      <c r="Q367" s="258"/>
      <c r="R367" s="258"/>
      <c r="S367" s="258"/>
      <c r="T367" s="258"/>
      <c r="U367" s="258"/>
      <c r="V367" s="258"/>
      <c r="W367" s="258"/>
      <c r="X367" s="258"/>
      <c r="Y367" s="258"/>
      <c r="Z367" s="258"/>
      <c r="AA367" s="258"/>
      <c r="AB367" s="258"/>
      <c r="AC367" s="258"/>
      <c r="AD367" s="258"/>
      <c r="AE367" s="258"/>
      <c r="AF367" s="258"/>
      <c r="AG367" s="258"/>
      <c r="AH367" s="258"/>
      <c r="AI367" s="258"/>
      <c r="AJ367" s="258"/>
      <c r="AK367" s="258"/>
      <c r="AL367" s="258"/>
      <c r="AM367" s="258"/>
      <c r="AN367" s="258"/>
      <c r="AO367" s="258"/>
      <c r="AP367" s="258"/>
      <c r="AQ367" s="258"/>
      <c r="AR367" s="258"/>
      <c r="AS367" s="258"/>
    </row>
    <row r="368" spans="1:45" ht="122.4" customHeight="1" thickBot="1" x14ac:dyDescent="0.45">
      <c r="A368" s="258"/>
      <c r="B368" s="1298"/>
      <c r="C368" s="1298"/>
      <c r="D368" s="594"/>
      <c r="E368" s="258"/>
      <c r="F368" s="351"/>
      <c r="G368" s="258"/>
      <c r="H368" s="258"/>
      <c r="I368" s="258"/>
      <c r="J368" s="258"/>
      <c r="K368" s="258"/>
      <c r="L368" s="258"/>
      <c r="M368" s="258"/>
      <c r="N368" s="258"/>
      <c r="O368" s="258"/>
      <c r="P368" s="474"/>
      <c r="Q368" s="258"/>
      <c r="R368" s="258"/>
      <c r="S368" s="258"/>
      <c r="T368" s="258"/>
      <c r="U368" s="258"/>
      <c r="V368" s="258"/>
      <c r="W368" s="258"/>
      <c r="X368" s="258"/>
      <c r="Y368" s="258"/>
      <c r="Z368" s="258"/>
      <c r="AA368" s="258"/>
      <c r="AB368" s="258"/>
      <c r="AC368" s="258"/>
      <c r="AD368" s="258"/>
      <c r="AE368" s="258"/>
      <c r="AF368" s="258"/>
      <c r="AG368" s="258"/>
      <c r="AH368" s="258"/>
      <c r="AI368" s="258"/>
      <c r="AJ368" s="258"/>
      <c r="AK368" s="258"/>
      <c r="AL368" s="258"/>
      <c r="AM368" s="258"/>
      <c r="AN368" s="258"/>
      <c r="AO368" s="258"/>
      <c r="AP368" s="258"/>
      <c r="AQ368" s="258"/>
      <c r="AR368" s="258"/>
      <c r="AS368" s="258"/>
    </row>
    <row r="369" spans="1:45" ht="122.4" customHeight="1" thickBot="1" x14ac:dyDescent="0.45">
      <c r="A369" s="258"/>
      <c r="B369" s="1298"/>
      <c r="C369" s="1298"/>
      <c r="D369" s="594"/>
      <c r="E369" s="258"/>
      <c r="F369" s="351"/>
      <c r="G369" s="258"/>
      <c r="H369" s="258"/>
      <c r="I369" s="258"/>
      <c r="J369" s="258"/>
      <c r="K369" s="258"/>
      <c r="L369" s="258"/>
      <c r="M369" s="258"/>
      <c r="N369" s="258"/>
      <c r="O369" s="258"/>
      <c r="P369" s="474"/>
      <c r="Q369" s="258"/>
      <c r="R369" s="258"/>
      <c r="S369" s="258"/>
      <c r="T369" s="258"/>
      <c r="U369" s="258"/>
      <c r="V369" s="258"/>
      <c r="W369" s="258"/>
      <c r="X369" s="258"/>
      <c r="Y369" s="258"/>
      <c r="Z369" s="258"/>
      <c r="AA369" s="258"/>
      <c r="AB369" s="258"/>
      <c r="AC369" s="258"/>
      <c r="AD369" s="258"/>
      <c r="AE369" s="258"/>
      <c r="AF369" s="258"/>
      <c r="AG369" s="258"/>
      <c r="AH369" s="258"/>
      <c r="AI369" s="258"/>
      <c r="AJ369" s="258"/>
      <c r="AK369" s="258"/>
      <c r="AL369" s="258"/>
      <c r="AM369" s="258"/>
      <c r="AN369" s="258"/>
      <c r="AO369" s="258"/>
      <c r="AP369" s="258"/>
      <c r="AQ369" s="258"/>
      <c r="AR369" s="258"/>
      <c r="AS369" s="258"/>
    </row>
    <row r="370" spans="1:45" ht="122.4" customHeight="1" thickBot="1" x14ac:dyDescent="0.45">
      <c r="A370" s="258"/>
      <c r="B370" s="1298"/>
      <c r="C370" s="1298"/>
      <c r="D370" s="594"/>
      <c r="E370" s="258"/>
      <c r="F370" s="351"/>
      <c r="G370" s="258"/>
      <c r="H370" s="258"/>
      <c r="I370" s="258"/>
      <c r="J370" s="258"/>
      <c r="K370" s="258"/>
      <c r="L370" s="258"/>
      <c r="M370" s="258"/>
      <c r="N370" s="258"/>
      <c r="O370" s="258"/>
      <c r="P370" s="474"/>
      <c r="Q370" s="258"/>
      <c r="R370" s="258"/>
      <c r="S370" s="258"/>
      <c r="T370" s="258"/>
      <c r="U370" s="258"/>
      <c r="V370" s="258"/>
      <c r="W370" s="258"/>
      <c r="X370" s="258"/>
      <c r="Y370" s="258"/>
      <c r="Z370" s="258"/>
      <c r="AA370" s="258"/>
      <c r="AB370" s="258"/>
      <c r="AC370" s="258"/>
      <c r="AD370" s="258"/>
      <c r="AE370" s="258"/>
      <c r="AF370" s="258"/>
      <c r="AG370" s="258"/>
      <c r="AH370" s="258"/>
      <c r="AI370" s="258"/>
      <c r="AJ370" s="258"/>
      <c r="AK370" s="258"/>
      <c r="AL370" s="258"/>
      <c r="AM370" s="258"/>
      <c r="AN370" s="258"/>
      <c r="AO370" s="258"/>
      <c r="AP370" s="258"/>
      <c r="AQ370" s="258"/>
      <c r="AR370" s="258"/>
      <c r="AS370" s="258"/>
    </row>
    <row r="371" spans="1:45" ht="122.4" customHeight="1" thickBot="1" x14ac:dyDescent="0.45">
      <c r="A371" s="258"/>
      <c r="B371" s="1298"/>
      <c r="C371" s="1298"/>
      <c r="D371" s="594"/>
      <c r="E371" s="258"/>
      <c r="F371" s="351"/>
      <c r="G371" s="258"/>
      <c r="H371" s="258"/>
      <c r="I371" s="258"/>
      <c r="J371" s="258"/>
      <c r="K371" s="258"/>
      <c r="L371" s="258"/>
      <c r="M371" s="258"/>
      <c r="N371" s="258"/>
      <c r="O371" s="258"/>
      <c r="P371" s="474"/>
      <c r="Q371" s="258"/>
      <c r="R371" s="258"/>
      <c r="S371" s="258"/>
      <c r="T371" s="258"/>
      <c r="U371" s="258"/>
      <c r="V371" s="258"/>
      <c r="W371" s="258"/>
      <c r="X371" s="258"/>
      <c r="Y371" s="258"/>
      <c r="Z371" s="258"/>
      <c r="AA371" s="258"/>
      <c r="AB371" s="258"/>
      <c r="AC371" s="258"/>
      <c r="AD371" s="258"/>
      <c r="AE371" s="258"/>
      <c r="AF371" s="258"/>
      <c r="AG371" s="258"/>
      <c r="AH371" s="258"/>
      <c r="AI371" s="258"/>
      <c r="AJ371" s="258"/>
      <c r="AK371" s="258"/>
      <c r="AL371" s="258"/>
      <c r="AM371" s="258"/>
      <c r="AN371" s="258"/>
      <c r="AO371" s="258"/>
      <c r="AP371" s="258"/>
      <c r="AQ371" s="258"/>
      <c r="AR371" s="258"/>
      <c r="AS371" s="258"/>
    </row>
    <row r="372" spans="1:45" ht="122.4" customHeight="1" thickBot="1" x14ac:dyDescent="0.45">
      <c r="A372" s="258"/>
      <c r="B372" s="1298"/>
      <c r="C372" s="1298"/>
      <c r="D372" s="594"/>
      <c r="E372" s="258"/>
      <c r="F372" s="351"/>
      <c r="G372" s="258"/>
      <c r="H372" s="258"/>
      <c r="I372" s="258"/>
      <c r="J372" s="258"/>
      <c r="K372" s="258"/>
      <c r="L372" s="258"/>
      <c r="M372" s="258"/>
      <c r="N372" s="258"/>
      <c r="O372" s="258"/>
      <c r="P372" s="474"/>
      <c r="Q372" s="258"/>
      <c r="R372" s="258"/>
      <c r="S372" s="258"/>
      <c r="T372" s="258"/>
      <c r="U372" s="258"/>
      <c r="V372" s="258"/>
      <c r="W372" s="258"/>
      <c r="X372" s="258"/>
      <c r="Y372" s="258"/>
      <c r="Z372" s="258"/>
      <c r="AA372" s="258"/>
      <c r="AB372" s="258"/>
      <c r="AC372" s="258"/>
      <c r="AD372" s="258"/>
      <c r="AE372" s="258"/>
      <c r="AF372" s="258"/>
      <c r="AG372" s="258"/>
      <c r="AH372" s="258"/>
      <c r="AI372" s="258"/>
      <c r="AJ372" s="258"/>
      <c r="AK372" s="258"/>
      <c r="AL372" s="258"/>
      <c r="AM372" s="258"/>
      <c r="AN372" s="258"/>
      <c r="AO372" s="258"/>
      <c r="AP372" s="258"/>
      <c r="AQ372" s="258"/>
      <c r="AR372" s="258"/>
      <c r="AS372" s="258"/>
    </row>
    <row r="373" spans="1:45" ht="122.4" customHeight="1" thickBot="1" x14ac:dyDescent="0.45">
      <c r="A373" s="258"/>
      <c r="B373" s="1298"/>
      <c r="C373" s="1298"/>
      <c r="D373" s="594"/>
      <c r="E373" s="258"/>
      <c r="F373" s="351"/>
      <c r="G373" s="258"/>
      <c r="H373" s="258"/>
      <c r="I373" s="258"/>
      <c r="J373" s="258"/>
      <c r="K373" s="258"/>
      <c r="L373" s="258"/>
      <c r="M373" s="258"/>
      <c r="N373" s="258"/>
      <c r="O373" s="258"/>
      <c r="P373" s="474"/>
      <c r="Q373" s="258"/>
      <c r="R373" s="258"/>
      <c r="S373" s="258"/>
      <c r="T373" s="258"/>
      <c r="U373" s="258"/>
      <c r="V373" s="258"/>
      <c r="W373" s="258"/>
      <c r="X373" s="258"/>
      <c r="Y373" s="258"/>
      <c r="Z373" s="258"/>
      <c r="AA373" s="258"/>
      <c r="AB373" s="258"/>
      <c r="AC373" s="258"/>
      <c r="AD373" s="258"/>
      <c r="AE373" s="258"/>
      <c r="AF373" s="258"/>
      <c r="AG373" s="258"/>
      <c r="AH373" s="258"/>
      <c r="AI373" s="258"/>
      <c r="AJ373" s="258"/>
      <c r="AK373" s="258"/>
      <c r="AL373" s="258"/>
      <c r="AM373" s="258"/>
      <c r="AN373" s="258"/>
      <c r="AO373" s="258"/>
      <c r="AP373" s="258"/>
      <c r="AQ373" s="258"/>
      <c r="AR373" s="258"/>
      <c r="AS373" s="258"/>
    </row>
    <row r="374" spans="1:45" ht="122.4" customHeight="1" thickBot="1" x14ac:dyDescent="0.45">
      <c r="A374" s="258"/>
      <c r="B374" s="1298"/>
      <c r="C374" s="1298"/>
      <c r="D374" s="594"/>
      <c r="E374" s="258"/>
      <c r="F374" s="351"/>
      <c r="G374" s="258"/>
      <c r="H374" s="258"/>
      <c r="I374" s="258"/>
      <c r="J374" s="258"/>
      <c r="K374" s="258"/>
      <c r="L374" s="258"/>
      <c r="M374" s="258"/>
      <c r="N374" s="258"/>
      <c r="O374" s="258"/>
      <c r="P374" s="474"/>
      <c r="Q374" s="258"/>
      <c r="R374" s="258"/>
      <c r="S374" s="258"/>
      <c r="T374" s="258"/>
      <c r="U374" s="258"/>
      <c r="V374" s="258"/>
      <c r="W374" s="258"/>
      <c r="X374" s="258"/>
      <c r="Y374" s="258"/>
      <c r="Z374" s="258"/>
      <c r="AA374" s="258"/>
      <c r="AB374" s="258"/>
      <c r="AC374" s="258"/>
      <c r="AD374" s="258"/>
      <c r="AE374" s="258"/>
      <c r="AF374" s="258"/>
      <c r="AG374" s="258"/>
      <c r="AH374" s="258"/>
      <c r="AI374" s="258"/>
      <c r="AJ374" s="258"/>
      <c r="AK374" s="258"/>
      <c r="AL374" s="258"/>
      <c r="AM374" s="258"/>
      <c r="AN374" s="258"/>
      <c r="AO374" s="258"/>
      <c r="AP374" s="258"/>
      <c r="AQ374" s="258"/>
      <c r="AR374" s="258"/>
      <c r="AS374" s="258"/>
    </row>
    <row r="375" spans="1:45" ht="122.4" customHeight="1" thickBot="1" x14ac:dyDescent="0.45">
      <c r="A375" s="258"/>
      <c r="B375" s="1298"/>
      <c r="C375" s="1298"/>
      <c r="D375" s="594"/>
      <c r="E375" s="258"/>
      <c r="F375" s="351"/>
      <c r="G375" s="258"/>
      <c r="H375" s="258"/>
      <c r="I375" s="258"/>
      <c r="J375" s="258"/>
      <c r="K375" s="258"/>
      <c r="L375" s="258"/>
      <c r="M375" s="258"/>
      <c r="N375" s="258"/>
      <c r="O375" s="258"/>
      <c r="P375" s="474"/>
      <c r="Q375" s="258"/>
      <c r="R375" s="258"/>
      <c r="S375" s="258"/>
      <c r="T375" s="258"/>
      <c r="U375" s="258"/>
      <c r="V375" s="258"/>
      <c r="W375" s="258"/>
      <c r="X375" s="258"/>
      <c r="Y375" s="258"/>
      <c r="Z375" s="258"/>
      <c r="AA375" s="258"/>
      <c r="AB375" s="258"/>
      <c r="AC375" s="258"/>
      <c r="AD375" s="258"/>
      <c r="AE375" s="258"/>
      <c r="AF375" s="258"/>
      <c r="AG375" s="258"/>
      <c r="AH375" s="258"/>
      <c r="AI375" s="258"/>
      <c r="AJ375" s="258"/>
      <c r="AK375" s="258"/>
      <c r="AL375" s="258"/>
      <c r="AM375" s="258"/>
      <c r="AN375" s="258"/>
      <c r="AO375" s="258"/>
      <c r="AP375" s="258"/>
      <c r="AQ375" s="258"/>
      <c r="AR375" s="258"/>
      <c r="AS375" s="258"/>
    </row>
    <row r="376" spans="1:45" ht="122.4" customHeight="1" thickBot="1" x14ac:dyDescent="0.45">
      <c r="A376" s="258"/>
      <c r="B376" s="1298"/>
      <c r="C376" s="1298"/>
      <c r="D376" s="594"/>
      <c r="E376" s="258"/>
      <c r="F376" s="351"/>
      <c r="G376" s="258"/>
      <c r="H376" s="258"/>
      <c r="I376" s="258"/>
      <c r="J376" s="258"/>
      <c r="K376" s="258"/>
      <c r="L376" s="258"/>
      <c r="M376" s="258"/>
      <c r="N376" s="258"/>
      <c r="O376" s="258"/>
      <c r="P376" s="474"/>
      <c r="Q376" s="258"/>
      <c r="R376" s="258"/>
      <c r="S376" s="258"/>
      <c r="T376" s="258"/>
      <c r="U376" s="258"/>
      <c r="V376" s="258"/>
      <c r="W376" s="258"/>
      <c r="X376" s="258"/>
      <c r="Y376" s="258"/>
      <c r="Z376" s="258"/>
      <c r="AA376" s="258"/>
      <c r="AB376" s="258"/>
      <c r="AC376" s="258"/>
      <c r="AD376" s="258"/>
      <c r="AE376" s="258"/>
      <c r="AF376" s="258"/>
      <c r="AG376" s="258"/>
      <c r="AH376" s="258"/>
      <c r="AI376" s="258"/>
      <c r="AJ376" s="258"/>
      <c r="AK376" s="258"/>
      <c r="AL376" s="258"/>
      <c r="AM376" s="258"/>
      <c r="AN376" s="258"/>
      <c r="AO376" s="258"/>
      <c r="AP376" s="258"/>
      <c r="AQ376" s="258"/>
      <c r="AR376" s="258"/>
      <c r="AS376" s="258"/>
    </row>
    <row r="377" spans="1:45" ht="122.4" customHeight="1" thickBot="1" x14ac:dyDescent="0.45">
      <c r="A377" s="258"/>
      <c r="B377" s="1298"/>
      <c r="C377" s="1298"/>
      <c r="D377" s="594"/>
      <c r="E377" s="258"/>
      <c r="F377" s="351"/>
      <c r="G377" s="258"/>
      <c r="H377" s="258"/>
      <c r="I377" s="258"/>
      <c r="J377" s="258"/>
      <c r="K377" s="258"/>
      <c r="L377" s="258"/>
      <c r="M377" s="258"/>
      <c r="N377" s="258"/>
      <c r="O377" s="258"/>
      <c r="P377" s="474"/>
      <c r="Q377" s="258"/>
      <c r="R377" s="258"/>
      <c r="S377" s="258"/>
      <c r="T377" s="258"/>
      <c r="U377" s="258"/>
      <c r="V377" s="258"/>
      <c r="W377" s="258"/>
      <c r="X377" s="258"/>
      <c r="Y377" s="258"/>
      <c r="Z377" s="258"/>
      <c r="AA377" s="258"/>
      <c r="AB377" s="258"/>
      <c r="AC377" s="258"/>
      <c r="AD377" s="258"/>
      <c r="AE377" s="258"/>
      <c r="AF377" s="258"/>
      <c r="AG377" s="258"/>
      <c r="AH377" s="258"/>
      <c r="AI377" s="258"/>
      <c r="AJ377" s="258"/>
      <c r="AK377" s="258"/>
      <c r="AL377" s="258"/>
      <c r="AM377" s="258"/>
      <c r="AN377" s="258"/>
      <c r="AO377" s="258"/>
      <c r="AP377" s="258"/>
      <c r="AQ377" s="258"/>
      <c r="AR377" s="258"/>
      <c r="AS377" s="258"/>
    </row>
    <row r="378" spans="1:45" ht="122.4" customHeight="1" thickBot="1" x14ac:dyDescent="0.45">
      <c r="A378" s="258"/>
      <c r="B378" s="1298"/>
      <c r="C378" s="1298"/>
      <c r="D378" s="594"/>
      <c r="E378" s="258"/>
      <c r="F378" s="351"/>
      <c r="G378" s="258"/>
      <c r="H378" s="258"/>
      <c r="I378" s="258"/>
      <c r="J378" s="258"/>
      <c r="K378" s="258"/>
      <c r="L378" s="258"/>
      <c r="M378" s="258"/>
      <c r="N378" s="258"/>
      <c r="O378" s="258"/>
      <c r="P378" s="474"/>
      <c r="Q378" s="258"/>
      <c r="R378" s="258"/>
      <c r="S378" s="258"/>
      <c r="T378" s="258"/>
      <c r="U378" s="258"/>
      <c r="V378" s="258"/>
      <c r="W378" s="258"/>
      <c r="X378" s="258"/>
      <c r="Y378" s="258"/>
      <c r="Z378" s="258"/>
      <c r="AA378" s="258"/>
      <c r="AB378" s="258"/>
      <c r="AC378" s="258"/>
      <c r="AD378" s="258"/>
      <c r="AE378" s="258"/>
      <c r="AF378" s="258"/>
      <c r="AG378" s="258"/>
      <c r="AH378" s="258"/>
      <c r="AI378" s="258"/>
      <c r="AJ378" s="258"/>
      <c r="AK378" s="258"/>
      <c r="AL378" s="258"/>
      <c r="AM378" s="258"/>
      <c r="AN378" s="258"/>
      <c r="AO378" s="258"/>
      <c r="AP378" s="258"/>
      <c r="AQ378" s="258"/>
      <c r="AR378" s="258"/>
      <c r="AS378" s="258"/>
    </row>
    <row r="379" spans="1:45" ht="122.4" customHeight="1" thickBot="1" x14ac:dyDescent="0.45">
      <c r="A379" s="258"/>
      <c r="B379" s="1298"/>
      <c r="C379" s="1298"/>
      <c r="D379" s="594"/>
      <c r="E379" s="258"/>
      <c r="F379" s="351"/>
      <c r="G379" s="258"/>
      <c r="H379" s="258"/>
      <c r="I379" s="258"/>
      <c r="J379" s="258"/>
      <c r="K379" s="258"/>
      <c r="L379" s="258"/>
      <c r="M379" s="258"/>
      <c r="N379" s="258"/>
      <c r="O379" s="258"/>
      <c r="P379" s="474"/>
      <c r="Q379" s="258"/>
      <c r="R379" s="258"/>
      <c r="S379" s="258"/>
      <c r="T379" s="258"/>
      <c r="U379" s="258"/>
      <c r="V379" s="258"/>
      <c r="W379" s="258"/>
      <c r="X379" s="258"/>
      <c r="Y379" s="258"/>
      <c r="Z379" s="258"/>
      <c r="AA379" s="258"/>
      <c r="AB379" s="258"/>
      <c r="AC379" s="258"/>
      <c r="AD379" s="258"/>
      <c r="AE379" s="258"/>
      <c r="AF379" s="258"/>
      <c r="AG379" s="258"/>
      <c r="AH379" s="258"/>
      <c r="AI379" s="258"/>
      <c r="AJ379" s="258"/>
      <c r="AK379" s="258"/>
      <c r="AL379" s="258"/>
      <c r="AM379" s="258"/>
      <c r="AN379" s="258"/>
      <c r="AO379" s="258"/>
      <c r="AP379" s="258"/>
      <c r="AQ379" s="258"/>
      <c r="AR379" s="258"/>
      <c r="AS379" s="258"/>
    </row>
    <row r="380" spans="1:45" ht="122.4" customHeight="1" thickBot="1" x14ac:dyDescent="0.45">
      <c r="A380" s="258"/>
      <c r="B380" s="1298"/>
      <c r="C380" s="1298"/>
      <c r="D380" s="594"/>
      <c r="E380" s="258"/>
      <c r="F380" s="351"/>
      <c r="G380" s="258"/>
      <c r="H380" s="258"/>
      <c r="I380" s="258"/>
      <c r="J380" s="258"/>
      <c r="K380" s="258"/>
      <c r="L380" s="258"/>
      <c r="M380" s="258"/>
      <c r="N380" s="258"/>
      <c r="O380" s="258"/>
      <c r="P380" s="474"/>
      <c r="Q380" s="258"/>
      <c r="R380" s="258"/>
      <c r="S380" s="258"/>
      <c r="T380" s="258"/>
      <c r="U380" s="258"/>
      <c r="V380" s="258"/>
      <c r="W380" s="258"/>
      <c r="X380" s="258"/>
      <c r="Y380" s="258"/>
      <c r="Z380" s="258"/>
      <c r="AA380" s="258"/>
      <c r="AB380" s="258"/>
      <c r="AC380" s="258"/>
      <c r="AD380" s="258"/>
      <c r="AE380" s="258"/>
      <c r="AF380" s="258"/>
      <c r="AG380" s="258"/>
      <c r="AH380" s="258"/>
      <c r="AI380" s="258"/>
      <c r="AJ380" s="258"/>
      <c r="AK380" s="258"/>
      <c r="AL380" s="258"/>
      <c r="AM380" s="258"/>
      <c r="AN380" s="258"/>
      <c r="AO380" s="258"/>
      <c r="AP380" s="258"/>
      <c r="AQ380" s="258"/>
      <c r="AR380" s="258"/>
      <c r="AS380" s="258"/>
    </row>
    <row r="381" spans="1:45" ht="122.4" customHeight="1" thickBot="1" x14ac:dyDescent="0.45">
      <c r="A381" s="258"/>
      <c r="B381" s="1298"/>
      <c r="C381" s="1298"/>
      <c r="D381" s="594"/>
      <c r="E381" s="258"/>
      <c r="F381" s="351"/>
      <c r="G381" s="258"/>
      <c r="H381" s="258"/>
      <c r="I381" s="258"/>
      <c r="J381" s="258"/>
      <c r="K381" s="258"/>
      <c r="L381" s="258"/>
      <c r="M381" s="258"/>
      <c r="N381" s="258"/>
      <c r="O381" s="258"/>
      <c r="P381" s="474"/>
      <c r="Q381" s="258"/>
      <c r="R381" s="258"/>
      <c r="S381" s="258"/>
      <c r="T381" s="258"/>
      <c r="U381" s="258"/>
      <c r="V381" s="258"/>
      <c r="W381" s="258"/>
      <c r="X381" s="258"/>
      <c r="Y381" s="258"/>
      <c r="Z381" s="258"/>
      <c r="AA381" s="258"/>
      <c r="AB381" s="258"/>
      <c r="AC381" s="258"/>
      <c r="AD381" s="258"/>
      <c r="AE381" s="258"/>
      <c r="AF381" s="258"/>
      <c r="AG381" s="258"/>
      <c r="AH381" s="258"/>
      <c r="AI381" s="258"/>
      <c r="AJ381" s="258"/>
      <c r="AK381" s="258"/>
      <c r="AL381" s="258"/>
      <c r="AM381" s="258"/>
      <c r="AN381" s="258"/>
      <c r="AO381" s="258"/>
      <c r="AP381" s="258"/>
      <c r="AQ381" s="258"/>
      <c r="AR381" s="258"/>
      <c r="AS381" s="258"/>
    </row>
    <row r="382" spans="1:45" ht="122.4" customHeight="1" thickBot="1" x14ac:dyDescent="0.45">
      <c r="A382" s="258"/>
      <c r="B382" s="1298"/>
      <c r="C382" s="1298"/>
      <c r="D382" s="594"/>
      <c r="E382" s="258"/>
      <c r="F382" s="351"/>
      <c r="G382" s="258"/>
      <c r="H382" s="258"/>
      <c r="I382" s="258"/>
      <c r="J382" s="258"/>
      <c r="K382" s="258"/>
      <c r="L382" s="258"/>
      <c r="M382" s="258"/>
      <c r="N382" s="258"/>
      <c r="O382" s="258"/>
      <c r="P382" s="474"/>
      <c r="Q382" s="258"/>
      <c r="R382" s="258"/>
      <c r="S382" s="258"/>
      <c r="T382" s="258"/>
      <c r="U382" s="258"/>
      <c r="V382" s="258"/>
      <c r="W382" s="258"/>
      <c r="X382" s="258"/>
      <c r="Y382" s="258"/>
      <c r="Z382" s="258"/>
      <c r="AA382" s="258"/>
      <c r="AB382" s="258"/>
      <c r="AC382" s="258"/>
      <c r="AD382" s="258"/>
      <c r="AE382" s="258"/>
      <c r="AF382" s="258"/>
      <c r="AG382" s="258"/>
      <c r="AH382" s="258"/>
      <c r="AI382" s="258"/>
      <c r="AJ382" s="258"/>
      <c r="AK382" s="258"/>
      <c r="AL382" s="258"/>
      <c r="AM382" s="258"/>
      <c r="AN382" s="258"/>
      <c r="AO382" s="258"/>
      <c r="AP382" s="258"/>
      <c r="AQ382" s="258"/>
      <c r="AR382" s="258"/>
      <c r="AS382" s="258"/>
    </row>
    <row r="383" spans="1:45" ht="122.4" customHeight="1" thickBot="1" x14ac:dyDescent="0.45">
      <c r="A383" s="258"/>
      <c r="B383" s="1298"/>
      <c r="C383" s="1298"/>
      <c r="D383" s="594"/>
      <c r="E383" s="258"/>
      <c r="F383" s="351"/>
      <c r="G383" s="258"/>
      <c r="H383" s="258"/>
      <c r="I383" s="258"/>
      <c r="J383" s="258"/>
      <c r="K383" s="258"/>
      <c r="L383" s="258"/>
      <c r="M383" s="258"/>
      <c r="N383" s="258"/>
      <c r="O383" s="258"/>
      <c r="P383" s="474"/>
      <c r="Q383" s="258"/>
      <c r="R383" s="258"/>
      <c r="S383" s="258"/>
      <c r="T383" s="258"/>
      <c r="U383" s="258"/>
      <c r="V383" s="258"/>
      <c r="W383" s="258"/>
      <c r="X383" s="258"/>
      <c r="Y383" s="258"/>
      <c r="Z383" s="258"/>
      <c r="AA383" s="258"/>
      <c r="AB383" s="258"/>
      <c r="AC383" s="258"/>
      <c r="AD383" s="258"/>
      <c r="AE383" s="258"/>
      <c r="AF383" s="258"/>
      <c r="AG383" s="258"/>
      <c r="AH383" s="258"/>
      <c r="AI383" s="258"/>
      <c r="AJ383" s="258"/>
      <c r="AK383" s="258"/>
      <c r="AL383" s="258"/>
      <c r="AM383" s="258"/>
      <c r="AN383" s="258"/>
      <c r="AO383" s="258"/>
      <c r="AP383" s="258"/>
      <c r="AQ383" s="258"/>
      <c r="AR383" s="258"/>
      <c r="AS383" s="258"/>
    </row>
    <row r="384" spans="1:45" ht="122.4" customHeight="1" thickBot="1" x14ac:dyDescent="0.45">
      <c r="A384" s="258"/>
      <c r="B384" s="1298"/>
      <c r="C384" s="1298"/>
      <c r="D384" s="594"/>
      <c r="E384" s="258"/>
      <c r="F384" s="351"/>
      <c r="G384" s="258"/>
      <c r="H384" s="258"/>
      <c r="I384" s="258"/>
      <c r="J384" s="258"/>
      <c r="K384" s="258"/>
      <c r="L384" s="258"/>
      <c r="M384" s="258"/>
      <c r="N384" s="258"/>
      <c r="O384" s="258"/>
      <c r="P384" s="474"/>
      <c r="Q384" s="258"/>
      <c r="R384" s="258"/>
      <c r="S384" s="258"/>
      <c r="T384" s="258"/>
      <c r="U384" s="258"/>
      <c r="V384" s="258"/>
      <c r="W384" s="258"/>
      <c r="X384" s="258"/>
      <c r="Y384" s="258"/>
      <c r="Z384" s="258"/>
      <c r="AA384" s="258"/>
      <c r="AB384" s="258"/>
      <c r="AC384" s="258"/>
      <c r="AD384" s="258"/>
      <c r="AE384" s="258"/>
      <c r="AF384" s="258"/>
      <c r="AG384" s="258"/>
      <c r="AH384" s="258"/>
      <c r="AI384" s="258"/>
      <c r="AJ384" s="258"/>
      <c r="AK384" s="258"/>
      <c r="AL384" s="258"/>
      <c r="AM384" s="258"/>
      <c r="AN384" s="258"/>
      <c r="AO384" s="258"/>
      <c r="AP384" s="258"/>
      <c r="AQ384" s="258"/>
      <c r="AR384" s="258"/>
      <c r="AS384" s="258"/>
    </row>
    <row r="385" spans="1:45" ht="122.4" customHeight="1" thickBot="1" x14ac:dyDescent="0.45">
      <c r="A385" s="258"/>
      <c r="B385" s="1298"/>
      <c r="C385" s="1298"/>
      <c r="D385" s="594"/>
      <c r="E385" s="258"/>
      <c r="F385" s="351"/>
      <c r="G385" s="258"/>
      <c r="H385" s="258"/>
      <c r="I385" s="258"/>
      <c r="J385" s="258"/>
      <c r="K385" s="258"/>
      <c r="L385" s="258"/>
      <c r="M385" s="258"/>
      <c r="N385" s="258"/>
      <c r="O385" s="258"/>
      <c r="P385" s="474"/>
      <c r="Q385" s="258"/>
      <c r="R385" s="258"/>
      <c r="S385" s="258"/>
      <c r="T385" s="258"/>
      <c r="U385" s="258"/>
      <c r="V385" s="258"/>
      <c r="W385" s="258"/>
      <c r="X385" s="258"/>
      <c r="Y385" s="258"/>
      <c r="Z385" s="258"/>
      <c r="AA385" s="258"/>
      <c r="AB385" s="258"/>
      <c r="AC385" s="258"/>
      <c r="AD385" s="258"/>
      <c r="AE385" s="258"/>
      <c r="AF385" s="258"/>
      <c r="AG385" s="258"/>
      <c r="AH385" s="258"/>
      <c r="AI385" s="258"/>
      <c r="AJ385" s="258"/>
      <c r="AK385" s="258"/>
      <c r="AL385" s="258"/>
      <c r="AM385" s="258"/>
      <c r="AN385" s="258"/>
      <c r="AO385" s="258"/>
      <c r="AP385" s="258"/>
      <c r="AQ385" s="258"/>
      <c r="AR385" s="258"/>
      <c r="AS385" s="258"/>
    </row>
    <row r="386" spans="1:45" ht="122.4" customHeight="1" thickBot="1" x14ac:dyDescent="0.45">
      <c r="A386" s="258"/>
      <c r="B386" s="1298"/>
      <c r="C386" s="1298"/>
      <c r="D386" s="594"/>
      <c r="E386" s="258"/>
      <c r="F386" s="351"/>
      <c r="G386" s="258"/>
      <c r="H386" s="258"/>
      <c r="I386" s="258"/>
      <c r="J386" s="258"/>
      <c r="K386" s="258"/>
      <c r="L386" s="258"/>
      <c r="M386" s="258"/>
      <c r="N386" s="258"/>
      <c r="O386" s="258"/>
      <c r="P386" s="474"/>
      <c r="Q386" s="258"/>
      <c r="R386" s="258"/>
      <c r="S386" s="258"/>
      <c r="T386" s="258"/>
      <c r="U386" s="258"/>
      <c r="V386" s="258"/>
      <c r="W386" s="258"/>
      <c r="X386" s="258"/>
      <c r="Y386" s="258"/>
      <c r="Z386" s="258"/>
      <c r="AA386" s="258"/>
      <c r="AB386" s="258"/>
      <c r="AC386" s="258"/>
      <c r="AD386" s="258"/>
      <c r="AE386" s="258"/>
      <c r="AF386" s="258"/>
      <c r="AG386" s="258"/>
      <c r="AH386" s="258"/>
      <c r="AI386" s="258"/>
      <c r="AJ386" s="258"/>
      <c r="AK386" s="258"/>
      <c r="AL386" s="258"/>
      <c r="AM386" s="258"/>
      <c r="AN386" s="258"/>
      <c r="AO386" s="258"/>
      <c r="AP386" s="258"/>
      <c r="AQ386" s="258"/>
      <c r="AR386" s="258"/>
      <c r="AS386" s="258"/>
    </row>
    <row r="387" spans="1:45" ht="122.4" customHeight="1" thickBot="1" x14ac:dyDescent="0.45">
      <c r="A387" s="258"/>
      <c r="B387" s="1298"/>
      <c r="C387" s="1298"/>
      <c r="D387" s="594"/>
      <c r="E387" s="258"/>
      <c r="F387" s="351"/>
      <c r="G387" s="258"/>
      <c r="H387" s="258"/>
      <c r="I387" s="258"/>
      <c r="J387" s="258"/>
      <c r="K387" s="258"/>
      <c r="L387" s="258"/>
      <c r="M387" s="258"/>
      <c r="N387" s="258"/>
      <c r="O387" s="258"/>
      <c r="P387" s="474"/>
      <c r="Q387" s="258"/>
      <c r="R387" s="258"/>
      <c r="S387" s="258"/>
      <c r="T387" s="258"/>
      <c r="U387" s="258"/>
      <c r="V387" s="258"/>
      <c r="W387" s="258"/>
      <c r="X387" s="258"/>
      <c r="Y387" s="258"/>
      <c r="Z387" s="258"/>
      <c r="AA387" s="258"/>
      <c r="AB387" s="258"/>
      <c r="AC387" s="258"/>
      <c r="AD387" s="258"/>
      <c r="AE387" s="258"/>
      <c r="AF387" s="258"/>
      <c r="AG387" s="258"/>
      <c r="AH387" s="258"/>
      <c r="AI387" s="258"/>
      <c r="AJ387" s="258"/>
      <c r="AK387" s="258"/>
      <c r="AL387" s="258"/>
      <c r="AM387" s="258"/>
      <c r="AN387" s="258"/>
      <c r="AO387" s="258"/>
      <c r="AP387" s="258"/>
      <c r="AQ387" s="258"/>
      <c r="AR387" s="258"/>
      <c r="AS387" s="258"/>
    </row>
    <row r="388" spans="1:45" ht="122.4" customHeight="1" thickBot="1" x14ac:dyDescent="0.45">
      <c r="A388" s="258"/>
      <c r="B388" s="1298"/>
      <c r="C388" s="1298"/>
      <c r="D388" s="594"/>
      <c r="E388" s="258"/>
      <c r="F388" s="351"/>
      <c r="G388" s="258"/>
      <c r="H388" s="258"/>
      <c r="I388" s="258"/>
      <c r="J388" s="258"/>
      <c r="K388" s="258"/>
      <c r="L388" s="258"/>
      <c r="M388" s="258"/>
      <c r="N388" s="258"/>
      <c r="O388" s="258"/>
      <c r="P388" s="474"/>
      <c r="Q388" s="258"/>
      <c r="R388" s="258"/>
      <c r="S388" s="258"/>
      <c r="T388" s="258"/>
      <c r="U388" s="258"/>
      <c r="V388" s="258"/>
      <c r="W388" s="258"/>
      <c r="X388" s="258"/>
      <c r="Y388" s="258"/>
      <c r="Z388" s="258"/>
      <c r="AA388" s="258"/>
      <c r="AB388" s="258"/>
      <c r="AC388" s="258"/>
      <c r="AD388" s="258"/>
      <c r="AE388" s="258"/>
      <c r="AF388" s="258"/>
      <c r="AG388" s="258"/>
      <c r="AH388" s="258"/>
      <c r="AI388" s="258"/>
      <c r="AJ388" s="258"/>
      <c r="AK388" s="258"/>
      <c r="AL388" s="258"/>
      <c r="AM388" s="258"/>
      <c r="AN388" s="258"/>
      <c r="AO388" s="258"/>
      <c r="AP388" s="258"/>
      <c r="AQ388" s="258"/>
      <c r="AR388" s="258"/>
      <c r="AS388" s="258"/>
    </row>
    <row r="389" spans="1:45" ht="122.4" customHeight="1" thickBot="1" x14ac:dyDescent="0.45">
      <c r="A389" s="258"/>
      <c r="B389" s="1298"/>
      <c r="C389" s="1298"/>
      <c r="D389" s="594"/>
      <c r="E389" s="258"/>
      <c r="F389" s="351"/>
      <c r="G389" s="258"/>
      <c r="H389" s="258"/>
      <c r="I389" s="258"/>
      <c r="J389" s="258"/>
      <c r="K389" s="258"/>
      <c r="L389" s="258"/>
      <c r="M389" s="258"/>
      <c r="N389" s="258"/>
      <c r="O389" s="258"/>
      <c r="P389" s="474"/>
      <c r="Q389" s="258"/>
      <c r="R389" s="258"/>
      <c r="S389" s="258"/>
      <c r="T389" s="258"/>
      <c r="U389" s="258"/>
      <c r="V389" s="258"/>
      <c r="W389" s="258"/>
      <c r="X389" s="258"/>
      <c r="Y389" s="258"/>
      <c r="Z389" s="258"/>
      <c r="AA389" s="258"/>
      <c r="AB389" s="258"/>
      <c r="AC389" s="258"/>
      <c r="AD389" s="258"/>
      <c r="AE389" s="258"/>
      <c r="AF389" s="258"/>
      <c r="AG389" s="258"/>
      <c r="AH389" s="258"/>
      <c r="AI389" s="258"/>
      <c r="AJ389" s="258"/>
      <c r="AK389" s="258"/>
      <c r="AL389" s="258"/>
      <c r="AM389" s="258"/>
      <c r="AN389" s="258"/>
      <c r="AO389" s="258"/>
      <c r="AP389" s="258"/>
      <c r="AQ389" s="258"/>
      <c r="AR389" s="258"/>
      <c r="AS389" s="258"/>
    </row>
    <row r="390" spans="1:45" ht="122.4" customHeight="1" thickBot="1" x14ac:dyDescent="0.45">
      <c r="A390" s="258"/>
      <c r="B390" s="1298"/>
      <c r="C390" s="1298"/>
      <c r="D390" s="594"/>
      <c r="E390" s="258"/>
      <c r="F390" s="351"/>
      <c r="G390" s="258"/>
      <c r="H390" s="258"/>
      <c r="I390" s="258"/>
      <c r="J390" s="258"/>
      <c r="K390" s="258"/>
      <c r="L390" s="258"/>
      <c r="M390" s="258"/>
      <c r="N390" s="258"/>
      <c r="O390" s="258"/>
      <c r="P390" s="474"/>
      <c r="Q390" s="258"/>
      <c r="R390" s="258"/>
      <c r="S390" s="258"/>
      <c r="T390" s="258"/>
      <c r="U390" s="258"/>
      <c r="V390" s="258"/>
      <c r="W390" s="258"/>
      <c r="X390" s="258"/>
      <c r="Y390" s="258"/>
      <c r="Z390" s="258"/>
      <c r="AA390" s="258"/>
      <c r="AB390" s="258"/>
      <c r="AC390" s="258"/>
      <c r="AD390" s="258"/>
      <c r="AE390" s="258"/>
      <c r="AF390" s="258"/>
      <c r="AG390" s="258"/>
      <c r="AH390" s="258"/>
      <c r="AI390" s="258"/>
      <c r="AJ390" s="258"/>
      <c r="AK390" s="258"/>
      <c r="AL390" s="258"/>
      <c r="AM390" s="258"/>
      <c r="AN390" s="258"/>
      <c r="AO390" s="258"/>
      <c r="AP390" s="258"/>
      <c r="AQ390" s="258"/>
      <c r="AR390" s="258"/>
      <c r="AS390" s="258"/>
    </row>
    <row r="391" spans="1:45" ht="122.4" customHeight="1" thickBot="1" x14ac:dyDescent="0.45">
      <c r="A391" s="258"/>
      <c r="B391" s="1298"/>
      <c r="C391" s="1298"/>
      <c r="D391" s="594"/>
      <c r="E391" s="258"/>
      <c r="F391" s="351"/>
      <c r="G391" s="258"/>
      <c r="H391" s="258"/>
      <c r="I391" s="258"/>
      <c r="J391" s="258"/>
      <c r="K391" s="258"/>
      <c r="L391" s="258"/>
      <c r="M391" s="258"/>
      <c r="N391" s="258"/>
      <c r="O391" s="258"/>
      <c r="P391" s="474"/>
      <c r="Q391" s="258"/>
      <c r="R391" s="258"/>
      <c r="S391" s="258"/>
      <c r="T391" s="258"/>
      <c r="U391" s="258"/>
      <c r="V391" s="258"/>
      <c r="W391" s="258"/>
      <c r="X391" s="258"/>
      <c r="Y391" s="258"/>
      <c r="Z391" s="258"/>
      <c r="AA391" s="258"/>
      <c r="AB391" s="258"/>
      <c r="AC391" s="258"/>
      <c r="AD391" s="258"/>
      <c r="AE391" s="258"/>
      <c r="AF391" s="258"/>
      <c r="AG391" s="258"/>
      <c r="AH391" s="258"/>
      <c r="AI391" s="258"/>
      <c r="AJ391" s="258"/>
      <c r="AK391" s="258"/>
      <c r="AL391" s="258"/>
      <c r="AM391" s="258"/>
      <c r="AN391" s="258"/>
      <c r="AO391" s="258"/>
      <c r="AP391" s="258"/>
      <c r="AQ391" s="258"/>
      <c r="AR391" s="258"/>
      <c r="AS391" s="258"/>
    </row>
    <row r="392" spans="1:45" ht="122.4" customHeight="1" thickBot="1" x14ac:dyDescent="0.45">
      <c r="A392" s="258"/>
      <c r="B392" s="1298"/>
      <c r="C392" s="1298"/>
      <c r="D392" s="594"/>
      <c r="E392" s="258"/>
      <c r="F392" s="351"/>
      <c r="G392" s="258"/>
      <c r="H392" s="258"/>
      <c r="I392" s="258"/>
      <c r="J392" s="258"/>
      <c r="K392" s="258"/>
      <c r="L392" s="258"/>
      <c r="M392" s="258"/>
      <c r="N392" s="258"/>
      <c r="O392" s="258"/>
      <c r="P392" s="474"/>
      <c r="Q392" s="258"/>
      <c r="R392" s="258"/>
      <c r="S392" s="258"/>
      <c r="T392" s="258"/>
      <c r="U392" s="258"/>
      <c r="V392" s="258"/>
      <c r="W392" s="258"/>
      <c r="X392" s="258"/>
      <c r="Y392" s="258"/>
      <c r="Z392" s="258"/>
      <c r="AA392" s="258"/>
      <c r="AB392" s="258"/>
      <c r="AC392" s="258"/>
      <c r="AD392" s="258"/>
      <c r="AE392" s="258"/>
      <c r="AF392" s="258"/>
      <c r="AG392" s="258"/>
      <c r="AH392" s="258"/>
      <c r="AI392" s="258"/>
      <c r="AJ392" s="258"/>
      <c r="AK392" s="258"/>
      <c r="AL392" s="258"/>
      <c r="AM392" s="258"/>
      <c r="AN392" s="258"/>
      <c r="AO392" s="258"/>
      <c r="AP392" s="258"/>
      <c r="AQ392" s="258"/>
      <c r="AR392" s="258"/>
      <c r="AS392" s="258"/>
    </row>
    <row r="393" spans="1:45" ht="122.4" customHeight="1" thickBot="1" x14ac:dyDescent="0.45">
      <c r="A393" s="258"/>
      <c r="B393" s="1298"/>
      <c r="C393" s="1298"/>
      <c r="D393" s="594"/>
      <c r="E393" s="258"/>
      <c r="F393" s="351"/>
      <c r="G393" s="258"/>
      <c r="H393" s="258"/>
      <c r="I393" s="258"/>
      <c r="J393" s="258"/>
      <c r="K393" s="258"/>
      <c r="L393" s="258"/>
      <c r="M393" s="258"/>
      <c r="N393" s="258"/>
      <c r="O393" s="258"/>
      <c r="P393" s="474"/>
      <c r="Q393" s="258"/>
      <c r="R393" s="258"/>
      <c r="S393" s="258"/>
      <c r="T393" s="258"/>
      <c r="U393" s="258"/>
      <c r="V393" s="258"/>
      <c r="W393" s="258"/>
      <c r="X393" s="258"/>
      <c r="Y393" s="258"/>
      <c r="Z393" s="258"/>
      <c r="AA393" s="258"/>
      <c r="AB393" s="258"/>
      <c r="AC393" s="258"/>
      <c r="AD393" s="258"/>
      <c r="AE393" s="258"/>
      <c r="AF393" s="258"/>
      <c r="AG393" s="258"/>
      <c r="AH393" s="258"/>
      <c r="AI393" s="258"/>
      <c r="AJ393" s="258"/>
      <c r="AK393" s="258"/>
      <c r="AL393" s="258"/>
      <c r="AM393" s="258"/>
      <c r="AN393" s="258"/>
      <c r="AO393" s="258"/>
      <c r="AP393" s="258"/>
      <c r="AQ393" s="258"/>
      <c r="AR393" s="258"/>
      <c r="AS393" s="258"/>
    </row>
    <row r="394" spans="1:45" ht="122.4" customHeight="1" thickBot="1" x14ac:dyDescent="0.45">
      <c r="A394" s="258"/>
      <c r="B394" s="1298"/>
      <c r="C394" s="1298"/>
      <c r="D394" s="594"/>
      <c r="E394" s="258"/>
      <c r="F394" s="351"/>
      <c r="G394" s="258"/>
      <c r="H394" s="258"/>
      <c r="I394" s="258"/>
      <c r="J394" s="258"/>
      <c r="K394" s="258"/>
      <c r="L394" s="258"/>
      <c r="M394" s="258"/>
      <c r="N394" s="258"/>
      <c r="O394" s="258"/>
      <c r="P394" s="474"/>
      <c r="Q394" s="258"/>
      <c r="R394" s="258"/>
      <c r="S394" s="258"/>
      <c r="T394" s="258"/>
      <c r="U394" s="258"/>
      <c r="V394" s="258"/>
      <c r="W394" s="258"/>
      <c r="X394" s="258"/>
      <c r="Y394" s="258"/>
      <c r="Z394" s="258"/>
      <c r="AA394" s="258"/>
      <c r="AB394" s="258"/>
      <c r="AC394" s="258"/>
      <c r="AD394" s="258"/>
      <c r="AE394" s="258"/>
      <c r="AF394" s="258"/>
      <c r="AG394" s="258"/>
      <c r="AH394" s="258"/>
      <c r="AI394" s="258"/>
      <c r="AJ394" s="258"/>
      <c r="AK394" s="258"/>
      <c r="AL394" s="258"/>
      <c r="AM394" s="258"/>
      <c r="AN394" s="258"/>
      <c r="AO394" s="258"/>
      <c r="AP394" s="258"/>
      <c r="AQ394" s="258"/>
      <c r="AR394" s="258"/>
      <c r="AS394" s="258"/>
    </row>
    <row r="395" spans="1:45" ht="122.4" customHeight="1" thickBot="1" x14ac:dyDescent="0.45">
      <c r="A395" s="258"/>
      <c r="B395" s="1298"/>
      <c r="C395" s="1298"/>
      <c r="D395" s="594"/>
      <c r="E395" s="258"/>
      <c r="F395" s="351"/>
      <c r="G395" s="258"/>
      <c r="H395" s="258"/>
      <c r="I395" s="258"/>
      <c r="J395" s="258"/>
      <c r="K395" s="258"/>
      <c r="L395" s="258"/>
      <c r="M395" s="258"/>
      <c r="N395" s="258"/>
      <c r="O395" s="258"/>
      <c r="P395" s="474"/>
      <c r="Q395" s="258"/>
      <c r="R395" s="258"/>
      <c r="S395" s="258"/>
      <c r="T395" s="258"/>
      <c r="U395" s="258"/>
      <c r="V395" s="258"/>
      <c r="W395" s="258"/>
      <c r="X395" s="258"/>
      <c r="Y395" s="258"/>
      <c r="Z395" s="258"/>
      <c r="AA395" s="258"/>
      <c r="AB395" s="258"/>
      <c r="AC395" s="258"/>
      <c r="AD395" s="258"/>
      <c r="AE395" s="258"/>
      <c r="AF395" s="258"/>
      <c r="AG395" s="258"/>
      <c r="AH395" s="258"/>
      <c r="AI395" s="258"/>
      <c r="AJ395" s="258"/>
      <c r="AK395" s="258"/>
      <c r="AL395" s="258"/>
      <c r="AM395" s="258"/>
      <c r="AN395" s="258"/>
      <c r="AO395" s="258"/>
      <c r="AP395" s="258"/>
      <c r="AQ395" s="258"/>
      <c r="AR395" s="258"/>
      <c r="AS395" s="258"/>
    </row>
    <row r="396" spans="1:45" ht="122.4" customHeight="1" thickBot="1" x14ac:dyDescent="0.45">
      <c r="A396" s="258"/>
      <c r="B396" s="1298"/>
      <c r="C396" s="1298"/>
      <c r="D396" s="594"/>
      <c r="E396" s="258"/>
      <c r="F396" s="351"/>
      <c r="G396" s="258"/>
      <c r="H396" s="258"/>
      <c r="I396" s="258"/>
      <c r="J396" s="258"/>
      <c r="K396" s="258"/>
      <c r="L396" s="258"/>
      <c r="M396" s="258"/>
      <c r="N396" s="258"/>
      <c r="O396" s="258"/>
      <c r="P396" s="474"/>
      <c r="Q396" s="258"/>
      <c r="R396" s="258"/>
      <c r="S396" s="258"/>
      <c r="T396" s="258"/>
      <c r="U396" s="258"/>
      <c r="V396" s="258"/>
      <c r="W396" s="258"/>
      <c r="X396" s="258"/>
      <c r="Y396" s="258"/>
      <c r="Z396" s="258"/>
      <c r="AA396" s="258"/>
      <c r="AB396" s="258"/>
      <c r="AC396" s="258"/>
      <c r="AD396" s="258"/>
      <c r="AE396" s="258"/>
      <c r="AF396" s="258"/>
      <c r="AG396" s="258"/>
      <c r="AH396" s="258"/>
      <c r="AI396" s="258"/>
      <c r="AJ396" s="258"/>
      <c r="AK396" s="258"/>
      <c r="AL396" s="258"/>
      <c r="AM396" s="258"/>
      <c r="AN396" s="258"/>
      <c r="AO396" s="258"/>
      <c r="AP396" s="258"/>
      <c r="AQ396" s="258"/>
      <c r="AR396" s="258"/>
      <c r="AS396" s="258"/>
    </row>
    <row r="397" spans="1:45" ht="122.4" customHeight="1" thickBot="1" x14ac:dyDescent="0.45">
      <c r="A397" s="258"/>
      <c r="B397" s="1298"/>
      <c r="C397" s="1298"/>
      <c r="D397" s="594"/>
      <c r="E397" s="258"/>
      <c r="F397" s="351"/>
      <c r="G397" s="258"/>
      <c r="H397" s="258"/>
      <c r="I397" s="258"/>
      <c r="J397" s="258"/>
      <c r="K397" s="258"/>
      <c r="L397" s="258"/>
      <c r="M397" s="258"/>
      <c r="N397" s="258"/>
      <c r="O397" s="258"/>
      <c r="P397" s="474"/>
      <c r="Q397" s="258"/>
      <c r="R397" s="258"/>
      <c r="S397" s="258"/>
      <c r="T397" s="258"/>
      <c r="U397" s="258"/>
      <c r="V397" s="258"/>
      <c r="W397" s="258"/>
      <c r="X397" s="258"/>
      <c r="Y397" s="258"/>
      <c r="Z397" s="258"/>
      <c r="AA397" s="258"/>
      <c r="AB397" s="258"/>
      <c r="AC397" s="258"/>
      <c r="AD397" s="258"/>
      <c r="AE397" s="258"/>
      <c r="AF397" s="258"/>
      <c r="AG397" s="258"/>
      <c r="AH397" s="258"/>
      <c r="AI397" s="258"/>
      <c r="AJ397" s="258"/>
      <c r="AK397" s="258"/>
      <c r="AL397" s="258"/>
      <c r="AM397" s="258"/>
      <c r="AN397" s="258"/>
      <c r="AO397" s="258"/>
      <c r="AP397" s="258"/>
      <c r="AQ397" s="258"/>
      <c r="AR397" s="258"/>
      <c r="AS397" s="258"/>
    </row>
    <row r="398" spans="1:45" ht="122.4" customHeight="1" thickBot="1" x14ac:dyDescent="0.45">
      <c r="A398" s="258"/>
      <c r="B398" s="1298"/>
      <c r="C398" s="1298"/>
      <c r="D398" s="594"/>
      <c r="E398" s="258"/>
      <c r="F398" s="351"/>
      <c r="G398" s="258"/>
      <c r="H398" s="258"/>
      <c r="I398" s="258"/>
      <c r="J398" s="258"/>
      <c r="K398" s="258"/>
      <c r="L398" s="258"/>
      <c r="M398" s="258"/>
      <c r="N398" s="258"/>
      <c r="O398" s="258"/>
      <c r="P398" s="474"/>
      <c r="Q398" s="258"/>
      <c r="R398" s="258"/>
      <c r="S398" s="258"/>
      <c r="T398" s="258"/>
      <c r="U398" s="258"/>
      <c r="V398" s="258"/>
      <c r="W398" s="258"/>
      <c r="X398" s="258"/>
      <c r="Y398" s="258"/>
      <c r="Z398" s="258"/>
      <c r="AA398" s="258"/>
      <c r="AB398" s="258"/>
      <c r="AC398" s="258"/>
      <c r="AD398" s="258"/>
      <c r="AE398" s="258"/>
      <c r="AF398" s="258"/>
      <c r="AG398" s="258"/>
      <c r="AH398" s="258"/>
      <c r="AI398" s="258"/>
      <c r="AJ398" s="258"/>
      <c r="AK398" s="258"/>
      <c r="AL398" s="258"/>
      <c r="AM398" s="258"/>
      <c r="AN398" s="258"/>
      <c r="AO398" s="258"/>
      <c r="AP398" s="258"/>
      <c r="AQ398" s="258"/>
      <c r="AR398" s="258"/>
      <c r="AS398" s="258"/>
    </row>
    <row r="399" spans="1:45" ht="122.4" customHeight="1" thickBot="1" x14ac:dyDescent="0.45">
      <c r="A399" s="258"/>
      <c r="B399" s="1298"/>
      <c r="C399" s="1298"/>
      <c r="D399" s="594"/>
      <c r="E399" s="258"/>
      <c r="F399" s="351"/>
      <c r="G399" s="258"/>
      <c r="H399" s="258"/>
      <c r="I399" s="258"/>
      <c r="J399" s="258"/>
      <c r="K399" s="258"/>
      <c r="L399" s="258"/>
      <c r="M399" s="258"/>
      <c r="N399" s="258"/>
      <c r="O399" s="258"/>
      <c r="P399" s="474"/>
      <c r="Q399" s="258"/>
      <c r="R399" s="258"/>
      <c r="S399" s="258"/>
      <c r="T399" s="258"/>
      <c r="U399" s="258"/>
      <c r="V399" s="258"/>
      <c r="W399" s="258"/>
      <c r="X399" s="258"/>
      <c r="Y399" s="258"/>
      <c r="Z399" s="258"/>
      <c r="AA399" s="258"/>
      <c r="AB399" s="258"/>
      <c r="AC399" s="258"/>
      <c r="AD399" s="258"/>
      <c r="AE399" s="258"/>
      <c r="AF399" s="258"/>
      <c r="AG399" s="258"/>
      <c r="AH399" s="258"/>
      <c r="AI399" s="258"/>
      <c r="AJ399" s="258"/>
      <c r="AK399" s="258"/>
      <c r="AL399" s="258"/>
      <c r="AM399" s="258"/>
      <c r="AN399" s="258"/>
      <c r="AO399" s="258"/>
      <c r="AP399" s="258"/>
      <c r="AQ399" s="258"/>
      <c r="AR399" s="258"/>
      <c r="AS399" s="258"/>
    </row>
    <row r="400" spans="1:45" ht="122.4" customHeight="1" thickBot="1" x14ac:dyDescent="0.45">
      <c r="A400" s="258"/>
      <c r="B400" s="1298"/>
      <c r="C400" s="1298"/>
      <c r="D400" s="594"/>
      <c r="E400" s="258"/>
      <c r="F400" s="351"/>
      <c r="G400" s="258"/>
      <c r="H400" s="258"/>
      <c r="I400" s="258"/>
      <c r="J400" s="258"/>
      <c r="K400" s="258"/>
      <c r="L400" s="258"/>
      <c r="M400" s="258"/>
      <c r="N400" s="258"/>
      <c r="O400" s="258"/>
      <c r="P400" s="474"/>
      <c r="Q400" s="258"/>
      <c r="R400" s="258"/>
      <c r="S400" s="258"/>
      <c r="T400" s="258"/>
      <c r="U400" s="258"/>
      <c r="V400" s="258"/>
      <c r="W400" s="258"/>
      <c r="X400" s="258"/>
      <c r="Y400" s="258"/>
      <c r="Z400" s="258"/>
      <c r="AA400" s="258"/>
      <c r="AB400" s="258"/>
      <c r="AC400" s="258"/>
      <c r="AD400" s="258"/>
      <c r="AE400" s="258"/>
      <c r="AF400" s="258"/>
      <c r="AG400" s="258"/>
      <c r="AH400" s="258"/>
      <c r="AI400" s="258"/>
      <c r="AJ400" s="258"/>
      <c r="AK400" s="258"/>
      <c r="AL400" s="258"/>
      <c r="AM400" s="258"/>
      <c r="AN400" s="258"/>
      <c r="AO400" s="258"/>
      <c r="AP400" s="258"/>
      <c r="AQ400" s="258"/>
      <c r="AR400" s="258"/>
      <c r="AS400" s="258"/>
    </row>
    <row r="401" spans="1:45" ht="122.4" customHeight="1" thickBot="1" x14ac:dyDescent="0.45">
      <c r="A401" s="258"/>
      <c r="B401" s="1298"/>
      <c r="C401" s="1298"/>
      <c r="D401" s="594"/>
      <c r="E401" s="258"/>
      <c r="F401" s="351"/>
      <c r="G401" s="258"/>
      <c r="H401" s="258"/>
      <c r="I401" s="258"/>
      <c r="J401" s="258"/>
      <c r="K401" s="258"/>
      <c r="L401" s="258"/>
      <c r="M401" s="258"/>
      <c r="N401" s="258"/>
      <c r="O401" s="258"/>
      <c r="P401" s="474"/>
      <c r="Q401" s="258"/>
      <c r="R401" s="258"/>
      <c r="S401" s="258"/>
      <c r="T401" s="258"/>
      <c r="U401" s="258"/>
      <c r="V401" s="258"/>
      <c r="W401" s="258"/>
      <c r="X401" s="258"/>
      <c r="Y401" s="258"/>
      <c r="Z401" s="258"/>
      <c r="AA401" s="258"/>
      <c r="AB401" s="258"/>
      <c r="AC401" s="258"/>
      <c r="AD401" s="258"/>
      <c r="AE401" s="258"/>
      <c r="AF401" s="258"/>
      <c r="AG401" s="258"/>
      <c r="AH401" s="258"/>
      <c r="AI401" s="258"/>
      <c r="AJ401" s="258"/>
      <c r="AK401" s="258"/>
      <c r="AL401" s="258"/>
      <c r="AM401" s="258"/>
      <c r="AN401" s="258"/>
      <c r="AO401" s="258"/>
      <c r="AP401" s="258"/>
      <c r="AQ401" s="258"/>
      <c r="AR401" s="258"/>
      <c r="AS401" s="258"/>
    </row>
    <row r="402" spans="1:45" ht="122.4" customHeight="1" thickBot="1" x14ac:dyDescent="0.45">
      <c r="A402" s="258"/>
      <c r="B402" s="1298"/>
      <c r="C402" s="1298"/>
      <c r="D402" s="594"/>
      <c r="E402" s="258"/>
      <c r="F402" s="351"/>
      <c r="G402" s="258"/>
      <c r="H402" s="258"/>
      <c r="I402" s="258"/>
      <c r="J402" s="258"/>
      <c r="K402" s="258"/>
      <c r="L402" s="258"/>
      <c r="M402" s="258"/>
      <c r="N402" s="258"/>
      <c r="O402" s="258"/>
      <c r="P402" s="474"/>
      <c r="Q402" s="258"/>
      <c r="R402" s="258"/>
      <c r="S402" s="258"/>
      <c r="T402" s="258"/>
      <c r="U402" s="258"/>
      <c r="V402" s="258"/>
      <c r="W402" s="258"/>
      <c r="X402" s="258"/>
      <c r="Y402" s="258"/>
      <c r="Z402" s="258"/>
      <c r="AA402" s="258"/>
      <c r="AB402" s="258"/>
      <c r="AC402" s="258"/>
      <c r="AD402" s="258"/>
      <c r="AE402" s="258"/>
      <c r="AF402" s="258"/>
      <c r="AG402" s="258"/>
      <c r="AH402" s="258"/>
      <c r="AI402" s="258"/>
      <c r="AJ402" s="258"/>
      <c r="AK402" s="258"/>
      <c r="AL402" s="258"/>
      <c r="AM402" s="258"/>
      <c r="AN402" s="258"/>
      <c r="AO402" s="258"/>
      <c r="AP402" s="258"/>
      <c r="AQ402" s="258"/>
      <c r="AR402" s="258"/>
      <c r="AS402" s="258"/>
    </row>
    <row r="403" spans="1:45" ht="122.4" customHeight="1" thickBot="1" x14ac:dyDescent="0.45">
      <c r="A403" s="258"/>
      <c r="B403" s="1298"/>
      <c r="C403" s="1298"/>
      <c r="D403" s="594"/>
      <c r="E403" s="258"/>
      <c r="F403" s="351"/>
      <c r="G403" s="258"/>
      <c r="H403" s="258"/>
      <c r="I403" s="258"/>
      <c r="J403" s="258"/>
      <c r="K403" s="258"/>
      <c r="L403" s="258"/>
      <c r="M403" s="258"/>
      <c r="N403" s="258"/>
      <c r="O403" s="258"/>
      <c r="P403" s="474"/>
      <c r="Q403" s="258"/>
      <c r="R403" s="258"/>
      <c r="S403" s="258"/>
      <c r="T403" s="258"/>
      <c r="U403" s="258"/>
      <c r="V403" s="258"/>
      <c r="W403" s="258"/>
      <c r="X403" s="258"/>
      <c r="Y403" s="258"/>
      <c r="Z403" s="258"/>
      <c r="AA403" s="258"/>
      <c r="AB403" s="258"/>
      <c r="AC403" s="258"/>
      <c r="AD403" s="258"/>
      <c r="AE403" s="258"/>
      <c r="AF403" s="258"/>
      <c r="AG403" s="258"/>
      <c r="AH403" s="258"/>
      <c r="AI403" s="258"/>
      <c r="AJ403" s="258"/>
      <c r="AK403" s="258"/>
      <c r="AL403" s="258"/>
      <c r="AM403" s="258"/>
      <c r="AN403" s="258"/>
      <c r="AO403" s="258"/>
      <c r="AP403" s="258"/>
      <c r="AQ403" s="258"/>
      <c r="AR403" s="258"/>
      <c r="AS403" s="258"/>
    </row>
    <row r="404" spans="1:45" ht="122.4" customHeight="1" thickBot="1" x14ac:dyDescent="0.45">
      <c r="A404" s="258"/>
      <c r="B404" s="1298"/>
      <c r="C404" s="1298"/>
      <c r="D404" s="594"/>
      <c r="E404" s="258"/>
      <c r="F404" s="351"/>
      <c r="G404" s="258"/>
      <c r="H404" s="258"/>
      <c r="I404" s="258"/>
      <c r="J404" s="258"/>
      <c r="K404" s="258"/>
      <c r="L404" s="258"/>
      <c r="M404" s="258"/>
      <c r="N404" s="258"/>
      <c r="O404" s="258"/>
      <c r="P404" s="474"/>
      <c r="Q404" s="258"/>
      <c r="R404" s="258"/>
      <c r="S404" s="258"/>
      <c r="T404" s="258"/>
      <c r="U404" s="258"/>
      <c r="V404" s="258"/>
      <c r="W404" s="258"/>
      <c r="X404" s="258"/>
      <c r="Y404" s="258"/>
      <c r="Z404" s="258"/>
      <c r="AA404" s="258"/>
      <c r="AB404" s="258"/>
      <c r="AC404" s="258"/>
      <c r="AD404" s="258"/>
      <c r="AE404" s="258"/>
      <c r="AF404" s="258"/>
      <c r="AG404" s="258"/>
      <c r="AH404" s="258"/>
      <c r="AI404" s="258"/>
      <c r="AJ404" s="258"/>
      <c r="AK404" s="258"/>
      <c r="AL404" s="258"/>
      <c r="AM404" s="258"/>
      <c r="AN404" s="258"/>
      <c r="AO404" s="258"/>
      <c r="AP404" s="258"/>
      <c r="AQ404" s="258"/>
      <c r="AR404" s="258"/>
      <c r="AS404" s="258"/>
    </row>
    <row r="405" spans="1:45" ht="122.4" customHeight="1" thickBot="1" x14ac:dyDescent="0.45">
      <c r="A405" s="258"/>
      <c r="B405" s="1298"/>
      <c r="C405" s="1298"/>
      <c r="D405" s="594"/>
      <c r="E405" s="258"/>
      <c r="F405" s="351"/>
      <c r="G405" s="258"/>
      <c r="H405" s="258"/>
      <c r="I405" s="258"/>
      <c r="J405" s="258"/>
      <c r="K405" s="258"/>
      <c r="L405" s="258"/>
      <c r="M405" s="258"/>
      <c r="N405" s="258"/>
      <c r="O405" s="258"/>
      <c r="P405" s="474"/>
      <c r="Q405" s="258"/>
      <c r="R405" s="258"/>
      <c r="S405" s="258"/>
      <c r="T405" s="258"/>
      <c r="U405" s="258"/>
      <c r="V405" s="258"/>
      <c r="W405" s="258"/>
      <c r="X405" s="258"/>
      <c r="Y405" s="258"/>
      <c r="Z405" s="258"/>
      <c r="AA405" s="258"/>
      <c r="AB405" s="258"/>
      <c r="AC405" s="258"/>
      <c r="AD405" s="258"/>
      <c r="AE405" s="258"/>
      <c r="AF405" s="258"/>
      <c r="AG405" s="258"/>
      <c r="AH405" s="258"/>
      <c r="AI405" s="258"/>
      <c r="AJ405" s="258"/>
      <c r="AK405" s="258"/>
      <c r="AL405" s="258"/>
      <c r="AM405" s="258"/>
      <c r="AN405" s="258"/>
      <c r="AO405" s="258"/>
      <c r="AP405" s="258"/>
      <c r="AQ405" s="258"/>
      <c r="AR405" s="258"/>
      <c r="AS405" s="258"/>
    </row>
  </sheetData>
  <sheetProtection password="DF7C" sheet="1" objects="1" scenarios="1"/>
  <autoFilter ref="A2:AZ205"/>
  <mergeCells count="47">
    <mergeCell ref="B182:C182"/>
    <mergeCell ref="B184:C184"/>
    <mergeCell ref="B164:C164"/>
    <mergeCell ref="B165:C165"/>
    <mergeCell ref="B170:C170"/>
    <mergeCell ref="B173:C173"/>
    <mergeCell ref="B176:C176"/>
    <mergeCell ref="B187:C187"/>
    <mergeCell ref="B192:C192"/>
    <mergeCell ref="B193:C193"/>
    <mergeCell ref="B198:C198"/>
    <mergeCell ref="B203:C203"/>
    <mergeCell ref="B140:C140"/>
    <mergeCell ref="B145:C145"/>
    <mergeCell ref="B148:C148"/>
    <mergeCell ref="B154:C154"/>
    <mergeCell ref="B160:C160"/>
    <mergeCell ref="B122:C122"/>
    <mergeCell ref="B124:C124"/>
    <mergeCell ref="B126:C126"/>
    <mergeCell ref="B130:C130"/>
    <mergeCell ref="B131:C131"/>
    <mergeCell ref="B92:C92"/>
    <mergeCell ref="B101:C101"/>
    <mergeCell ref="B106:C106"/>
    <mergeCell ref="B119:C119"/>
    <mergeCell ref="B120:C120"/>
    <mergeCell ref="B68:C68"/>
    <mergeCell ref="B73:C73"/>
    <mergeCell ref="B77:C77"/>
    <mergeCell ref="B85:C85"/>
    <mergeCell ref="B91:C91"/>
    <mergeCell ref="B43:C43"/>
    <mergeCell ref="B49:C49"/>
    <mergeCell ref="B52:C52"/>
    <mergeCell ref="B56:C56"/>
    <mergeCell ref="B60:C60"/>
    <mergeCell ref="B15:C15"/>
    <mergeCell ref="B21:C21"/>
    <mergeCell ref="B29:C29"/>
    <mergeCell ref="B34:C34"/>
    <mergeCell ref="B39:C39"/>
    <mergeCell ref="B2:C2"/>
    <mergeCell ref="B3:C3"/>
    <mergeCell ref="B4:C4"/>
    <mergeCell ref="B5:C5"/>
    <mergeCell ref="B12:C12"/>
  </mergeCells>
  <pageMargins left="0.7" right="0.7" top="0.75" bottom="0.75"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U1000"/>
  <sheetViews>
    <sheetView topLeftCell="B1" zoomScale="30" zoomScaleNormal="30" workbookViewId="0">
      <pane xSplit="2" ySplit="5" topLeftCell="D6" activePane="bottomRight" state="frozen"/>
      <selection activeCell="B1" sqref="B1"/>
      <selection pane="topRight" activeCell="D1" sqref="D1"/>
      <selection pane="bottomLeft" activeCell="B6" sqref="B6"/>
      <selection pane="bottomRight" activeCell="G8" sqref="G8"/>
    </sheetView>
  </sheetViews>
  <sheetFormatPr baseColWidth="10" defaultColWidth="14.44140625" defaultRowHeight="15" customHeight="1" x14ac:dyDescent="0.35"/>
  <cols>
    <col min="1" max="1" width="10.6640625" style="118" hidden="1" customWidth="1"/>
    <col min="2" max="2" width="60.44140625" style="1389" customWidth="1"/>
    <col min="3" max="3" width="88.77734375" style="1389" customWidth="1"/>
    <col min="4" max="4" width="49.6640625" style="118" customWidth="1"/>
    <col min="5" max="5" width="37.77734375" style="174" customWidth="1"/>
    <col min="6" max="6" width="32.6640625" style="118" customWidth="1"/>
    <col min="7" max="7" width="33.33203125" style="118" customWidth="1"/>
    <col min="8" max="9" width="31.33203125" style="118" customWidth="1"/>
    <col min="10" max="10" width="33.33203125" style="118" customWidth="1"/>
    <col min="11" max="12" width="34.6640625" style="118" customWidth="1"/>
    <col min="13" max="13" width="38.6640625" style="118" hidden="1" customWidth="1"/>
    <col min="14" max="15" width="34.44140625" style="118" hidden="1" customWidth="1"/>
    <col min="16" max="16" width="32.88671875" style="118" customWidth="1"/>
    <col min="17" max="17" width="36.5546875" style="118" hidden="1" customWidth="1"/>
    <col min="18" max="18" width="33.21875" style="118" hidden="1" customWidth="1"/>
    <col min="19" max="19" width="35.77734375" style="118" hidden="1" customWidth="1"/>
    <col min="20" max="20" width="31.33203125" style="118" hidden="1" customWidth="1"/>
    <col min="21" max="21" width="31.33203125" style="118" customWidth="1"/>
    <col min="22" max="22" width="25.77734375" style="118" customWidth="1"/>
    <col min="23" max="24" width="31.33203125" style="118" customWidth="1"/>
    <col min="25" max="25" width="33.6640625" style="118" customWidth="1"/>
    <col min="26" max="26" width="21.109375" style="118" hidden="1" customWidth="1"/>
    <col min="27" max="27" width="21.44140625" style="118" hidden="1" customWidth="1"/>
    <col min="28" max="28" width="31.33203125" style="118" customWidth="1"/>
    <col min="29" max="31" width="36.5546875" style="118" customWidth="1"/>
    <col min="32" max="32" width="35.21875" style="118" hidden="1" customWidth="1"/>
    <col min="33" max="33" width="35.44140625" style="118" hidden="1" customWidth="1"/>
    <col min="34" max="34" width="35.44140625" style="118" customWidth="1"/>
    <col min="35" max="35" width="33.21875" style="118" customWidth="1"/>
    <col min="36" max="37" width="35.88671875" style="118" customWidth="1"/>
    <col min="38" max="38" width="37.21875" style="118" customWidth="1"/>
    <col min="39" max="40" width="44.88671875" style="118" customWidth="1"/>
    <col min="41" max="41" width="48.5546875" style="118" hidden="1" customWidth="1"/>
    <col min="42" max="42" width="77.5546875" style="118" hidden="1" customWidth="1"/>
    <col min="43" max="43" width="75.33203125" style="118" hidden="1" customWidth="1"/>
    <col min="44" max="44" width="73.33203125" style="118" hidden="1" customWidth="1"/>
    <col min="45" max="45" width="85.109375" style="118" hidden="1" customWidth="1"/>
    <col min="46" max="46" width="63.77734375" style="118" hidden="1" customWidth="1"/>
    <col min="47" max="47" width="71" style="118" hidden="1" customWidth="1"/>
    <col min="48" max="48" width="68.44140625" style="118" hidden="1" customWidth="1"/>
    <col min="49" max="49" width="76.21875" style="118" hidden="1" customWidth="1"/>
    <col min="50" max="53" width="10.6640625" style="118" customWidth="1"/>
    <col min="54" max="16384" width="14.44140625" style="118"/>
  </cols>
  <sheetData>
    <row r="1" spans="1:125" ht="18.600000000000001" thickBot="1" x14ac:dyDescent="0.4">
      <c r="A1" s="115"/>
      <c r="B1" s="1371"/>
      <c r="C1" s="1371"/>
      <c r="D1" s="116"/>
      <c r="E1" s="117"/>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c r="AE1" s="116"/>
      <c r="AF1" s="116"/>
      <c r="AG1" s="116"/>
      <c r="AH1" s="116"/>
      <c r="AI1" s="116"/>
      <c r="AJ1" s="116"/>
      <c r="AK1" s="116"/>
      <c r="AL1" s="116"/>
      <c r="AM1" s="116"/>
      <c r="AN1" s="116"/>
      <c r="AO1" s="116"/>
      <c r="AP1" s="116"/>
      <c r="AQ1" s="116"/>
      <c r="AR1" s="116"/>
      <c r="AS1" s="116"/>
      <c r="AT1" s="116"/>
      <c r="AU1" s="116"/>
      <c r="AV1" s="116"/>
      <c r="AW1" s="115"/>
      <c r="AX1" s="115"/>
      <c r="AY1" s="115"/>
      <c r="AZ1" s="115"/>
      <c r="BA1" s="115"/>
      <c r="BB1" s="115"/>
      <c r="BC1" s="115"/>
      <c r="BD1" s="115"/>
      <c r="BE1" s="115"/>
      <c r="BF1" s="115"/>
      <c r="BG1" s="115"/>
      <c r="BH1" s="115"/>
      <c r="BI1" s="115"/>
      <c r="BJ1" s="115"/>
      <c r="BK1" s="115"/>
      <c r="BL1" s="115"/>
      <c r="BM1" s="115"/>
      <c r="BN1" s="115"/>
      <c r="BO1" s="115"/>
    </row>
    <row r="2" spans="1:125" s="259" customFormat="1" ht="196.2" customHeight="1" thickBot="1" x14ac:dyDescent="0.45">
      <c r="A2" s="253"/>
      <c r="B2" s="1287" t="s">
        <v>0</v>
      </c>
      <c r="C2" s="1288"/>
      <c r="D2" s="254" t="s">
        <v>1</v>
      </c>
      <c r="E2" s="255" t="s">
        <v>2</v>
      </c>
      <c r="F2" s="256" t="s">
        <v>3</v>
      </c>
      <c r="G2" s="256" t="s">
        <v>4</v>
      </c>
      <c r="H2" s="256" t="s">
        <v>1867</v>
      </c>
      <c r="I2" s="859" t="s">
        <v>2230</v>
      </c>
      <c r="J2" s="256" t="s">
        <v>5</v>
      </c>
      <c r="K2" s="256" t="s">
        <v>1868</v>
      </c>
      <c r="L2" s="859" t="s">
        <v>2229</v>
      </c>
      <c r="M2" s="865" t="s">
        <v>6</v>
      </c>
      <c r="N2" s="865" t="s">
        <v>1869</v>
      </c>
      <c r="O2" s="1304" t="s">
        <v>2249</v>
      </c>
      <c r="P2" s="866" t="s">
        <v>1841</v>
      </c>
      <c r="Q2" s="867" t="s">
        <v>1870</v>
      </c>
      <c r="R2" s="867" t="s">
        <v>1872</v>
      </c>
      <c r="S2" s="867" t="s">
        <v>1871</v>
      </c>
      <c r="T2" s="867" t="s">
        <v>2134</v>
      </c>
      <c r="U2" s="867" t="s">
        <v>2176</v>
      </c>
      <c r="V2" s="867" t="s">
        <v>1873</v>
      </c>
      <c r="W2" s="1305" t="s">
        <v>2232</v>
      </c>
      <c r="X2" s="859" t="s">
        <v>2231</v>
      </c>
      <c r="Y2" s="859" t="s">
        <v>2233</v>
      </c>
      <c r="Z2" s="859" t="s">
        <v>2234</v>
      </c>
      <c r="AA2" s="868" t="s">
        <v>2235</v>
      </c>
      <c r="AB2" s="1306" t="s">
        <v>2236</v>
      </c>
      <c r="AC2" s="255" t="s">
        <v>7</v>
      </c>
      <c r="AD2" s="857" t="s">
        <v>2237</v>
      </c>
      <c r="AE2" s="1306" t="s">
        <v>2299</v>
      </c>
      <c r="AF2" s="811" t="s">
        <v>8</v>
      </c>
      <c r="AG2" s="871" t="s">
        <v>2238</v>
      </c>
      <c r="AH2" s="1304" t="s">
        <v>2302</v>
      </c>
      <c r="AI2" s="368" t="s">
        <v>1875</v>
      </c>
      <c r="AJ2" s="368" t="s">
        <v>2239</v>
      </c>
      <c r="AK2" s="1307" t="s">
        <v>2300</v>
      </c>
      <c r="AL2" s="871" t="s">
        <v>1843</v>
      </c>
      <c r="AM2" s="811" t="s">
        <v>2250</v>
      </c>
      <c r="AN2" s="1304" t="s">
        <v>2243</v>
      </c>
      <c r="AO2" s="257" t="s">
        <v>2177</v>
      </c>
      <c r="AP2" s="871" t="s">
        <v>1876</v>
      </c>
      <c r="AQ2" s="811" t="s">
        <v>2012</v>
      </c>
      <c r="AR2" s="961" t="s">
        <v>2013</v>
      </c>
      <c r="AS2" s="257" t="s">
        <v>2059</v>
      </c>
      <c r="AT2" s="257" t="s">
        <v>2135</v>
      </c>
      <c r="AU2" s="750" t="s">
        <v>1874</v>
      </c>
      <c r="AV2" s="944" t="s">
        <v>2242</v>
      </c>
      <c r="AW2" s="944" t="s">
        <v>2293</v>
      </c>
      <c r="AX2" s="258"/>
      <c r="AY2" s="258"/>
      <c r="AZ2" s="258"/>
      <c r="BA2" s="258"/>
      <c r="BB2" s="258"/>
      <c r="BC2" s="258"/>
      <c r="BD2" s="258"/>
      <c r="BE2" s="258"/>
      <c r="BF2" s="258"/>
      <c r="BG2" s="258"/>
      <c r="BH2" s="258"/>
      <c r="BI2" s="258"/>
      <c r="BJ2" s="258"/>
      <c r="BK2" s="258"/>
      <c r="BL2" s="258"/>
      <c r="BM2" s="258"/>
      <c r="BN2" s="258"/>
      <c r="BO2" s="258"/>
      <c r="BP2" s="258"/>
      <c r="BQ2" s="258"/>
      <c r="BR2" s="258"/>
      <c r="BS2" s="258"/>
      <c r="BT2" s="258"/>
      <c r="BU2" s="258"/>
      <c r="BV2" s="258"/>
      <c r="BW2" s="258"/>
      <c r="BX2" s="258"/>
      <c r="BY2" s="258"/>
      <c r="BZ2" s="258"/>
      <c r="CA2" s="258"/>
      <c r="CB2" s="258"/>
      <c r="CC2" s="258"/>
      <c r="CD2" s="258"/>
      <c r="CE2" s="258"/>
      <c r="CF2" s="258"/>
      <c r="CG2" s="258"/>
      <c r="CH2" s="258"/>
      <c r="CI2" s="258"/>
      <c r="CJ2" s="258"/>
      <c r="CK2" s="258"/>
      <c r="CL2" s="258"/>
      <c r="CM2" s="258"/>
      <c r="CN2" s="258"/>
      <c r="CO2" s="258"/>
      <c r="CP2" s="258"/>
      <c r="CQ2" s="258"/>
      <c r="CR2" s="258"/>
      <c r="CS2" s="258"/>
      <c r="CT2" s="258"/>
      <c r="CU2" s="258"/>
      <c r="CV2" s="258"/>
      <c r="CW2" s="258"/>
      <c r="CX2" s="258"/>
      <c r="CY2" s="258"/>
      <c r="CZ2" s="258"/>
      <c r="DA2" s="258"/>
      <c r="DB2" s="258"/>
      <c r="DC2" s="258"/>
      <c r="DD2" s="258"/>
      <c r="DE2" s="258"/>
      <c r="DF2" s="258"/>
      <c r="DG2" s="258"/>
      <c r="DH2" s="258"/>
      <c r="DI2" s="258"/>
      <c r="DJ2" s="258"/>
      <c r="DK2" s="258"/>
      <c r="DL2" s="258"/>
      <c r="DM2" s="258"/>
      <c r="DN2" s="258"/>
      <c r="DO2" s="258"/>
      <c r="DP2" s="258"/>
      <c r="DQ2" s="258"/>
      <c r="DR2" s="258"/>
      <c r="DS2" s="258"/>
      <c r="DT2" s="258"/>
      <c r="DU2" s="258"/>
    </row>
    <row r="3" spans="1:125" s="975" customFormat="1" ht="93" customHeight="1" thickBot="1" x14ac:dyDescent="0.9">
      <c r="A3" s="962"/>
      <c r="B3" s="1372" t="s">
        <v>1786</v>
      </c>
      <c r="C3" s="1373"/>
      <c r="D3" s="963"/>
      <c r="E3" s="964">
        <v>0.15</v>
      </c>
      <c r="F3" s="965"/>
      <c r="G3" s="966"/>
      <c r="H3" s="966"/>
      <c r="I3" s="966"/>
      <c r="J3" s="967">
        <f t="shared" ref="J3:O3" si="0">+(J4+J15+J33+J45+J67+J100+J124)/7</f>
        <v>0.25032106779384017</v>
      </c>
      <c r="K3" s="967">
        <f t="shared" si="0"/>
        <v>0.30640994027190521</v>
      </c>
      <c r="L3" s="967">
        <f t="shared" si="0"/>
        <v>0.32587747464732558</v>
      </c>
      <c r="M3" s="968">
        <f t="shared" si="0"/>
        <v>0.17821682568108904</v>
      </c>
      <c r="N3" s="968">
        <f t="shared" si="0"/>
        <v>0.29286468501983037</v>
      </c>
      <c r="O3" s="968">
        <f t="shared" si="0"/>
        <v>0</v>
      </c>
      <c r="P3" s="969"/>
      <c r="Q3" s="969"/>
      <c r="R3" s="969"/>
      <c r="S3" s="969"/>
      <c r="T3" s="969"/>
      <c r="U3" s="969"/>
      <c r="V3" s="969"/>
      <c r="W3" s="969"/>
      <c r="X3" s="969"/>
      <c r="Y3" s="969"/>
      <c r="Z3" s="969"/>
      <c r="AA3" s="969"/>
      <c r="AB3" s="969"/>
      <c r="AC3" s="967">
        <f>+(AC4+AC15+AC33+AC45+AC67+AC100+AC124)/7</f>
        <v>0.97179365079365077</v>
      </c>
      <c r="AD3" s="967">
        <f>+(AD4+AD15+AD33+AD45+AD67+AD100+AD124)/7</f>
        <v>0.8280801355041183</v>
      </c>
      <c r="AE3" s="967">
        <f>+(AE4+AE15+AE33+AE45+AE67+AE100+AE124)/7</f>
        <v>0.28538799521787417</v>
      </c>
      <c r="AF3" s="968">
        <f>F4+F15+F33+F45+F67+F100+F124</f>
        <v>0.557975</v>
      </c>
      <c r="AG3" s="968">
        <f>H4+H15+H33+H45+H67+H100+H124</f>
        <v>0.60508346002855107</v>
      </c>
      <c r="AH3" s="968">
        <f>I4+I15+I33+I45+I67+I100+I124</f>
        <v>0.22461473416483249</v>
      </c>
      <c r="AI3" s="967">
        <f>+(AI4+AI15+AI33+AI45+AI67+AI100+AI124)/7</f>
        <v>0.23111290679947327</v>
      </c>
      <c r="AJ3" s="970">
        <v>0.48812060511247513</v>
      </c>
      <c r="AK3" s="970">
        <f>+(AK4+AK15+AK33+AK45+AK67+AK100+AK124)/7</f>
        <v>0.58520124129298157</v>
      </c>
      <c r="AL3" s="968">
        <f>+(AL4+AL15+AL33+AL45+AL67+AL100+AL124)/7</f>
        <v>0.1928528471183292</v>
      </c>
      <c r="AM3" s="971">
        <f>+(AM4*E4)+(AM15*E15)+(AM33*E33)+(AM45*E45)+(AM67*E67)+(AM100*E100)+(AM124*E124)</f>
        <v>0.47987044466787071</v>
      </c>
      <c r="AN3" s="971">
        <f>+(AN4*E4)+(AN15*E15)+(AN33*E33)+(AN45*E45)+(AN67*E67)+(AN100*E100)+(AN124*E124)</f>
        <v>0.53129158872265736</v>
      </c>
      <c r="AO3" s="972"/>
      <c r="AP3" s="973"/>
      <c r="AQ3" s="973"/>
      <c r="AR3" s="973"/>
      <c r="AS3" s="973"/>
      <c r="AT3" s="976"/>
      <c r="AU3" s="978"/>
      <c r="AV3" s="978"/>
      <c r="AW3" s="977"/>
      <c r="AX3" s="974"/>
      <c r="AY3" s="974"/>
      <c r="AZ3" s="974"/>
      <c r="BA3" s="974"/>
      <c r="BB3" s="974"/>
      <c r="BC3" s="974"/>
      <c r="BD3" s="974"/>
      <c r="BE3" s="974"/>
      <c r="BF3" s="974"/>
      <c r="BG3" s="974"/>
      <c r="BH3" s="974"/>
      <c r="BI3" s="974"/>
      <c r="BJ3" s="974"/>
      <c r="BK3" s="974"/>
      <c r="BL3" s="974"/>
      <c r="BM3" s="974"/>
      <c r="BN3" s="974"/>
      <c r="BO3" s="974"/>
    </row>
    <row r="4" spans="1:125" ht="78" customHeight="1" thickBot="1" x14ac:dyDescent="0.4">
      <c r="A4" s="119"/>
      <c r="B4" s="1374" t="s">
        <v>1785</v>
      </c>
      <c r="C4" s="1375"/>
      <c r="D4" s="120"/>
      <c r="E4" s="122">
        <v>0.1</v>
      </c>
      <c r="F4" s="123">
        <f>+E4*AF4</f>
        <v>9.64E-2</v>
      </c>
      <c r="G4" s="124"/>
      <c r="H4" s="123">
        <f>+E4*AG4</f>
        <v>8.3699999999999997E-2</v>
      </c>
      <c r="I4" s="123">
        <f>+E4*AH4</f>
        <v>1.15E-2</v>
      </c>
      <c r="J4" s="125">
        <f>+(J5+J11)/2</f>
        <v>0.2752</v>
      </c>
      <c r="K4" s="125">
        <f>+(K5+K11)/2</f>
        <v>0.25843333333333329</v>
      </c>
      <c r="L4" s="125">
        <f>+(L5+L11)/2</f>
        <v>0.30312499999999998</v>
      </c>
      <c r="M4" s="126">
        <f>+(M5+M11)/2</f>
        <v>0.2379</v>
      </c>
      <c r="N4" s="126">
        <f>+(N5+N11)/2</f>
        <v>0.26895000000000002</v>
      </c>
      <c r="O4" s="126"/>
      <c r="P4" s="127"/>
      <c r="Q4" s="127"/>
      <c r="R4" s="127"/>
      <c r="S4" s="127"/>
      <c r="T4" s="127"/>
      <c r="U4" s="127"/>
      <c r="V4" s="127"/>
      <c r="W4" s="127"/>
      <c r="X4" s="127"/>
      <c r="Y4" s="127"/>
      <c r="Z4" s="127"/>
      <c r="AA4" s="127"/>
      <c r="AB4" s="127"/>
      <c r="AC4" s="125">
        <f>+(AC5+AC11)/2</f>
        <v>0.98</v>
      </c>
      <c r="AD4" s="125">
        <f>+(AD5+AD11)/2</f>
        <v>0.85</v>
      </c>
      <c r="AE4" s="125">
        <f>+(AE5+AE11)/2</f>
        <v>8.1249999999999989E-2</v>
      </c>
      <c r="AF4" s="126">
        <f>+AF5+AF11</f>
        <v>0.96399999999999997</v>
      </c>
      <c r="AG4" s="126">
        <f>+AG5+AG11</f>
        <v>0.83699999999999997</v>
      </c>
      <c r="AH4" s="126">
        <f>+AH5+AH11</f>
        <v>0.11499999999999999</v>
      </c>
      <c r="AI4" s="125">
        <f>(AI5+AI11)/2</f>
        <v>0.32019999999999998</v>
      </c>
      <c r="AJ4" s="125">
        <v>0.59083333333333332</v>
      </c>
      <c r="AK4" s="125">
        <f>(AK5+AK11)/2</f>
        <v>0.60245833333333332</v>
      </c>
      <c r="AL4" s="126">
        <f>+AL5+AL11</f>
        <v>0.24131999999999998</v>
      </c>
      <c r="AM4" s="126">
        <f>+(AM5*E5)+(AM11*E11)</f>
        <v>0.55075000000000007</v>
      </c>
      <c r="AN4" s="126">
        <f>+(AN5*E5)+(AN11*E11)</f>
        <v>0.57247499999999996</v>
      </c>
      <c r="AO4" s="761"/>
      <c r="AP4" s="127"/>
      <c r="AQ4" s="127"/>
      <c r="AR4" s="127"/>
      <c r="AS4" s="127"/>
      <c r="AT4" s="564"/>
      <c r="AU4" s="127"/>
      <c r="AV4" s="127"/>
      <c r="AW4" s="121"/>
      <c r="AX4" s="115"/>
      <c r="AY4" s="115"/>
      <c r="AZ4" s="115"/>
      <c r="BA4" s="115"/>
      <c r="BB4" s="115"/>
      <c r="BC4" s="115"/>
      <c r="BD4" s="115"/>
      <c r="BE4" s="115"/>
      <c r="BF4" s="115"/>
      <c r="BG4" s="115"/>
      <c r="BH4" s="115"/>
      <c r="BI4" s="115"/>
      <c r="BJ4" s="115"/>
      <c r="BK4" s="115"/>
      <c r="BL4" s="115"/>
      <c r="BM4" s="115"/>
      <c r="BN4" s="115"/>
      <c r="BO4" s="115"/>
    </row>
    <row r="5" spans="1:125" ht="39" customHeight="1" thickBot="1" x14ac:dyDescent="0.4">
      <c r="A5" s="119"/>
      <c r="B5" s="1376" t="s">
        <v>1697</v>
      </c>
      <c r="C5" s="1375"/>
      <c r="D5" s="129"/>
      <c r="E5" s="130">
        <v>0.4</v>
      </c>
      <c r="F5" s="131"/>
      <c r="G5" s="132"/>
      <c r="H5" s="132"/>
      <c r="I5" s="132"/>
      <c r="J5" s="133">
        <f>+AVERAGE(J6:J10)</f>
        <v>0.3004</v>
      </c>
      <c r="K5" s="133">
        <f>+AVERAGE(K6:K10)</f>
        <v>0.25019999999999998</v>
      </c>
      <c r="L5" s="133">
        <f>+AVERAGE(L6:L10)</f>
        <v>0.23125000000000001</v>
      </c>
      <c r="M5" s="133">
        <f>+M6+M7+M8+M9+M10</f>
        <v>0.2258</v>
      </c>
      <c r="N5" s="133">
        <f>+N6+N7+N8+N9+N10</f>
        <v>0.26290000000000002</v>
      </c>
      <c r="O5" s="133"/>
      <c r="P5" s="134"/>
      <c r="Q5" s="134"/>
      <c r="R5" s="134"/>
      <c r="S5" s="134"/>
      <c r="T5" s="134"/>
      <c r="U5" s="134"/>
      <c r="V5" s="134"/>
      <c r="W5" s="134"/>
      <c r="X5" s="134"/>
      <c r="Y5" s="134"/>
      <c r="Z5" s="134"/>
      <c r="AA5" s="134"/>
      <c r="AB5" s="134"/>
      <c r="AC5" s="154">
        <f>+AVERAGE(AC6:AC10)</f>
        <v>1</v>
      </c>
      <c r="AD5" s="154">
        <f>+AVERAGE(AD6:AD10)</f>
        <v>0.9</v>
      </c>
      <c r="AE5" s="154">
        <f>+AVERAGE(AE6:AE10)</f>
        <v>6.25E-2</v>
      </c>
      <c r="AF5" s="154">
        <f>+(AF6+AF7+AF8+AF9+AF10)*E5</f>
        <v>0.4</v>
      </c>
      <c r="AG5" s="154">
        <f>+(AG6+AG7+AG8+AG9+AG10)*E5</f>
        <v>0.37200000000000005</v>
      </c>
      <c r="AH5" s="154">
        <f>+(AH6+AH7+AH8+AH9+AH10)*E5</f>
        <v>2.5000000000000001E-2</v>
      </c>
      <c r="AI5" s="133">
        <f>+AVERAGE(AI6:AI10)</f>
        <v>0.40039999999999998</v>
      </c>
      <c r="AJ5" s="133">
        <v>0.73</v>
      </c>
      <c r="AK5" s="133">
        <f>+AVERAGE(AK6:AK10)</f>
        <v>0.70324999999999993</v>
      </c>
      <c r="AL5" s="133">
        <f>+(AL6+AL7+AL8+AL9+AL10)*E5</f>
        <v>0.10031999999999999</v>
      </c>
      <c r="AM5" s="133">
        <f>+(AM6+AM7+AM8+AM9+AM10)</f>
        <v>0.70750000000000002</v>
      </c>
      <c r="AN5" s="133">
        <f>+(AN6+AN7+AN8+AN9+AN10)</f>
        <v>0.64931249999999996</v>
      </c>
      <c r="AO5" s="560"/>
      <c r="AP5" s="127"/>
      <c r="AQ5" s="127"/>
      <c r="AR5" s="127"/>
      <c r="AS5" s="127"/>
      <c r="AT5" s="564"/>
      <c r="AU5" s="127"/>
      <c r="AV5" s="127"/>
      <c r="AW5" s="121"/>
      <c r="AX5" s="115"/>
      <c r="AY5" s="115"/>
      <c r="AZ5" s="115"/>
      <c r="BA5" s="115"/>
      <c r="BB5" s="115"/>
      <c r="BC5" s="115"/>
      <c r="BD5" s="115"/>
      <c r="BE5" s="115"/>
      <c r="BF5" s="115"/>
      <c r="BG5" s="115"/>
      <c r="BH5" s="115"/>
      <c r="BI5" s="115"/>
      <c r="BJ5" s="115"/>
      <c r="BK5" s="115"/>
      <c r="BL5" s="115"/>
      <c r="BM5" s="115"/>
      <c r="BN5" s="115"/>
      <c r="BO5" s="115"/>
    </row>
    <row r="6" spans="1:125" ht="76.95" customHeight="1" thickBot="1" x14ac:dyDescent="0.4">
      <c r="A6" s="119"/>
      <c r="B6" s="1378" t="s">
        <v>681</v>
      </c>
      <c r="C6" s="1390" t="s">
        <v>1391</v>
      </c>
      <c r="D6" s="129" t="s">
        <v>683</v>
      </c>
      <c r="E6" s="137">
        <v>0.05</v>
      </c>
      <c r="F6" s="138">
        <v>1</v>
      </c>
      <c r="G6" s="134">
        <v>0.5</v>
      </c>
      <c r="H6" s="195"/>
      <c r="I6" s="195">
        <v>0</v>
      </c>
      <c r="J6" s="139">
        <f>+G6/F6</f>
        <v>0.5</v>
      </c>
      <c r="K6" s="139">
        <f>+H6/F6</f>
        <v>0</v>
      </c>
      <c r="L6" s="139"/>
      <c r="M6" s="139">
        <f>+(G6/F6)*E6</f>
        <v>2.5000000000000001E-2</v>
      </c>
      <c r="N6" s="139">
        <f>+(H6/F6)*E6</f>
        <v>0</v>
      </c>
      <c r="O6" s="139"/>
      <c r="P6" s="134">
        <v>1</v>
      </c>
      <c r="Q6" s="496"/>
      <c r="R6" s="496"/>
      <c r="S6" s="496"/>
      <c r="T6" s="496">
        <v>0</v>
      </c>
      <c r="U6" s="496"/>
      <c r="V6" s="134">
        <f>+Q6+R6+S6+T6+U6</f>
        <v>0</v>
      </c>
      <c r="W6" s="134">
        <f>+V6+P6+AB6</f>
        <v>1</v>
      </c>
      <c r="X6" s="496">
        <v>0</v>
      </c>
      <c r="Y6" s="496">
        <v>0</v>
      </c>
      <c r="Z6" s="134"/>
      <c r="AA6" s="134"/>
      <c r="AB6" s="134">
        <f>+X6+Y6+Z6+AA6</f>
        <v>0</v>
      </c>
      <c r="AC6" s="139">
        <v>1</v>
      </c>
      <c r="AD6" s="139"/>
      <c r="AE6" s="139"/>
      <c r="AF6" s="141">
        <f>+AC6*E6</f>
        <v>0.05</v>
      </c>
      <c r="AG6" s="141">
        <f>+AD6*E6</f>
        <v>0</v>
      </c>
      <c r="AH6" s="141"/>
      <c r="AI6" s="139">
        <f>+P6/F6</f>
        <v>1</v>
      </c>
      <c r="AJ6" s="139">
        <v>1</v>
      </c>
      <c r="AK6" s="156">
        <f>+W6/F6</f>
        <v>1</v>
      </c>
      <c r="AL6" s="156">
        <f>+AI6*E6</f>
        <v>0.05</v>
      </c>
      <c r="AM6" s="156">
        <f>+AJ6*E6</f>
        <v>0.05</v>
      </c>
      <c r="AN6" s="1402">
        <f>+AK6*E6</f>
        <v>0.05</v>
      </c>
      <c r="AO6" s="553" t="s">
        <v>1588</v>
      </c>
      <c r="AP6" s="599" t="s">
        <v>1891</v>
      </c>
      <c r="AQ6" s="599" t="s">
        <v>1891</v>
      </c>
      <c r="AR6" s="765" t="s">
        <v>2010</v>
      </c>
      <c r="AS6" s="765" t="s">
        <v>2107</v>
      </c>
      <c r="AT6" s="837" t="s">
        <v>2139</v>
      </c>
      <c r="AU6" s="599" t="s">
        <v>2212</v>
      </c>
      <c r="AV6" s="765" t="s">
        <v>1887</v>
      </c>
      <c r="AW6" s="599" t="s">
        <v>1859</v>
      </c>
      <c r="AX6" s="115"/>
      <c r="AY6" s="115"/>
      <c r="AZ6" s="115"/>
      <c r="BA6" s="115"/>
      <c r="BB6" s="115"/>
      <c r="BC6" s="115"/>
      <c r="BD6" s="115"/>
      <c r="BE6" s="115"/>
      <c r="BF6" s="115"/>
      <c r="BG6" s="115"/>
      <c r="BH6" s="115"/>
      <c r="BI6" s="115"/>
      <c r="BJ6" s="115"/>
      <c r="BK6" s="115"/>
      <c r="BL6" s="115"/>
      <c r="BM6" s="115"/>
      <c r="BN6" s="115"/>
      <c r="BO6" s="115"/>
    </row>
    <row r="7" spans="1:125" ht="89.4" customHeight="1" thickBot="1" x14ac:dyDescent="0.4">
      <c r="A7" s="119"/>
      <c r="B7" s="1378" t="s">
        <v>682</v>
      </c>
      <c r="C7" s="1390" t="s">
        <v>1392</v>
      </c>
      <c r="D7" s="129" t="s">
        <v>683</v>
      </c>
      <c r="E7" s="137">
        <v>0.25</v>
      </c>
      <c r="F7" s="138">
        <v>4</v>
      </c>
      <c r="G7" s="134">
        <v>2</v>
      </c>
      <c r="H7" s="134">
        <v>2</v>
      </c>
      <c r="I7" s="134">
        <v>1</v>
      </c>
      <c r="J7" s="139">
        <f>+G7/F7</f>
        <v>0.5</v>
      </c>
      <c r="K7" s="139">
        <f t="shared" ref="K7:K14" si="1">+H7/F7</f>
        <v>0.5</v>
      </c>
      <c r="L7" s="139">
        <f t="shared" ref="L7:L8" si="2">+I7/F7</f>
        <v>0.25</v>
      </c>
      <c r="M7" s="139">
        <f>+(G7/F7)*E7</f>
        <v>0.125</v>
      </c>
      <c r="N7" s="139">
        <f t="shared" ref="N7:N14" si="3">+(H7/F7)*E7</f>
        <v>0.125</v>
      </c>
      <c r="O7" s="139"/>
      <c r="P7" s="134">
        <v>2</v>
      </c>
      <c r="Q7" s="496">
        <v>0</v>
      </c>
      <c r="R7" s="496">
        <v>0.2</v>
      </c>
      <c r="S7" s="496">
        <v>0.2</v>
      </c>
      <c r="T7" s="496">
        <v>0.2</v>
      </c>
      <c r="U7" s="496">
        <v>1.4</v>
      </c>
      <c r="V7" s="134">
        <f t="shared" ref="V7:V9" si="4">+Q7+R7+S7+T7+U7</f>
        <v>2</v>
      </c>
      <c r="W7" s="134">
        <f t="shared" ref="W7:W10" si="5">+V7+P7+AB7</f>
        <v>4</v>
      </c>
      <c r="X7" s="496"/>
      <c r="Y7" s="496">
        <v>0</v>
      </c>
      <c r="Z7" s="134"/>
      <c r="AA7" s="134"/>
      <c r="AB7" s="134">
        <f t="shared" ref="AB7:AB14" si="6">+X7+Y7+Z7+AA7</f>
        <v>0</v>
      </c>
      <c r="AC7" s="139">
        <f>+(P7/G7)</f>
        <v>1</v>
      </c>
      <c r="AD7" s="139">
        <f>+V7/H7</f>
        <v>1</v>
      </c>
      <c r="AE7" s="139">
        <f>+AB7/I7</f>
        <v>0</v>
      </c>
      <c r="AF7" s="141">
        <f>+AC7*E7</f>
        <v>0.25</v>
      </c>
      <c r="AG7" s="141">
        <f t="shared" ref="AG7:AG14" si="7">+AD7*E7</f>
        <v>0.25</v>
      </c>
      <c r="AH7" s="141">
        <f>+AE7*E7</f>
        <v>0</v>
      </c>
      <c r="AI7" s="139">
        <f>+P7/F7</f>
        <v>0.5</v>
      </c>
      <c r="AJ7" s="139">
        <v>1</v>
      </c>
      <c r="AK7" s="156">
        <f t="shared" ref="AK7:AK14" si="8">+W7/F7</f>
        <v>1</v>
      </c>
      <c r="AL7" s="156">
        <f>+AI7*E7</f>
        <v>0.125</v>
      </c>
      <c r="AM7" s="156">
        <f>+AJ7*E7</f>
        <v>0.25</v>
      </c>
      <c r="AN7" s="1402">
        <f t="shared" ref="AN7:AN14" si="9">+AK7*E7</f>
        <v>0.25</v>
      </c>
      <c r="AO7" s="521" t="s">
        <v>1844</v>
      </c>
      <c r="AP7" s="766" t="s">
        <v>1886</v>
      </c>
      <c r="AQ7" s="766" t="s">
        <v>1989</v>
      </c>
      <c r="AR7" s="765" t="s">
        <v>2010</v>
      </c>
      <c r="AS7" s="765" t="s">
        <v>2107</v>
      </c>
      <c r="AT7" s="837" t="s">
        <v>2139</v>
      </c>
      <c r="AU7" s="765" t="s">
        <v>2196</v>
      </c>
      <c r="AV7" s="765" t="s">
        <v>1887</v>
      </c>
      <c r="AW7" s="765" t="s">
        <v>2294</v>
      </c>
      <c r="AX7" s="115"/>
      <c r="AY7" s="115"/>
      <c r="AZ7" s="115"/>
      <c r="BA7" s="115"/>
      <c r="BB7" s="115"/>
      <c r="BC7" s="115"/>
      <c r="BD7" s="115"/>
      <c r="BE7" s="115"/>
      <c r="BF7" s="115"/>
      <c r="BG7" s="115"/>
      <c r="BH7" s="115"/>
      <c r="BI7" s="115"/>
      <c r="BJ7" s="115"/>
      <c r="BK7" s="115"/>
      <c r="BL7" s="115"/>
      <c r="BM7" s="115"/>
      <c r="BN7" s="115"/>
      <c r="BO7" s="115"/>
    </row>
    <row r="8" spans="1:125" ht="108.6" customHeight="1" thickBot="1" x14ac:dyDescent="0.4">
      <c r="A8" s="119"/>
      <c r="B8" s="1378" t="s">
        <v>684</v>
      </c>
      <c r="C8" s="1390" t="s">
        <v>1393</v>
      </c>
      <c r="D8" s="144" t="s">
        <v>683</v>
      </c>
      <c r="E8" s="137">
        <v>0.25</v>
      </c>
      <c r="F8" s="138">
        <v>8</v>
      </c>
      <c r="G8" s="134">
        <v>2</v>
      </c>
      <c r="H8" s="134">
        <v>4</v>
      </c>
      <c r="I8" s="134">
        <v>1</v>
      </c>
      <c r="J8" s="139">
        <f>+G8/F8</f>
        <v>0.25</v>
      </c>
      <c r="K8" s="139">
        <f t="shared" si="1"/>
        <v>0.5</v>
      </c>
      <c r="L8" s="139">
        <f t="shared" si="2"/>
        <v>0.125</v>
      </c>
      <c r="M8" s="139">
        <f>+(G8/F8)*E8</f>
        <v>6.25E-2</v>
      </c>
      <c r="N8" s="139">
        <f>+(H8/F8)*E8</f>
        <v>0.125</v>
      </c>
      <c r="O8" s="139"/>
      <c r="P8" s="134">
        <v>2</v>
      </c>
      <c r="Q8" s="496">
        <v>0</v>
      </c>
      <c r="R8" s="496">
        <v>0.5</v>
      </c>
      <c r="S8" s="496">
        <v>0.5</v>
      </c>
      <c r="T8" s="496">
        <v>0</v>
      </c>
      <c r="U8" s="496">
        <v>3</v>
      </c>
      <c r="V8" s="134">
        <f t="shared" si="4"/>
        <v>4</v>
      </c>
      <c r="W8" s="134">
        <f t="shared" si="5"/>
        <v>6.25</v>
      </c>
      <c r="X8" s="496">
        <v>0</v>
      </c>
      <c r="Y8" s="496">
        <v>0.25</v>
      </c>
      <c r="Z8" s="134"/>
      <c r="AA8" s="134"/>
      <c r="AB8" s="134">
        <f t="shared" si="6"/>
        <v>0.25</v>
      </c>
      <c r="AC8" s="139">
        <f>+(P8/G8)</f>
        <v>1</v>
      </c>
      <c r="AD8" s="139">
        <f>+V8/H8</f>
        <v>1</v>
      </c>
      <c r="AE8" s="139">
        <f t="shared" ref="AE8" si="10">+AB8/I8</f>
        <v>0.25</v>
      </c>
      <c r="AF8" s="141">
        <f>+AC8*E8</f>
        <v>0.25</v>
      </c>
      <c r="AG8" s="141">
        <f t="shared" si="7"/>
        <v>0.25</v>
      </c>
      <c r="AH8" s="141">
        <f>+AE8*E8</f>
        <v>6.25E-2</v>
      </c>
      <c r="AI8" s="139">
        <f>+P8/F8</f>
        <v>0.25</v>
      </c>
      <c r="AJ8" s="139">
        <v>0.75</v>
      </c>
      <c r="AK8" s="156">
        <f t="shared" si="8"/>
        <v>0.78125</v>
      </c>
      <c r="AL8" s="156">
        <f>+AI8*E8</f>
        <v>6.25E-2</v>
      </c>
      <c r="AM8" s="156">
        <f>+AJ8*E8</f>
        <v>0.1875</v>
      </c>
      <c r="AN8" s="1402">
        <f t="shared" si="9"/>
        <v>0.1953125</v>
      </c>
      <c r="AO8" s="521" t="s">
        <v>1844</v>
      </c>
      <c r="AP8" s="766" t="s">
        <v>1886</v>
      </c>
      <c r="AQ8" s="766" t="s">
        <v>1989</v>
      </c>
      <c r="AR8" s="765" t="s">
        <v>2010</v>
      </c>
      <c r="AS8" s="765" t="s">
        <v>2107</v>
      </c>
      <c r="AT8" s="837" t="s">
        <v>2139</v>
      </c>
      <c r="AU8" s="765" t="s">
        <v>2196</v>
      </c>
      <c r="AV8" s="765" t="s">
        <v>1887</v>
      </c>
      <c r="AW8" s="765" t="s">
        <v>2294</v>
      </c>
      <c r="AX8" s="115"/>
      <c r="AY8" s="115"/>
      <c r="AZ8" s="115"/>
      <c r="BA8" s="115"/>
      <c r="BB8" s="115"/>
      <c r="BC8" s="115"/>
      <c r="BD8" s="115"/>
      <c r="BE8" s="115"/>
      <c r="BF8" s="115"/>
      <c r="BG8" s="115"/>
      <c r="BH8" s="115"/>
      <c r="BI8" s="115"/>
      <c r="BJ8" s="115"/>
      <c r="BK8" s="115"/>
      <c r="BL8" s="115"/>
      <c r="BM8" s="115"/>
      <c r="BN8" s="115"/>
      <c r="BO8" s="115"/>
    </row>
    <row r="9" spans="1:125" ht="75.599999999999994" customHeight="1" thickBot="1" x14ac:dyDescent="0.4">
      <c r="A9" s="119"/>
      <c r="B9" s="1378" t="s">
        <v>685</v>
      </c>
      <c r="C9" s="1379" t="s">
        <v>1394</v>
      </c>
      <c r="D9" s="146" t="s">
        <v>683</v>
      </c>
      <c r="E9" s="137">
        <v>0.4</v>
      </c>
      <c r="F9" s="138">
        <v>1000</v>
      </c>
      <c r="G9" s="134">
        <v>2</v>
      </c>
      <c r="H9" s="195">
        <v>1</v>
      </c>
      <c r="I9" s="134">
        <v>400</v>
      </c>
      <c r="J9" s="134">
        <f>+G9/F9</f>
        <v>2E-3</v>
      </c>
      <c r="K9" s="139">
        <f t="shared" si="1"/>
        <v>1E-3</v>
      </c>
      <c r="L9" s="139">
        <f>+I9/F9</f>
        <v>0.4</v>
      </c>
      <c r="M9" s="201">
        <f>+(G9/F9)*E9</f>
        <v>8.0000000000000004E-4</v>
      </c>
      <c r="N9" s="139">
        <f t="shared" si="3"/>
        <v>4.0000000000000002E-4</v>
      </c>
      <c r="O9" s="139"/>
      <c r="P9" s="134">
        <v>2</v>
      </c>
      <c r="Q9" s="496">
        <v>0</v>
      </c>
      <c r="R9" s="496">
        <v>0</v>
      </c>
      <c r="S9" s="496">
        <v>0</v>
      </c>
      <c r="T9" s="496">
        <v>0</v>
      </c>
      <c r="U9" s="496">
        <v>333</v>
      </c>
      <c r="V9" s="134">
        <f t="shared" si="4"/>
        <v>333</v>
      </c>
      <c r="W9" s="134">
        <f t="shared" si="5"/>
        <v>335</v>
      </c>
      <c r="X9" s="496">
        <v>0</v>
      </c>
      <c r="Y9" s="496">
        <v>0</v>
      </c>
      <c r="Z9" s="134"/>
      <c r="AA9" s="134"/>
      <c r="AB9" s="134">
        <f t="shared" si="6"/>
        <v>0</v>
      </c>
      <c r="AC9" s="139">
        <f>+(P9/G9)</f>
        <v>1</v>
      </c>
      <c r="AD9" s="139">
        <v>1</v>
      </c>
      <c r="AE9" s="139">
        <f>+AB9/I9</f>
        <v>0</v>
      </c>
      <c r="AF9" s="141">
        <f>+AC9*E9</f>
        <v>0.4</v>
      </c>
      <c r="AG9" s="141">
        <f t="shared" si="7"/>
        <v>0.4</v>
      </c>
      <c r="AH9" s="141">
        <f>+AE9*E9</f>
        <v>0</v>
      </c>
      <c r="AI9" s="139">
        <f>+P9/F9</f>
        <v>2E-3</v>
      </c>
      <c r="AJ9" s="139">
        <v>0.5</v>
      </c>
      <c r="AK9" s="156">
        <f t="shared" si="8"/>
        <v>0.33500000000000002</v>
      </c>
      <c r="AL9" s="156">
        <f>+AI9*E9</f>
        <v>8.0000000000000004E-4</v>
      </c>
      <c r="AM9" s="156">
        <f>+AJ9*E9</f>
        <v>0.2</v>
      </c>
      <c r="AN9" s="1402">
        <f t="shared" si="9"/>
        <v>0.13400000000000001</v>
      </c>
      <c r="AO9" s="521" t="s">
        <v>1844</v>
      </c>
      <c r="AP9" s="599" t="s">
        <v>1982</v>
      </c>
      <c r="AQ9" s="766" t="s">
        <v>1989</v>
      </c>
      <c r="AR9" s="599" t="s">
        <v>2018</v>
      </c>
      <c r="AS9" s="599" t="s">
        <v>2018</v>
      </c>
      <c r="AT9" s="782" t="s">
        <v>2018</v>
      </c>
      <c r="AU9" s="599" t="s">
        <v>2018</v>
      </c>
      <c r="AV9" s="765" t="s">
        <v>1887</v>
      </c>
      <c r="AW9" s="765" t="s">
        <v>2294</v>
      </c>
      <c r="AX9" s="115"/>
      <c r="AY9" s="115"/>
      <c r="AZ9" s="115"/>
      <c r="BA9" s="115"/>
      <c r="BB9" s="115"/>
      <c r="BC9" s="115"/>
      <c r="BD9" s="115"/>
      <c r="BE9" s="115"/>
      <c r="BF9" s="115"/>
      <c r="BG9" s="115"/>
      <c r="BH9" s="115"/>
      <c r="BI9" s="115"/>
      <c r="BJ9" s="115"/>
      <c r="BK9" s="115"/>
      <c r="BL9" s="115"/>
      <c r="BM9" s="115"/>
      <c r="BN9" s="115"/>
      <c r="BO9" s="115"/>
    </row>
    <row r="10" spans="1:125" ht="121.2" customHeight="1" thickBot="1" x14ac:dyDescent="0.4">
      <c r="A10" s="119"/>
      <c r="B10" s="1378" t="s">
        <v>686</v>
      </c>
      <c r="C10" s="1390" t="s">
        <v>1395</v>
      </c>
      <c r="D10" s="147" t="s">
        <v>683</v>
      </c>
      <c r="E10" s="137">
        <v>0.05</v>
      </c>
      <c r="F10" s="138">
        <v>4</v>
      </c>
      <c r="G10" s="134">
        <v>1</v>
      </c>
      <c r="H10" s="134">
        <v>1</v>
      </c>
      <c r="I10" s="134">
        <v>0.6</v>
      </c>
      <c r="J10" s="139">
        <f>+G10/F10</f>
        <v>0.25</v>
      </c>
      <c r="K10" s="139">
        <f t="shared" si="1"/>
        <v>0.25</v>
      </c>
      <c r="L10" s="139">
        <f>+I10/F10</f>
        <v>0.15</v>
      </c>
      <c r="M10" s="139">
        <f>+(G10/F10)*E10</f>
        <v>1.2500000000000001E-2</v>
      </c>
      <c r="N10" s="139">
        <f t="shared" si="3"/>
        <v>1.2500000000000001E-2</v>
      </c>
      <c r="O10" s="139"/>
      <c r="P10" s="134">
        <v>1</v>
      </c>
      <c r="Q10" s="496">
        <v>0</v>
      </c>
      <c r="R10" s="496">
        <v>0</v>
      </c>
      <c r="S10" s="496">
        <v>0</v>
      </c>
      <c r="T10" s="496">
        <v>0.6</v>
      </c>
      <c r="U10" s="496"/>
      <c r="V10" s="134">
        <f>+Q10+R10+S10+T10+U10</f>
        <v>0.6</v>
      </c>
      <c r="W10" s="134">
        <f t="shared" si="5"/>
        <v>1.6</v>
      </c>
      <c r="X10" s="496">
        <v>0</v>
      </c>
      <c r="Y10" s="496">
        <v>0</v>
      </c>
      <c r="Z10" s="134"/>
      <c r="AA10" s="134"/>
      <c r="AB10" s="134">
        <f t="shared" si="6"/>
        <v>0</v>
      </c>
      <c r="AC10" s="139">
        <f>+(P10/G10)</f>
        <v>1</v>
      </c>
      <c r="AD10" s="139">
        <f t="shared" ref="AD10:AD14" si="11">+V10/H10</f>
        <v>0.6</v>
      </c>
      <c r="AE10" s="139">
        <f>+AB10/I10</f>
        <v>0</v>
      </c>
      <c r="AF10" s="141">
        <f>+AC10*E10</f>
        <v>0.05</v>
      </c>
      <c r="AG10" s="141">
        <f t="shared" si="7"/>
        <v>0.03</v>
      </c>
      <c r="AH10" s="141">
        <f t="shared" ref="AH10:AH14" si="12">+AE10*E10</f>
        <v>0</v>
      </c>
      <c r="AI10" s="139">
        <f>+P10/F10</f>
        <v>0.25</v>
      </c>
      <c r="AJ10" s="139">
        <v>0.4</v>
      </c>
      <c r="AK10" s="156">
        <f t="shared" si="8"/>
        <v>0.4</v>
      </c>
      <c r="AL10" s="156">
        <f>+AI10*E10</f>
        <v>1.2500000000000001E-2</v>
      </c>
      <c r="AM10" s="156">
        <f>+AJ10*E10</f>
        <v>2.0000000000000004E-2</v>
      </c>
      <c r="AN10" s="1402">
        <f t="shared" si="9"/>
        <v>2.0000000000000004E-2</v>
      </c>
      <c r="AO10" s="521" t="s">
        <v>1844</v>
      </c>
      <c r="AP10" s="127"/>
      <c r="AQ10" s="766" t="s">
        <v>1989</v>
      </c>
      <c r="AR10" s="765" t="s">
        <v>2010</v>
      </c>
      <c r="AS10" s="765" t="s">
        <v>2107</v>
      </c>
      <c r="AT10" s="837" t="s">
        <v>2139</v>
      </c>
      <c r="AU10" s="765" t="s">
        <v>2196</v>
      </c>
      <c r="AV10" s="765" t="s">
        <v>1887</v>
      </c>
      <c r="AW10" s="765" t="s">
        <v>2294</v>
      </c>
      <c r="AX10" s="115"/>
      <c r="AY10" s="115"/>
      <c r="AZ10" s="115"/>
      <c r="BA10" s="115"/>
      <c r="BB10" s="115"/>
      <c r="BC10" s="115"/>
      <c r="BD10" s="115"/>
      <c r="BE10" s="115"/>
      <c r="BF10" s="115"/>
      <c r="BG10" s="115"/>
      <c r="BH10" s="115"/>
      <c r="BI10" s="115"/>
      <c r="BJ10" s="115"/>
      <c r="BK10" s="115"/>
      <c r="BL10" s="115"/>
      <c r="BM10" s="115"/>
      <c r="BN10" s="115"/>
      <c r="BO10" s="115"/>
    </row>
    <row r="11" spans="1:125" ht="28.5" customHeight="1" thickBot="1" x14ac:dyDescent="0.4">
      <c r="A11" s="119"/>
      <c r="B11" s="1376" t="s">
        <v>1698</v>
      </c>
      <c r="C11" s="1377"/>
      <c r="D11" s="147"/>
      <c r="E11" s="130">
        <v>0.6</v>
      </c>
      <c r="F11" s="131"/>
      <c r="G11" s="132"/>
      <c r="H11" s="132"/>
      <c r="I11" s="132"/>
      <c r="J11" s="133">
        <f>+AVERAGE(J12:J14)</f>
        <v>0.25</v>
      </c>
      <c r="K11" s="133">
        <f>+AVERAGE(K12:K14)</f>
        <v>0.26666666666666666</v>
      </c>
      <c r="L11" s="133">
        <f>+AVERAGE(L12:L14)</f>
        <v>0.375</v>
      </c>
      <c r="M11" s="133">
        <f>+M12+M13+M14</f>
        <v>0.25</v>
      </c>
      <c r="N11" s="133">
        <f>+N12+N13+N14</f>
        <v>0.27500000000000002</v>
      </c>
      <c r="O11" s="133"/>
      <c r="P11" s="134"/>
      <c r="Q11" s="134"/>
      <c r="R11" s="134"/>
      <c r="S11" s="134"/>
      <c r="T11" s="134"/>
      <c r="U11" s="134"/>
      <c r="V11" s="134"/>
      <c r="W11" s="134"/>
      <c r="X11" s="134"/>
      <c r="Y11" s="134"/>
      <c r="Z11" s="134"/>
      <c r="AA11" s="134"/>
      <c r="AB11" s="134"/>
      <c r="AC11" s="154">
        <f>+AVERAGE(AC12:AC14)</f>
        <v>0.96</v>
      </c>
      <c r="AD11" s="154">
        <f>+AVERAGE(AD12:AD14)</f>
        <v>0.79999999999999993</v>
      </c>
      <c r="AE11" s="154">
        <f>+AVERAGE(AE12:AE14)</f>
        <v>9.9999999999999992E-2</v>
      </c>
      <c r="AF11" s="154">
        <f>+(AF12+AF13+AF14)*E11</f>
        <v>0.56399999999999995</v>
      </c>
      <c r="AG11" s="154">
        <f>+(AG12+AG13+AG14)*E11</f>
        <v>0.46499999999999997</v>
      </c>
      <c r="AH11" s="154">
        <f>+(AH12+AH13+AH14)*E11</f>
        <v>0.09</v>
      </c>
      <c r="AI11" s="133">
        <f>+AVERAGE(AI12:AI14)</f>
        <v>0.24</v>
      </c>
      <c r="AJ11" s="133">
        <v>0.45166666666666666</v>
      </c>
      <c r="AK11" s="133">
        <f>+AVERAGE(AK12:AK14)</f>
        <v>0.50166666666666671</v>
      </c>
      <c r="AL11" s="133">
        <f>+(AL12+AL13+AL14)*E11</f>
        <v>0.14099999999999999</v>
      </c>
      <c r="AM11" s="133">
        <f>+(AM12+AM13+AM14)</f>
        <v>0.44624999999999998</v>
      </c>
      <c r="AN11" s="133">
        <f>+(AN12+AN13+AN14)</f>
        <v>0.52124999999999999</v>
      </c>
      <c r="AO11" s="560"/>
      <c r="AP11" s="127"/>
      <c r="AQ11" s="127"/>
      <c r="AR11" s="127"/>
      <c r="AS11" s="127"/>
      <c r="AT11" s="564"/>
      <c r="AU11" s="127"/>
      <c r="AV11" s="127"/>
      <c r="AW11" s="121"/>
      <c r="AX11" s="115"/>
      <c r="AY11" s="115"/>
      <c r="AZ11" s="115"/>
      <c r="BA11" s="115"/>
      <c r="BB11" s="115"/>
      <c r="BC11" s="115"/>
      <c r="BD11" s="115"/>
      <c r="BE11" s="115"/>
      <c r="BF11" s="115"/>
      <c r="BG11" s="115"/>
      <c r="BH11" s="115"/>
      <c r="BI11" s="115"/>
      <c r="BJ11" s="115"/>
      <c r="BK11" s="115"/>
      <c r="BL11" s="115"/>
      <c r="BM11" s="115"/>
      <c r="BN11" s="115"/>
      <c r="BO11" s="115"/>
    </row>
    <row r="12" spans="1:125" ht="49.2" customHeight="1" thickBot="1" x14ac:dyDescent="0.4">
      <c r="A12" s="119"/>
      <c r="B12" s="1378" t="s">
        <v>687</v>
      </c>
      <c r="C12" s="1379" t="s">
        <v>1396</v>
      </c>
      <c r="D12" s="147" t="s">
        <v>683</v>
      </c>
      <c r="E12" s="137">
        <v>0.25</v>
      </c>
      <c r="F12" s="138">
        <v>4</v>
      </c>
      <c r="G12" s="134">
        <v>1</v>
      </c>
      <c r="H12" s="134">
        <v>1</v>
      </c>
      <c r="I12" s="134">
        <v>1</v>
      </c>
      <c r="J12" s="139">
        <f>+G12/F12</f>
        <v>0.25</v>
      </c>
      <c r="K12" s="139">
        <f t="shared" si="1"/>
        <v>0.25</v>
      </c>
      <c r="L12" s="139">
        <f t="shared" ref="L12:L14" si="13">+I12/F12</f>
        <v>0.25</v>
      </c>
      <c r="M12" s="139">
        <f>+(G12/F12)*E12</f>
        <v>6.25E-2</v>
      </c>
      <c r="N12" s="139">
        <f t="shared" si="3"/>
        <v>6.25E-2</v>
      </c>
      <c r="O12" s="139"/>
      <c r="P12" s="134">
        <v>1</v>
      </c>
      <c r="Q12" s="496">
        <v>0.1</v>
      </c>
      <c r="R12" s="496">
        <v>0.9</v>
      </c>
      <c r="S12" s="496">
        <v>0</v>
      </c>
      <c r="T12" s="496">
        <v>0</v>
      </c>
      <c r="U12" s="496"/>
      <c r="V12" s="134">
        <f>+Q12+R12+S12+T12+U12</f>
        <v>1</v>
      </c>
      <c r="W12" s="134">
        <f>+V12+P12+AB12</f>
        <v>2</v>
      </c>
      <c r="X12" s="496">
        <v>0</v>
      </c>
      <c r="Y12" s="496">
        <v>0</v>
      </c>
      <c r="Z12" s="134"/>
      <c r="AA12" s="134"/>
      <c r="AB12" s="134">
        <f>+X12+Y12+Z12+AA12</f>
        <v>0</v>
      </c>
      <c r="AC12" s="139">
        <f>+(P12/G12)</f>
        <v>1</v>
      </c>
      <c r="AD12" s="139">
        <f t="shared" si="11"/>
        <v>1</v>
      </c>
      <c r="AE12" s="139">
        <f t="shared" ref="AE12:AE14" si="14">+AB12/I12</f>
        <v>0</v>
      </c>
      <c r="AF12" s="141">
        <f>+AC12*E12</f>
        <v>0.25</v>
      </c>
      <c r="AG12" s="141">
        <f t="shared" si="7"/>
        <v>0.25</v>
      </c>
      <c r="AH12" s="141">
        <f t="shared" si="12"/>
        <v>0</v>
      </c>
      <c r="AI12" s="139">
        <f>+P12/F12</f>
        <v>0.25</v>
      </c>
      <c r="AJ12" s="139">
        <v>0.5</v>
      </c>
      <c r="AK12" s="156">
        <f t="shared" si="8"/>
        <v>0.5</v>
      </c>
      <c r="AL12" s="156">
        <f>+AI12*E12</f>
        <v>6.25E-2</v>
      </c>
      <c r="AM12" s="156">
        <f>+AJ12*E12</f>
        <v>0.125</v>
      </c>
      <c r="AN12" s="190">
        <f t="shared" si="9"/>
        <v>0.125</v>
      </c>
      <c r="AO12" s="521" t="s">
        <v>1844</v>
      </c>
      <c r="AP12" s="766" t="s">
        <v>1886</v>
      </c>
      <c r="AQ12" s="766" t="s">
        <v>1989</v>
      </c>
      <c r="AR12" s="765" t="s">
        <v>2010</v>
      </c>
      <c r="AS12" s="599" t="s">
        <v>2124</v>
      </c>
      <c r="AT12" s="564"/>
      <c r="AU12" s="765" t="s">
        <v>2196</v>
      </c>
      <c r="AV12" s="599" t="s">
        <v>1859</v>
      </c>
      <c r="AW12" s="599" t="s">
        <v>1859</v>
      </c>
      <c r="AX12" s="115"/>
      <c r="AY12" s="115"/>
      <c r="AZ12" s="115"/>
      <c r="BA12" s="115"/>
      <c r="BB12" s="115"/>
      <c r="BC12" s="115"/>
      <c r="BD12" s="115"/>
      <c r="BE12" s="115"/>
      <c r="BF12" s="115"/>
      <c r="BG12" s="115"/>
      <c r="BH12" s="115"/>
      <c r="BI12" s="115"/>
      <c r="BJ12" s="115"/>
      <c r="BK12" s="115"/>
      <c r="BL12" s="115"/>
      <c r="BM12" s="115"/>
      <c r="BN12" s="115"/>
      <c r="BO12" s="115"/>
    </row>
    <row r="13" spans="1:125" ht="57.6" customHeight="1" thickBot="1" x14ac:dyDescent="0.4">
      <c r="A13" s="119"/>
      <c r="B13" s="1378" t="s">
        <v>688</v>
      </c>
      <c r="C13" s="1379" t="s">
        <v>1397</v>
      </c>
      <c r="D13" s="147" t="s">
        <v>683</v>
      </c>
      <c r="E13" s="137">
        <v>0.5</v>
      </c>
      <c r="F13" s="138">
        <v>100</v>
      </c>
      <c r="G13" s="134">
        <v>25</v>
      </c>
      <c r="H13" s="134">
        <v>30</v>
      </c>
      <c r="I13" s="134">
        <v>50</v>
      </c>
      <c r="J13" s="139">
        <f>+G13/F13</f>
        <v>0.25</v>
      </c>
      <c r="K13" s="139">
        <f t="shared" si="1"/>
        <v>0.3</v>
      </c>
      <c r="L13" s="139">
        <f>+I13/F13</f>
        <v>0.5</v>
      </c>
      <c r="M13" s="139">
        <f>+(G13/F13)*E13</f>
        <v>0.125</v>
      </c>
      <c r="N13" s="139">
        <f t="shared" si="3"/>
        <v>0.15</v>
      </c>
      <c r="O13" s="139"/>
      <c r="P13" s="134">
        <v>22</v>
      </c>
      <c r="Q13" s="496">
        <v>0</v>
      </c>
      <c r="R13" s="496">
        <v>15</v>
      </c>
      <c r="S13" s="496">
        <v>0</v>
      </c>
      <c r="T13" s="496"/>
      <c r="U13" s="496">
        <v>6</v>
      </c>
      <c r="V13" s="134">
        <f t="shared" ref="V13:V14" si="15">+Q13+R13+S13+T13+U13</f>
        <v>21</v>
      </c>
      <c r="W13" s="134">
        <f t="shared" ref="W13:W14" si="16">+V13+P13+AB13</f>
        <v>58</v>
      </c>
      <c r="X13" s="496">
        <v>0</v>
      </c>
      <c r="Y13" s="496">
        <v>15</v>
      </c>
      <c r="Z13" s="134"/>
      <c r="AA13" s="134"/>
      <c r="AB13" s="134">
        <f t="shared" si="6"/>
        <v>15</v>
      </c>
      <c r="AC13" s="139">
        <f>+(P13/G13)</f>
        <v>0.88</v>
      </c>
      <c r="AD13" s="139">
        <f t="shared" si="11"/>
        <v>0.7</v>
      </c>
      <c r="AE13" s="139">
        <f>+AB13/I13</f>
        <v>0.3</v>
      </c>
      <c r="AF13" s="141">
        <f>+AC13*E13</f>
        <v>0.44</v>
      </c>
      <c r="AG13" s="141">
        <f t="shared" si="7"/>
        <v>0.35</v>
      </c>
      <c r="AH13" s="141">
        <f t="shared" si="12"/>
        <v>0.15</v>
      </c>
      <c r="AI13" s="139">
        <f>+P13/F13</f>
        <v>0.22</v>
      </c>
      <c r="AJ13" s="139">
        <v>0.43</v>
      </c>
      <c r="AK13" s="156">
        <f t="shared" si="8"/>
        <v>0.57999999999999996</v>
      </c>
      <c r="AL13" s="156">
        <f>+AI13*E13</f>
        <v>0.11</v>
      </c>
      <c r="AM13" s="156">
        <f>+AJ13*E13</f>
        <v>0.215</v>
      </c>
      <c r="AN13" s="190">
        <f t="shared" si="9"/>
        <v>0.28999999999999998</v>
      </c>
      <c r="AO13" s="521" t="s">
        <v>1844</v>
      </c>
      <c r="AP13" s="766" t="s">
        <v>1886</v>
      </c>
      <c r="AQ13" s="766" t="s">
        <v>1989</v>
      </c>
      <c r="AR13" s="765" t="s">
        <v>2010</v>
      </c>
      <c r="AS13" s="765" t="s">
        <v>2107</v>
      </c>
      <c r="AT13" s="564"/>
      <c r="AU13" s="765" t="s">
        <v>2196</v>
      </c>
      <c r="AV13" s="765" t="s">
        <v>1887</v>
      </c>
      <c r="AW13" s="765" t="s">
        <v>2294</v>
      </c>
      <c r="AX13" s="115"/>
      <c r="AY13" s="115"/>
      <c r="AZ13" s="115"/>
      <c r="BA13" s="115"/>
      <c r="BB13" s="115"/>
      <c r="BC13" s="115"/>
      <c r="BD13" s="115"/>
      <c r="BE13" s="115"/>
      <c r="BF13" s="115"/>
      <c r="BG13" s="115"/>
      <c r="BH13" s="115"/>
      <c r="BI13" s="115"/>
      <c r="BJ13" s="115"/>
      <c r="BK13" s="115"/>
      <c r="BL13" s="115"/>
      <c r="BM13" s="115"/>
      <c r="BN13" s="115"/>
      <c r="BO13" s="115"/>
    </row>
    <row r="14" spans="1:125" ht="72.599999999999994" customHeight="1" thickBot="1" x14ac:dyDescent="0.4">
      <c r="A14" s="119"/>
      <c r="B14" s="1378" t="s">
        <v>689</v>
      </c>
      <c r="C14" s="1379" t="s">
        <v>1398</v>
      </c>
      <c r="D14" s="147" t="s">
        <v>683</v>
      </c>
      <c r="E14" s="137">
        <v>0.25</v>
      </c>
      <c r="F14" s="138">
        <v>4</v>
      </c>
      <c r="G14" s="134">
        <v>1</v>
      </c>
      <c r="H14" s="134">
        <v>1</v>
      </c>
      <c r="I14" s="134">
        <v>1.5</v>
      </c>
      <c r="J14" s="139">
        <f>+G14/F14</f>
        <v>0.25</v>
      </c>
      <c r="K14" s="139">
        <f t="shared" si="1"/>
        <v>0.25</v>
      </c>
      <c r="L14" s="139">
        <f t="shared" si="13"/>
        <v>0.375</v>
      </c>
      <c r="M14" s="139">
        <f>+(G14/F14)*E14</f>
        <v>6.25E-2</v>
      </c>
      <c r="N14" s="139">
        <f t="shared" si="3"/>
        <v>6.25E-2</v>
      </c>
      <c r="O14" s="139"/>
      <c r="P14" s="134">
        <v>1</v>
      </c>
      <c r="Q14" s="496">
        <v>0.1</v>
      </c>
      <c r="R14" s="496">
        <v>0.2</v>
      </c>
      <c r="S14" s="496">
        <v>0.3</v>
      </c>
      <c r="T14" s="496"/>
      <c r="U14" s="496">
        <v>0.1</v>
      </c>
      <c r="V14" s="134">
        <f t="shared" si="15"/>
        <v>0.70000000000000007</v>
      </c>
      <c r="W14" s="134">
        <f t="shared" si="16"/>
        <v>1.7000000000000002</v>
      </c>
      <c r="X14" s="496">
        <v>0</v>
      </c>
      <c r="Y14" s="496">
        <v>0</v>
      </c>
      <c r="Z14" s="134"/>
      <c r="AA14" s="134"/>
      <c r="AB14" s="134">
        <f t="shared" si="6"/>
        <v>0</v>
      </c>
      <c r="AC14" s="139">
        <f>+(P14/G14)</f>
        <v>1</v>
      </c>
      <c r="AD14" s="139">
        <f t="shared" si="11"/>
        <v>0.70000000000000007</v>
      </c>
      <c r="AE14" s="139">
        <f t="shared" si="14"/>
        <v>0</v>
      </c>
      <c r="AF14" s="141">
        <f>+AC14*E14</f>
        <v>0.25</v>
      </c>
      <c r="AG14" s="141">
        <f t="shared" si="7"/>
        <v>0.17500000000000002</v>
      </c>
      <c r="AH14" s="141">
        <f t="shared" si="12"/>
        <v>0</v>
      </c>
      <c r="AI14" s="139">
        <f>+P14/F14</f>
        <v>0.25</v>
      </c>
      <c r="AJ14" s="139">
        <v>0.42500000000000004</v>
      </c>
      <c r="AK14" s="156">
        <f t="shared" si="8"/>
        <v>0.42500000000000004</v>
      </c>
      <c r="AL14" s="156">
        <f>+AI14*E14</f>
        <v>6.25E-2</v>
      </c>
      <c r="AM14" s="156">
        <f>+AJ14*E14</f>
        <v>0.10625000000000001</v>
      </c>
      <c r="AN14" s="190">
        <f t="shared" si="9"/>
        <v>0.10625000000000001</v>
      </c>
      <c r="AO14" s="521" t="s">
        <v>1844</v>
      </c>
      <c r="AP14" s="766" t="s">
        <v>1886</v>
      </c>
      <c r="AQ14" s="766" t="s">
        <v>1989</v>
      </c>
      <c r="AR14" s="765" t="s">
        <v>2010</v>
      </c>
      <c r="AS14" s="599" t="s">
        <v>2125</v>
      </c>
      <c r="AT14" s="564"/>
      <c r="AU14" s="765" t="s">
        <v>2196</v>
      </c>
      <c r="AV14" s="765" t="s">
        <v>1887</v>
      </c>
      <c r="AW14" s="765" t="s">
        <v>2294</v>
      </c>
      <c r="AX14" s="115"/>
      <c r="AY14" s="115"/>
      <c r="AZ14" s="115"/>
      <c r="BA14" s="115"/>
      <c r="BB14" s="115"/>
      <c r="BC14" s="115"/>
      <c r="BD14" s="115"/>
      <c r="BE14" s="115"/>
      <c r="BF14" s="115"/>
      <c r="BG14" s="115"/>
      <c r="BH14" s="115"/>
      <c r="BI14" s="115"/>
      <c r="BJ14" s="115"/>
      <c r="BK14" s="115"/>
      <c r="BL14" s="115"/>
      <c r="BM14" s="115"/>
      <c r="BN14" s="115"/>
      <c r="BO14" s="115"/>
    </row>
    <row r="15" spans="1:125" ht="93" customHeight="1" thickBot="1" x14ac:dyDescent="0.4">
      <c r="A15" s="119"/>
      <c r="B15" s="1374" t="s">
        <v>1787</v>
      </c>
      <c r="C15" s="1375"/>
      <c r="D15" s="147"/>
      <c r="E15" s="122">
        <v>0.15</v>
      </c>
      <c r="F15" s="123">
        <f>+E15*AF15</f>
        <v>9.7499999999999989E-2</v>
      </c>
      <c r="G15" s="127"/>
      <c r="H15" s="123">
        <f>+E15*AG15</f>
        <v>0.1150875</v>
      </c>
      <c r="I15" s="123">
        <f>+E15*AH15</f>
        <v>3.084545454545454E-2</v>
      </c>
      <c r="J15" s="125">
        <f>+(J16+J21+J24+J28)/4</f>
        <v>0.28770833333333334</v>
      </c>
      <c r="K15" s="125">
        <f>+(K16+K21+K24+K28)/4</f>
        <v>0.34704861111111107</v>
      </c>
      <c r="L15" s="125">
        <f>+(L16+L21+L24+L28)/4</f>
        <v>0.37916666666666665</v>
      </c>
      <c r="M15" s="126">
        <f>+(M16+M21+M24+M28)/4</f>
        <v>0.20433333333333331</v>
      </c>
      <c r="N15" s="126">
        <f>+(N16+N21+N24+N28)/4</f>
        <v>0.33291666666666664</v>
      </c>
      <c r="O15" s="126"/>
      <c r="P15" s="127"/>
      <c r="Q15" s="127"/>
      <c r="R15" s="127"/>
      <c r="S15" s="127"/>
      <c r="T15" s="127"/>
      <c r="U15" s="835"/>
      <c r="V15" s="127"/>
      <c r="W15" s="127"/>
      <c r="X15" s="127"/>
      <c r="Y15" s="127"/>
      <c r="Z15" s="127"/>
      <c r="AA15" s="127"/>
      <c r="AB15" s="127"/>
      <c r="AC15" s="125">
        <f>+(AC16+AC21+AC24+AC28)/4</f>
        <v>1</v>
      </c>
      <c r="AD15" s="125">
        <f>+(AD16+AD21+AD24+AD28)/4</f>
        <v>0.82645833333333329</v>
      </c>
      <c r="AE15" s="125">
        <f>+(AE16+AE21+AE24+AE28)/4</f>
        <v>0.35075757575757577</v>
      </c>
      <c r="AF15" s="126">
        <f>+AF16+AF21+AF24+AF28</f>
        <v>0.64999999999999991</v>
      </c>
      <c r="AG15" s="126">
        <f>+AG16+AG21+AG24+AG28</f>
        <v>0.76724999999999999</v>
      </c>
      <c r="AH15" s="126">
        <f>+AH16+AH21+AH24+AH28</f>
        <v>0.20563636363636362</v>
      </c>
      <c r="AI15" s="125">
        <f>(AI16+AI21+AI24+AI28)/4</f>
        <v>0.23097916666666671</v>
      </c>
      <c r="AJ15" s="125">
        <v>0.58986633269720101</v>
      </c>
      <c r="AK15" s="125">
        <f>(AK16+AK21+AK24+AK28)/4</f>
        <v>0.71430208333333345</v>
      </c>
      <c r="AL15" s="126">
        <f>+AL16+AL21+AL24+AL28</f>
        <v>0.373</v>
      </c>
      <c r="AM15" s="126">
        <f>+(AM16*E16)+(AM21*E21)+(AM24*E24)+(AM28*E28)</f>
        <v>0.67023139312977098</v>
      </c>
      <c r="AN15" s="126">
        <f>+(AN16*E16)+(AN21*E21)+(AN24*E24)+(AN28*E28)</f>
        <v>0.72318749999999998</v>
      </c>
      <c r="AO15" s="762"/>
      <c r="AP15" s="127"/>
      <c r="AQ15" s="127"/>
      <c r="AR15" s="127"/>
      <c r="AS15" s="127"/>
      <c r="AT15" s="564"/>
      <c r="AU15" s="127"/>
      <c r="AV15" s="127"/>
      <c r="AW15" s="121"/>
      <c r="AX15" s="115"/>
      <c r="AY15" s="115"/>
      <c r="AZ15" s="115"/>
      <c r="BA15" s="115"/>
      <c r="BB15" s="115"/>
      <c r="BC15" s="115"/>
      <c r="BD15" s="115"/>
      <c r="BE15" s="115"/>
      <c r="BF15" s="115"/>
      <c r="BG15" s="115"/>
      <c r="BH15" s="115"/>
      <c r="BI15" s="115"/>
      <c r="BJ15" s="115"/>
      <c r="BK15" s="115"/>
      <c r="BL15" s="115"/>
      <c r="BM15" s="115"/>
      <c r="BN15" s="115"/>
      <c r="BO15" s="115"/>
    </row>
    <row r="16" spans="1:125" ht="72" customHeight="1" thickBot="1" x14ac:dyDescent="0.4">
      <c r="A16" s="119"/>
      <c r="B16" s="1376" t="s">
        <v>1699</v>
      </c>
      <c r="C16" s="1377"/>
      <c r="D16" s="147"/>
      <c r="E16" s="130">
        <v>0.25</v>
      </c>
      <c r="F16" s="149"/>
      <c r="G16" s="134"/>
      <c r="H16" s="134"/>
      <c r="I16" s="134"/>
      <c r="J16" s="133">
        <f>+AVERAGE(J17:J20)</f>
        <v>0.25</v>
      </c>
      <c r="K16" s="133">
        <f>+AVERAGE(K17:K20)</f>
        <v>0.21875</v>
      </c>
      <c r="L16" s="133">
        <f>+AVERAGE(L17:L20)</f>
        <v>0.27500000000000002</v>
      </c>
      <c r="M16" s="133">
        <f>+M17+M18+M19+M20</f>
        <v>0.25</v>
      </c>
      <c r="N16" s="133">
        <f>+N17+N18+N19+N20</f>
        <v>0.22500000000000001</v>
      </c>
      <c r="O16" s="133"/>
      <c r="P16" s="132"/>
      <c r="Q16" s="132"/>
      <c r="R16" s="132"/>
      <c r="S16" s="132"/>
      <c r="T16" s="132"/>
      <c r="U16" s="836"/>
      <c r="V16" s="132"/>
      <c r="W16" s="132"/>
      <c r="X16" s="132"/>
      <c r="Y16" s="132"/>
      <c r="Z16" s="132"/>
      <c r="AA16" s="132"/>
      <c r="AB16" s="132"/>
      <c r="AC16" s="154">
        <f>+AVERAGE(AC17:AC20)</f>
        <v>1</v>
      </c>
      <c r="AD16" s="154">
        <f>+AVERAGE(AD17:AD20)</f>
        <v>0.82250000000000001</v>
      </c>
      <c r="AE16" s="154">
        <f>+AVERAGE(AE17:AE20)</f>
        <v>0</v>
      </c>
      <c r="AF16" s="154">
        <f>+(AF17+AF18+AF19+AF20)*E16</f>
        <v>0.25</v>
      </c>
      <c r="AG16" s="154">
        <f>+(AG17+AG18+AG19+AG20)*E16</f>
        <v>0.19974999999999998</v>
      </c>
      <c r="AH16" s="154">
        <f>+(AH17+AH18+AH19+AH20)*E16</f>
        <v>0</v>
      </c>
      <c r="AI16" s="133">
        <f>+AVERAGE(AI17:AI20)</f>
        <v>0.4375</v>
      </c>
      <c r="AJ16" s="133">
        <v>0.72187500000000004</v>
      </c>
      <c r="AK16" s="133">
        <f>+AVERAGE(AK17:AK20)</f>
        <v>0.72187500000000004</v>
      </c>
      <c r="AL16" s="133">
        <f>+(AL17+AL18+AL19+AL20)*E16</f>
        <v>0.17500000000000002</v>
      </c>
      <c r="AM16" s="133">
        <f>+(AM17+AM18+AM19+AM20)</f>
        <v>0.88874999999999993</v>
      </c>
      <c r="AN16" s="133">
        <f>+(AN17+AN18+AN19+AN20)</f>
        <v>0.88874999999999993</v>
      </c>
      <c r="AO16" s="560"/>
      <c r="AP16" s="127"/>
      <c r="AQ16" s="127"/>
      <c r="AR16" s="127"/>
      <c r="AS16" s="127"/>
      <c r="AT16" s="564"/>
      <c r="AU16" s="127"/>
      <c r="AV16" s="127"/>
      <c r="AW16" s="121"/>
      <c r="AX16" s="115"/>
      <c r="AY16" s="115"/>
      <c r="AZ16" s="115"/>
      <c r="BA16" s="115"/>
      <c r="BB16" s="115"/>
      <c r="BC16" s="115"/>
      <c r="BD16" s="115"/>
      <c r="BE16" s="115"/>
      <c r="BF16" s="115"/>
      <c r="BG16" s="115"/>
      <c r="BH16" s="115"/>
      <c r="BI16" s="115"/>
      <c r="BJ16" s="115"/>
      <c r="BK16" s="115"/>
      <c r="BL16" s="115"/>
      <c r="BM16" s="115"/>
      <c r="BN16" s="115"/>
      <c r="BO16" s="115"/>
    </row>
    <row r="17" spans="1:67" ht="49.95" customHeight="1" thickBot="1" x14ac:dyDescent="0.4">
      <c r="A17" s="119"/>
      <c r="B17" s="1378" t="s">
        <v>690</v>
      </c>
      <c r="C17" s="1379" t="s">
        <v>1399</v>
      </c>
      <c r="D17" s="147" t="s">
        <v>683</v>
      </c>
      <c r="E17" s="137">
        <v>0.1</v>
      </c>
      <c r="F17" s="138">
        <v>4</v>
      </c>
      <c r="G17" s="134">
        <v>1</v>
      </c>
      <c r="H17" s="134">
        <v>1</v>
      </c>
      <c r="I17" s="134">
        <v>1.1499999999999999</v>
      </c>
      <c r="J17" s="139">
        <f>+G17/F17</f>
        <v>0.25</v>
      </c>
      <c r="K17" s="139">
        <f t="shared" ref="K17:K20" si="17">+H17/F17</f>
        <v>0.25</v>
      </c>
      <c r="L17" s="139">
        <f t="shared" ref="L17:L18" si="18">+I17/F17</f>
        <v>0.28749999999999998</v>
      </c>
      <c r="M17" s="139">
        <f>+(G17/F17)*E17</f>
        <v>2.5000000000000001E-2</v>
      </c>
      <c r="N17" s="139">
        <f t="shared" ref="N17:N20" si="19">+(H17/F17)*E17</f>
        <v>2.5000000000000001E-2</v>
      </c>
      <c r="O17" s="139"/>
      <c r="P17" s="134">
        <v>1</v>
      </c>
      <c r="Q17" s="496">
        <v>0</v>
      </c>
      <c r="R17" s="496">
        <v>0.7</v>
      </c>
      <c r="S17" s="496">
        <v>0</v>
      </c>
      <c r="T17" s="496">
        <v>0</v>
      </c>
      <c r="U17" s="496">
        <v>0</v>
      </c>
      <c r="V17" s="134">
        <f t="shared" ref="V17:V19" si="20">+Q17+R17+S17+T17+U17</f>
        <v>0.7</v>
      </c>
      <c r="W17" s="134">
        <f>+V17+P17+AB17</f>
        <v>1.7</v>
      </c>
      <c r="X17" s="496">
        <v>0</v>
      </c>
      <c r="Y17" s="496">
        <v>0</v>
      </c>
      <c r="Z17" s="134"/>
      <c r="AA17" s="134"/>
      <c r="AB17" s="134">
        <f t="shared" ref="AB17:AB20" si="21">+X17+Y17+Z17+AA17</f>
        <v>0</v>
      </c>
      <c r="AC17" s="139">
        <f>+(P17/G17)</f>
        <v>1</v>
      </c>
      <c r="AD17" s="139">
        <f t="shared" ref="AD17:AD20" si="22">+V17/H17</f>
        <v>0.7</v>
      </c>
      <c r="AE17" s="139">
        <f t="shared" ref="AE17:AE20" si="23">+AB17/I17</f>
        <v>0</v>
      </c>
      <c r="AF17" s="139">
        <f>+AC17*E17</f>
        <v>0.1</v>
      </c>
      <c r="AG17" s="139">
        <f t="shared" ref="AG17:AG20" si="24">+AD17*E17</f>
        <v>6.9999999999999993E-2</v>
      </c>
      <c r="AH17" s="139">
        <f t="shared" ref="AH17:AH32" si="25">+AE17*E17</f>
        <v>0</v>
      </c>
      <c r="AI17" s="139">
        <f>+P17/F17</f>
        <v>0.25</v>
      </c>
      <c r="AJ17" s="139">
        <v>0.42499999999999999</v>
      </c>
      <c r="AK17" s="156">
        <f t="shared" ref="AK17:AK22" si="26">+W17/F17</f>
        <v>0.42499999999999999</v>
      </c>
      <c r="AL17" s="156">
        <f>+AI17*E17</f>
        <v>2.5000000000000001E-2</v>
      </c>
      <c r="AM17" s="156">
        <f>+AJ17*E17</f>
        <v>4.2500000000000003E-2</v>
      </c>
      <c r="AN17" s="156">
        <f t="shared" ref="AN17:AN32" si="27">+AK17*E17</f>
        <v>4.2500000000000003E-2</v>
      </c>
      <c r="AO17" s="521" t="s">
        <v>1844</v>
      </c>
      <c r="AP17" s="766" t="s">
        <v>1886</v>
      </c>
      <c r="AQ17" s="766" t="s">
        <v>1989</v>
      </c>
      <c r="AR17" s="765" t="s">
        <v>2010</v>
      </c>
      <c r="AS17" s="765" t="s">
        <v>2107</v>
      </c>
      <c r="AT17" s="837" t="s">
        <v>2139</v>
      </c>
      <c r="AU17" s="765" t="s">
        <v>2196</v>
      </c>
      <c r="AV17" s="765" t="s">
        <v>1887</v>
      </c>
      <c r="AW17" s="765" t="s">
        <v>2294</v>
      </c>
      <c r="AX17" s="115"/>
      <c r="AY17" s="115"/>
      <c r="AZ17" s="115"/>
      <c r="BA17" s="115"/>
      <c r="BB17" s="115"/>
      <c r="BC17" s="115"/>
      <c r="BD17" s="115"/>
      <c r="BE17" s="115"/>
      <c r="BF17" s="115"/>
      <c r="BG17" s="115"/>
      <c r="BH17" s="115"/>
      <c r="BI17" s="115"/>
      <c r="BJ17" s="115"/>
      <c r="BK17" s="115"/>
      <c r="BL17" s="115"/>
      <c r="BM17" s="115"/>
      <c r="BN17" s="115"/>
      <c r="BO17" s="115"/>
    </row>
    <row r="18" spans="1:67" ht="70.95" customHeight="1" thickBot="1" x14ac:dyDescent="0.4">
      <c r="A18" s="150"/>
      <c r="B18" s="1378" t="s">
        <v>691</v>
      </c>
      <c r="C18" s="1379" t="s">
        <v>1400</v>
      </c>
      <c r="D18" s="147" t="s">
        <v>683</v>
      </c>
      <c r="E18" s="137">
        <v>0.1</v>
      </c>
      <c r="F18" s="138">
        <v>4</v>
      </c>
      <c r="G18" s="134">
        <v>1</v>
      </c>
      <c r="H18" s="134">
        <v>1</v>
      </c>
      <c r="I18" s="134">
        <v>1.05</v>
      </c>
      <c r="J18" s="139">
        <f>+G18/F18</f>
        <v>0.25</v>
      </c>
      <c r="K18" s="139">
        <f t="shared" si="17"/>
        <v>0.25</v>
      </c>
      <c r="L18" s="139">
        <f t="shared" si="18"/>
        <v>0.26250000000000001</v>
      </c>
      <c r="M18" s="139">
        <f>+(G18/F18)*E18</f>
        <v>2.5000000000000001E-2</v>
      </c>
      <c r="N18" s="139">
        <f t="shared" si="19"/>
        <v>2.5000000000000001E-2</v>
      </c>
      <c r="O18" s="139"/>
      <c r="P18" s="134">
        <v>1</v>
      </c>
      <c r="Q18" s="496">
        <v>0.1</v>
      </c>
      <c r="R18" s="496">
        <v>0.6</v>
      </c>
      <c r="S18" s="496">
        <v>0</v>
      </c>
      <c r="T18" s="496">
        <v>0.15</v>
      </c>
      <c r="U18" s="496">
        <v>0</v>
      </c>
      <c r="V18" s="134">
        <f t="shared" si="20"/>
        <v>0.85</v>
      </c>
      <c r="W18" s="134">
        <f t="shared" ref="W18:W19" si="28">+V18+P18+AB18</f>
        <v>1.85</v>
      </c>
      <c r="X18" s="496">
        <v>0</v>
      </c>
      <c r="Y18" s="496">
        <v>0</v>
      </c>
      <c r="Z18" s="134"/>
      <c r="AA18" s="134"/>
      <c r="AB18" s="134">
        <f t="shared" si="21"/>
        <v>0</v>
      </c>
      <c r="AC18" s="156">
        <f>+(P18/G18)</f>
        <v>1</v>
      </c>
      <c r="AD18" s="156">
        <f t="shared" si="22"/>
        <v>0.85</v>
      </c>
      <c r="AE18" s="156">
        <f t="shared" si="23"/>
        <v>0</v>
      </c>
      <c r="AF18" s="156">
        <f>+AC18*E18</f>
        <v>0.1</v>
      </c>
      <c r="AG18" s="156">
        <f t="shared" si="24"/>
        <v>8.5000000000000006E-2</v>
      </c>
      <c r="AH18" s="156">
        <f t="shared" si="25"/>
        <v>0</v>
      </c>
      <c r="AI18" s="156">
        <f>+P18/F18</f>
        <v>0.25</v>
      </c>
      <c r="AJ18" s="156">
        <v>0.46250000000000002</v>
      </c>
      <c r="AK18" s="156">
        <f t="shared" si="26"/>
        <v>0.46250000000000002</v>
      </c>
      <c r="AL18" s="156">
        <f>+AI18*E18</f>
        <v>2.5000000000000001E-2</v>
      </c>
      <c r="AM18" s="156">
        <f>+AJ18*E18</f>
        <v>4.6250000000000006E-2</v>
      </c>
      <c r="AN18" s="156">
        <f t="shared" si="27"/>
        <v>4.6250000000000006E-2</v>
      </c>
      <c r="AO18" s="521" t="s">
        <v>1844</v>
      </c>
      <c r="AP18" s="766" t="s">
        <v>1886</v>
      </c>
      <c r="AQ18" s="766" t="s">
        <v>1989</v>
      </c>
      <c r="AR18" s="765" t="s">
        <v>2010</v>
      </c>
      <c r="AS18" s="765" t="s">
        <v>2107</v>
      </c>
      <c r="AT18" s="837" t="s">
        <v>2139</v>
      </c>
      <c r="AU18" s="765" t="s">
        <v>2196</v>
      </c>
      <c r="AV18" s="765" t="s">
        <v>1887</v>
      </c>
      <c r="AW18" s="765" t="s">
        <v>2294</v>
      </c>
      <c r="AX18" s="115"/>
      <c r="AY18" s="115"/>
      <c r="AZ18" s="115"/>
      <c r="BA18" s="115"/>
      <c r="BB18" s="115"/>
      <c r="BC18" s="115"/>
      <c r="BD18" s="115"/>
      <c r="BE18" s="115"/>
      <c r="BF18" s="115"/>
      <c r="BG18" s="115"/>
      <c r="BH18" s="115"/>
      <c r="BI18" s="115"/>
      <c r="BJ18" s="115"/>
      <c r="BK18" s="115"/>
      <c r="BL18" s="115"/>
      <c r="BM18" s="115"/>
      <c r="BN18" s="115"/>
      <c r="BO18" s="115"/>
    </row>
    <row r="19" spans="1:67" ht="70.2" customHeight="1" thickBot="1" x14ac:dyDescent="0.4">
      <c r="A19" s="119"/>
      <c r="B19" s="1378" t="s">
        <v>692</v>
      </c>
      <c r="C19" s="1379" t="s">
        <v>1401</v>
      </c>
      <c r="D19" s="147" t="s">
        <v>683</v>
      </c>
      <c r="E19" s="137">
        <v>0.6</v>
      </c>
      <c r="F19" s="138">
        <v>400</v>
      </c>
      <c r="G19" s="134">
        <v>100</v>
      </c>
      <c r="H19" s="195">
        <v>100</v>
      </c>
      <c r="I19" s="195">
        <v>170</v>
      </c>
      <c r="J19" s="139">
        <f>+G19/F19</f>
        <v>0.25</v>
      </c>
      <c r="K19" s="139">
        <f t="shared" si="17"/>
        <v>0.25</v>
      </c>
      <c r="L19" s="139"/>
      <c r="M19" s="139">
        <f>+(G19/F19)*E19</f>
        <v>0.15</v>
      </c>
      <c r="N19" s="139">
        <f t="shared" si="19"/>
        <v>0.15</v>
      </c>
      <c r="O19" s="139"/>
      <c r="P19" s="134">
        <v>630</v>
      </c>
      <c r="Q19" s="496">
        <v>0</v>
      </c>
      <c r="R19" s="496">
        <v>58</v>
      </c>
      <c r="S19" s="496">
        <v>16</v>
      </c>
      <c r="T19" s="496">
        <v>0</v>
      </c>
      <c r="U19" s="496">
        <v>0</v>
      </c>
      <c r="V19" s="134">
        <f t="shared" si="20"/>
        <v>74</v>
      </c>
      <c r="W19" s="134">
        <f t="shared" si="28"/>
        <v>704</v>
      </c>
      <c r="X19" s="496">
        <v>0</v>
      </c>
      <c r="Y19" s="496">
        <v>0</v>
      </c>
      <c r="Z19" s="134"/>
      <c r="AA19" s="134"/>
      <c r="AB19" s="134">
        <f t="shared" si="21"/>
        <v>0</v>
      </c>
      <c r="AC19" s="156">
        <v>1</v>
      </c>
      <c r="AD19" s="156">
        <f t="shared" si="22"/>
        <v>0.74</v>
      </c>
      <c r="AE19" s="156">
        <f>+AB19/I19</f>
        <v>0</v>
      </c>
      <c r="AF19" s="156">
        <f>+AC19*E19</f>
        <v>0.6</v>
      </c>
      <c r="AG19" s="156">
        <f t="shared" si="24"/>
        <v>0.44400000000000001</v>
      </c>
      <c r="AH19" s="156">
        <f t="shared" si="25"/>
        <v>0</v>
      </c>
      <c r="AI19" s="156">
        <v>1</v>
      </c>
      <c r="AJ19" s="156">
        <v>1</v>
      </c>
      <c r="AK19" s="156">
        <v>1</v>
      </c>
      <c r="AL19" s="156">
        <f>+AI19*E19</f>
        <v>0.6</v>
      </c>
      <c r="AM19" s="156">
        <f>+AJ19*E19</f>
        <v>0.6</v>
      </c>
      <c r="AN19" s="156">
        <f t="shared" si="27"/>
        <v>0.6</v>
      </c>
      <c r="AO19" s="559" t="s">
        <v>1859</v>
      </c>
      <c r="AP19" s="599" t="s">
        <v>1878</v>
      </c>
      <c r="AQ19" s="766" t="s">
        <v>1989</v>
      </c>
      <c r="AR19" s="765" t="s">
        <v>1588</v>
      </c>
      <c r="AS19" s="765" t="s">
        <v>2107</v>
      </c>
      <c r="AT19" s="837" t="s">
        <v>2139</v>
      </c>
      <c r="AU19" s="765" t="s">
        <v>2196</v>
      </c>
      <c r="AV19" s="765" t="s">
        <v>1887</v>
      </c>
      <c r="AW19" s="765" t="s">
        <v>2294</v>
      </c>
      <c r="AX19" s="115"/>
      <c r="AY19" s="115"/>
      <c r="AZ19" s="115"/>
      <c r="BA19" s="115"/>
      <c r="BB19" s="115"/>
      <c r="BC19" s="115"/>
      <c r="BD19" s="115"/>
      <c r="BE19" s="115"/>
      <c r="BF19" s="115"/>
      <c r="BG19" s="115"/>
      <c r="BH19" s="115"/>
      <c r="BI19" s="115"/>
      <c r="BJ19" s="115"/>
      <c r="BK19" s="115"/>
      <c r="BL19" s="115"/>
      <c r="BM19" s="115"/>
      <c r="BN19" s="115"/>
      <c r="BO19" s="115"/>
    </row>
    <row r="20" spans="1:67" ht="124.2" customHeight="1" thickBot="1" x14ac:dyDescent="0.4">
      <c r="A20" s="119"/>
      <c r="B20" s="1378" t="s">
        <v>693</v>
      </c>
      <c r="C20" s="1379" t="s">
        <v>1402</v>
      </c>
      <c r="D20" s="147" t="s">
        <v>683</v>
      </c>
      <c r="E20" s="137">
        <v>0.2</v>
      </c>
      <c r="F20" s="138">
        <v>4</v>
      </c>
      <c r="G20" s="134">
        <v>1</v>
      </c>
      <c r="H20" s="134">
        <v>0.5</v>
      </c>
      <c r="I20" s="134">
        <v>0.5</v>
      </c>
      <c r="J20" s="139">
        <f>+G20/F20</f>
        <v>0.25</v>
      </c>
      <c r="K20" s="139">
        <f t="shared" si="17"/>
        <v>0.125</v>
      </c>
      <c r="L20" s="139"/>
      <c r="M20" s="139">
        <f>+(G20/F20)*E20</f>
        <v>0.05</v>
      </c>
      <c r="N20" s="139">
        <f t="shared" si="19"/>
        <v>2.5000000000000001E-2</v>
      </c>
      <c r="O20" s="139"/>
      <c r="P20" s="134">
        <v>1</v>
      </c>
      <c r="Q20" s="496">
        <v>0</v>
      </c>
      <c r="R20" s="496">
        <v>0.5</v>
      </c>
      <c r="S20" s="496">
        <v>0</v>
      </c>
      <c r="T20" s="496">
        <v>0</v>
      </c>
      <c r="U20" s="496">
        <v>0</v>
      </c>
      <c r="V20" s="134">
        <f>+Q20+R20+S20+T20+U20</f>
        <v>0.5</v>
      </c>
      <c r="W20" s="134">
        <f>+V20+P20+AB20</f>
        <v>1.5</v>
      </c>
      <c r="X20" s="496">
        <v>0</v>
      </c>
      <c r="Y20" s="496">
        <v>0</v>
      </c>
      <c r="Z20" s="134"/>
      <c r="AA20" s="134"/>
      <c r="AB20" s="134">
        <f t="shared" si="21"/>
        <v>0</v>
      </c>
      <c r="AC20" s="156">
        <f>+(P20/G20)</f>
        <v>1</v>
      </c>
      <c r="AD20" s="156">
        <f t="shared" si="22"/>
        <v>1</v>
      </c>
      <c r="AE20" s="156">
        <f t="shared" si="23"/>
        <v>0</v>
      </c>
      <c r="AF20" s="156">
        <f>+AC20*E20</f>
        <v>0.2</v>
      </c>
      <c r="AG20" s="156">
        <f t="shared" si="24"/>
        <v>0.2</v>
      </c>
      <c r="AH20" s="156">
        <f t="shared" si="25"/>
        <v>0</v>
      </c>
      <c r="AI20" s="156">
        <f>+P20/F20</f>
        <v>0.25</v>
      </c>
      <c r="AJ20" s="156">
        <v>1</v>
      </c>
      <c r="AK20" s="156">
        <v>1</v>
      </c>
      <c r="AL20" s="156">
        <f>+AI20*E20</f>
        <v>0.05</v>
      </c>
      <c r="AM20" s="139">
        <f>+AJ20*E20</f>
        <v>0.2</v>
      </c>
      <c r="AN20" s="139">
        <f t="shared" si="27"/>
        <v>0.2</v>
      </c>
      <c r="AO20" s="521" t="s">
        <v>1844</v>
      </c>
      <c r="AP20" s="599" t="s">
        <v>1878</v>
      </c>
      <c r="AQ20" s="766" t="s">
        <v>1989</v>
      </c>
      <c r="AR20" s="765" t="s">
        <v>1588</v>
      </c>
      <c r="AS20" s="765" t="s">
        <v>2107</v>
      </c>
      <c r="AT20" s="837" t="s">
        <v>2139</v>
      </c>
      <c r="AU20" s="599" t="s">
        <v>2213</v>
      </c>
      <c r="AV20" s="765" t="s">
        <v>1887</v>
      </c>
      <c r="AW20" s="765" t="s">
        <v>2294</v>
      </c>
      <c r="AX20" s="115"/>
      <c r="AY20" s="115"/>
      <c r="AZ20" s="115"/>
      <c r="BA20" s="115"/>
      <c r="BB20" s="115"/>
      <c r="BC20" s="115"/>
      <c r="BD20" s="115"/>
      <c r="BE20" s="115"/>
      <c r="BF20" s="115"/>
      <c r="BG20" s="115"/>
      <c r="BH20" s="115"/>
      <c r="BI20" s="115"/>
      <c r="BJ20" s="115"/>
      <c r="BK20" s="115"/>
      <c r="BL20" s="115"/>
      <c r="BM20" s="115"/>
      <c r="BN20" s="115"/>
      <c r="BO20" s="115"/>
    </row>
    <row r="21" spans="1:67" ht="42.75" customHeight="1" thickBot="1" x14ac:dyDescent="0.4">
      <c r="A21" s="119"/>
      <c r="B21" s="1376" t="s">
        <v>1700</v>
      </c>
      <c r="C21" s="1377"/>
      <c r="D21" s="147"/>
      <c r="E21" s="130">
        <v>0.1</v>
      </c>
      <c r="F21" s="138"/>
      <c r="G21" s="134"/>
      <c r="H21" s="134"/>
      <c r="I21" s="134"/>
      <c r="J21" s="133">
        <f>+AVERAGE(J22:J23)</f>
        <v>0.13416666666666666</v>
      </c>
      <c r="K21" s="133">
        <f>+AVERAGE(K22:K23)</f>
        <v>0.15833333333333333</v>
      </c>
      <c r="L21" s="133">
        <f>+AVERAGE(L22:L23)</f>
        <v>0.15833333333333333</v>
      </c>
      <c r="M21" s="133">
        <f>+M22+M23</f>
        <v>0.15733333333333333</v>
      </c>
      <c r="N21" s="133">
        <f>+N22+N23</f>
        <v>0.17666666666666667</v>
      </c>
      <c r="O21" s="133"/>
      <c r="P21" s="134"/>
      <c r="Q21" s="134"/>
      <c r="R21" s="134"/>
      <c r="S21" s="134"/>
      <c r="T21" s="134"/>
      <c r="U21" s="690"/>
      <c r="V21" s="134"/>
      <c r="W21" s="134"/>
      <c r="X21" s="134"/>
      <c r="Y21" s="134"/>
      <c r="Z21" s="134"/>
      <c r="AA21" s="134"/>
      <c r="AB21" s="134"/>
      <c r="AC21" s="154">
        <f>+AVERAGE(AC22:AC23)</f>
        <v>1</v>
      </c>
      <c r="AD21" s="154">
        <f>+AVERAGE(AD22:AD23)</f>
        <v>1</v>
      </c>
      <c r="AE21" s="154">
        <f>+AVERAGE(AE22:AE23)</f>
        <v>0.76666666666666661</v>
      </c>
      <c r="AF21" s="154">
        <f>+(AF22+AF23)*E21</f>
        <v>0.1</v>
      </c>
      <c r="AG21" s="154">
        <f>+(AG22+AG23)*E21</f>
        <v>0.1</v>
      </c>
      <c r="AH21" s="154">
        <f>+(AH22+AH23)*E21</f>
        <v>7.1999999999999995E-2</v>
      </c>
      <c r="AI21" s="133">
        <f>+AVERAGE(AI22:AI23)</f>
        <v>0.22916666666666669</v>
      </c>
      <c r="AJ21" s="133">
        <v>0.55159033078880404</v>
      </c>
      <c r="AK21" s="133">
        <f>+AVERAGE(AK22:AK23)</f>
        <v>0.90833333333333333</v>
      </c>
      <c r="AL21" s="133">
        <f>+(AL22+AL23)*E21</f>
        <v>2.7000000000000003E-2</v>
      </c>
      <c r="AM21" s="133">
        <f>+(AM22+AM23)</f>
        <v>0.5779389312977099</v>
      </c>
      <c r="AN21" s="133">
        <f>+(AN22+AN23)</f>
        <v>0.89</v>
      </c>
      <c r="AO21" s="560"/>
      <c r="AP21" s="127"/>
      <c r="AQ21" s="127"/>
      <c r="AR21" s="127"/>
      <c r="AS21" s="127"/>
      <c r="AT21" s="564"/>
      <c r="AU21" s="127"/>
      <c r="AV21" s="127"/>
      <c r="AW21" s="121"/>
      <c r="AX21" s="115"/>
      <c r="AY21" s="115"/>
      <c r="AZ21" s="115"/>
      <c r="BA21" s="115"/>
      <c r="BB21" s="115"/>
      <c r="BC21" s="115"/>
      <c r="BD21" s="115"/>
      <c r="BE21" s="115"/>
      <c r="BF21" s="115"/>
      <c r="BG21" s="115"/>
      <c r="BH21" s="115"/>
      <c r="BI21" s="115"/>
      <c r="BJ21" s="115"/>
      <c r="BK21" s="115"/>
      <c r="BL21" s="115"/>
      <c r="BM21" s="115"/>
      <c r="BN21" s="115"/>
      <c r="BO21" s="115"/>
    </row>
    <row r="22" spans="1:67" ht="60" customHeight="1" thickBot="1" x14ac:dyDescent="0.4">
      <c r="A22" s="119"/>
      <c r="B22" s="1378" t="s">
        <v>694</v>
      </c>
      <c r="C22" s="1379" t="s">
        <v>1403</v>
      </c>
      <c r="D22" s="151" t="s">
        <v>696</v>
      </c>
      <c r="E22" s="152">
        <v>0.6</v>
      </c>
      <c r="F22" s="138">
        <v>60</v>
      </c>
      <c r="G22" s="134">
        <v>15</v>
      </c>
      <c r="H22" s="134">
        <v>15</v>
      </c>
      <c r="I22" s="134">
        <v>15</v>
      </c>
      <c r="J22" s="139">
        <f>+G22/F22</f>
        <v>0.25</v>
      </c>
      <c r="K22" s="139">
        <f t="shared" ref="K22:K23" si="29">+H22/F22</f>
        <v>0.25</v>
      </c>
      <c r="L22" s="139">
        <f t="shared" ref="L22:L23" si="30">+I22/F22</f>
        <v>0.25</v>
      </c>
      <c r="M22" s="139">
        <f>+(G22/F22)*E22</f>
        <v>0.15</v>
      </c>
      <c r="N22" s="139">
        <f t="shared" ref="N22:N23" si="31">+(H22/F22)*E22</f>
        <v>0.15</v>
      </c>
      <c r="O22" s="139"/>
      <c r="P22" s="134">
        <v>26</v>
      </c>
      <c r="Q22" s="496">
        <v>4</v>
      </c>
      <c r="R22" s="496">
        <v>3</v>
      </c>
      <c r="S22" s="496">
        <v>4</v>
      </c>
      <c r="T22" s="496">
        <v>2</v>
      </c>
      <c r="U22" s="496">
        <v>2</v>
      </c>
      <c r="V22" s="134">
        <f t="shared" ref="V22:V31" si="32">+Q22+R22+S22+T22+U22</f>
        <v>15</v>
      </c>
      <c r="W22" s="134">
        <f>+V22+P22+AB22</f>
        <v>49</v>
      </c>
      <c r="X22" s="496">
        <v>4</v>
      </c>
      <c r="Y22" s="134">
        <v>4</v>
      </c>
      <c r="Z22" s="134"/>
      <c r="AA22" s="134"/>
      <c r="AB22" s="134">
        <f t="shared" ref="AB22:AB23" si="33">+X22+Y22+Z22+AA22</f>
        <v>8</v>
      </c>
      <c r="AC22" s="156">
        <v>1</v>
      </c>
      <c r="AD22" s="156">
        <f t="shared" ref="AD22:AD23" si="34">+V22/H22</f>
        <v>1</v>
      </c>
      <c r="AE22" s="156">
        <f t="shared" ref="AE22" si="35">+AB22/I22</f>
        <v>0.53333333333333333</v>
      </c>
      <c r="AF22" s="156">
        <f>+AC22*E22</f>
        <v>0.6</v>
      </c>
      <c r="AG22" s="156">
        <f t="shared" ref="AG22:AG23" si="36">+AD22*E22</f>
        <v>0.6</v>
      </c>
      <c r="AH22" s="156">
        <f t="shared" si="25"/>
        <v>0.32</v>
      </c>
      <c r="AI22" s="156">
        <f>+P22/F22</f>
        <v>0.43333333333333335</v>
      </c>
      <c r="AJ22" s="156">
        <v>0.68333333333333335</v>
      </c>
      <c r="AK22" s="156">
        <f t="shared" si="26"/>
        <v>0.81666666666666665</v>
      </c>
      <c r="AL22" s="141">
        <f>+AI22*E22</f>
        <v>0.26</v>
      </c>
      <c r="AM22" s="141">
        <f>+AJ22*E22</f>
        <v>0.41</v>
      </c>
      <c r="AN22" s="141">
        <f t="shared" si="27"/>
        <v>0.49</v>
      </c>
      <c r="AO22" s="559" t="s">
        <v>1859</v>
      </c>
      <c r="AP22" s="766" t="s">
        <v>1886</v>
      </c>
      <c r="AQ22" s="765" t="s">
        <v>1989</v>
      </c>
      <c r="AR22" s="765" t="s">
        <v>2010</v>
      </c>
      <c r="AS22" s="765" t="s">
        <v>2107</v>
      </c>
      <c r="AT22" s="837" t="s">
        <v>2139</v>
      </c>
      <c r="AU22" s="765" t="s">
        <v>2196</v>
      </c>
      <c r="AV22" s="765" t="s">
        <v>1887</v>
      </c>
      <c r="AW22" s="765" t="s">
        <v>2294</v>
      </c>
      <c r="AX22" s="115"/>
      <c r="AY22" s="115"/>
      <c r="AZ22" s="115"/>
      <c r="BA22" s="115"/>
      <c r="BB22" s="115"/>
      <c r="BC22" s="115"/>
      <c r="BD22" s="115"/>
      <c r="BE22" s="115"/>
      <c r="BF22" s="115"/>
      <c r="BG22" s="115"/>
      <c r="BH22" s="115"/>
      <c r="BI22" s="115"/>
      <c r="BJ22" s="115"/>
      <c r="BK22" s="115"/>
      <c r="BL22" s="115"/>
      <c r="BM22" s="115"/>
      <c r="BN22" s="115"/>
      <c r="BO22" s="115"/>
    </row>
    <row r="23" spans="1:67" ht="73.2" customHeight="1" thickBot="1" x14ac:dyDescent="0.4">
      <c r="A23" s="119"/>
      <c r="B23" s="1378" t="s">
        <v>695</v>
      </c>
      <c r="C23" s="1379" t="s">
        <v>1404</v>
      </c>
      <c r="D23" s="151" t="s">
        <v>696</v>
      </c>
      <c r="E23" s="152">
        <v>0.4</v>
      </c>
      <c r="F23" s="138">
        <v>1200</v>
      </c>
      <c r="G23" s="134">
        <v>22</v>
      </c>
      <c r="H23" s="134">
        <v>80</v>
      </c>
      <c r="I23" s="134">
        <v>80</v>
      </c>
      <c r="J23" s="139">
        <f>+G23/F23</f>
        <v>1.8333333333333333E-2</v>
      </c>
      <c r="K23" s="139">
        <f t="shared" si="29"/>
        <v>6.6666666666666666E-2</v>
      </c>
      <c r="L23" s="139">
        <f t="shared" si="30"/>
        <v>6.6666666666666666E-2</v>
      </c>
      <c r="M23" s="139">
        <f>+(G23/F23)*E23</f>
        <v>7.3333333333333341E-3</v>
      </c>
      <c r="N23" s="139">
        <f t="shared" si="31"/>
        <v>2.6666666666666668E-2</v>
      </c>
      <c r="O23" s="139"/>
      <c r="P23" s="134">
        <v>30</v>
      </c>
      <c r="Q23" s="496">
        <v>25</v>
      </c>
      <c r="R23" s="496">
        <v>15</v>
      </c>
      <c r="S23" s="496">
        <v>0</v>
      </c>
      <c r="T23" s="496">
        <v>31</v>
      </c>
      <c r="U23" s="496">
        <v>9</v>
      </c>
      <c r="V23" s="134">
        <f>+Q23+R23+S23+T23+U23</f>
        <v>80</v>
      </c>
      <c r="W23" s="134">
        <f>+V23+P23+AB23</f>
        <v>262</v>
      </c>
      <c r="X23" s="496">
        <v>40</v>
      </c>
      <c r="Y23" s="134">
        <v>112</v>
      </c>
      <c r="Z23" s="134"/>
      <c r="AA23" s="134"/>
      <c r="AB23" s="134">
        <f t="shared" si="33"/>
        <v>152</v>
      </c>
      <c r="AC23" s="156">
        <v>1</v>
      </c>
      <c r="AD23" s="156">
        <f t="shared" si="34"/>
        <v>1</v>
      </c>
      <c r="AE23" s="156">
        <v>1</v>
      </c>
      <c r="AF23" s="156">
        <f>+AC23*E23</f>
        <v>0.4</v>
      </c>
      <c r="AG23" s="156">
        <f t="shared" si="36"/>
        <v>0.4</v>
      </c>
      <c r="AH23" s="156">
        <f t="shared" si="25"/>
        <v>0.4</v>
      </c>
      <c r="AI23" s="156">
        <f>+P23/F23</f>
        <v>2.5000000000000001E-2</v>
      </c>
      <c r="AJ23" s="156">
        <v>0.41984732824427479</v>
      </c>
      <c r="AK23" s="156">
        <f>+W23/262</f>
        <v>1</v>
      </c>
      <c r="AL23" s="141">
        <f>+AI23*E23</f>
        <v>1.0000000000000002E-2</v>
      </c>
      <c r="AM23" s="141">
        <f>+AJ23*E23</f>
        <v>0.16793893129770993</v>
      </c>
      <c r="AN23" s="141">
        <f t="shared" si="27"/>
        <v>0.4</v>
      </c>
      <c r="AO23" s="521" t="s">
        <v>1844</v>
      </c>
      <c r="AP23" s="766" t="s">
        <v>1948</v>
      </c>
      <c r="AQ23" s="765" t="s">
        <v>1989</v>
      </c>
      <c r="AR23" s="765" t="s">
        <v>2010</v>
      </c>
      <c r="AS23" s="765" t="s">
        <v>2107</v>
      </c>
      <c r="AT23" s="837" t="s">
        <v>2139</v>
      </c>
      <c r="AU23" s="765" t="s">
        <v>2196</v>
      </c>
      <c r="AV23" s="765" t="s">
        <v>1887</v>
      </c>
      <c r="AW23" s="765" t="s">
        <v>2294</v>
      </c>
      <c r="AX23" s="115"/>
      <c r="AY23" s="115"/>
      <c r="AZ23" s="115"/>
      <c r="BA23" s="115"/>
      <c r="BB23" s="115"/>
      <c r="BC23" s="115"/>
      <c r="BD23" s="115"/>
      <c r="BE23" s="115"/>
      <c r="BF23" s="115"/>
      <c r="BG23" s="115"/>
      <c r="BH23" s="115"/>
      <c r="BI23" s="115"/>
      <c r="BJ23" s="115"/>
      <c r="BK23" s="115"/>
      <c r="BL23" s="115"/>
      <c r="BM23" s="115"/>
      <c r="BN23" s="115"/>
      <c r="BO23" s="115"/>
    </row>
    <row r="24" spans="1:67" ht="102.6" customHeight="1" thickBot="1" x14ac:dyDescent="0.4">
      <c r="A24" s="119"/>
      <c r="B24" s="1376" t="s">
        <v>1701</v>
      </c>
      <c r="C24" s="1377"/>
      <c r="D24" s="147"/>
      <c r="E24" s="130">
        <v>0.3</v>
      </c>
      <c r="F24" s="149"/>
      <c r="G24" s="127"/>
      <c r="H24" s="127"/>
      <c r="I24" s="127"/>
      <c r="J24" s="133">
        <f>+AVERAGE(J25:J27)</f>
        <v>0.16666666666666666</v>
      </c>
      <c r="K24" s="133">
        <f>+AVERAGE(K25:K27)</f>
        <v>0.41111111111111115</v>
      </c>
      <c r="L24" s="133">
        <f>+AVERAGE(L25:L27)</f>
        <v>0.45</v>
      </c>
      <c r="M24" s="133">
        <f>+M25+M26+M27</f>
        <v>4.9999999999999996E-2</v>
      </c>
      <c r="N24" s="133">
        <f>+N25+N26+N27</f>
        <v>0.43999999999999995</v>
      </c>
      <c r="O24" s="133"/>
      <c r="P24" s="132"/>
      <c r="Q24" s="132"/>
      <c r="R24" s="132"/>
      <c r="S24" s="132"/>
      <c r="T24" s="132"/>
      <c r="U24" s="836"/>
      <c r="V24" s="134"/>
      <c r="W24" s="134"/>
      <c r="X24" s="134"/>
      <c r="Y24" s="134"/>
      <c r="Z24" s="134"/>
      <c r="AA24" s="134"/>
      <c r="AB24" s="134"/>
      <c r="AC24" s="154">
        <f>+AVERAGE(AC25:AC27)</f>
        <v>1</v>
      </c>
      <c r="AD24" s="154">
        <f>+AVERAGE(AD25:AD27)</f>
        <v>0.73333333333333339</v>
      </c>
      <c r="AE24" s="154">
        <f>+AVERAGE(AE25:AE27)</f>
        <v>0.5</v>
      </c>
      <c r="AF24" s="154">
        <f>+(AF25+AF26+AF27)*E24</f>
        <v>0.09</v>
      </c>
      <c r="AG24" s="154">
        <f>+(AG25+AG26+AG27)*E24</f>
        <v>0.156</v>
      </c>
      <c r="AH24" s="154">
        <f>+(AH25+AH26+AH27)*E24</f>
        <v>0.105</v>
      </c>
      <c r="AI24" s="133">
        <f>+AVERAGE(AI25:AI29)*0.33</f>
        <v>0.10725000000000001</v>
      </c>
      <c r="AJ24" s="133">
        <v>0.56099999999999994</v>
      </c>
      <c r="AK24" s="133">
        <f>+(AK25*0.33)+(AK26*0.33)+(AK27*0.33)</f>
        <v>0.627</v>
      </c>
      <c r="AL24" s="133">
        <f>+(AL25+AL26+AL27)*E24</f>
        <v>4.4999999999999998E-2</v>
      </c>
      <c r="AM24" s="133">
        <f>+(AM25+AM26+AM27)</f>
        <v>0.42</v>
      </c>
      <c r="AN24" s="133">
        <f>+(AN25+AN26+AN27)</f>
        <v>0.44</v>
      </c>
      <c r="AO24" s="560"/>
      <c r="AP24" s="127"/>
      <c r="AQ24" s="127"/>
      <c r="AR24" s="127"/>
      <c r="AS24" s="127"/>
      <c r="AT24" s="564"/>
      <c r="AU24" s="127"/>
      <c r="AV24" s="127"/>
      <c r="AW24" s="121"/>
      <c r="AX24" s="115"/>
      <c r="AY24" s="115"/>
      <c r="AZ24" s="115"/>
      <c r="BA24" s="115"/>
      <c r="BB24" s="115"/>
      <c r="BC24" s="115"/>
      <c r="BD24" s="115"/>
      <c r="BE24" s="115"/>
      <c r="BF24" s="115"/>
      <c r="BG24" s="115"/>
      <c r="BH24" s="115"/>
      <c r="BI24" s="115"/>
      <c r="BJ24" s="115"/>
      <c r="BK24" s="115"/>
      <c r="BL24" s="115"/>
      <c r="BM24" s="115"/>
      <c r="BN24" s="115"/>
      <c r="BO24" s="115"/>
    </row>
    <row r="25" spans="1:67" ht="99" customHeight="1" thickBot="1" x14ac:dyDescent="0.4">
      <c r="A25" s="119"/>
      <c r="B25" s="1378" t="s">
        <v>697</v>
      </c>
      <c r="C25" s="1379" t="s">
        <v>1405</v>
      </c>
      <c r="D25" s="151" t="s">
        <v>698</v>
      </c>
      <c r="E25" s="152">
        <v>0.3</v>
      </c>
      <c r="F25" s="138">
        <v>60</v>
      </c>
      <c r="G25" s="134">
        <v>10</v>
      </c>
      <c r="H25" s="134">
        <v>20</v>
      </c>
      <c r="I25" s="134">
        <v>10</v>
      </c>
      <c r="J25" s="139">
        <f>+G25/F25</f>
        <v>0.16666666666666666</v>
      </c>
      <c r="K25" s="139">
        <f t="shared" ref="K25:K27" si="37">+H25/F25</f>
        <v>0.33333333333333331</v>
      </c>
      <c r="L25" s="139"/>
      <c r="M25" s="139">
        <f>+(G25/F25)*E25</f>
        <v>4.9999999999999996E-2</v>
      </c>
      <c r="N25" s="139">
        <f t="shared" ref="N25:N27" si="38">+(H25/F25)*E25</f>
        <v>9.9999999999999992E-2</v>
      </c>
      <c r="O25" s="139"/>
      <c r="P25" s="134">
        <v>30</v>
      </c>
      <c r="Q25" s="496">
        <v>14</v>
      </c>
      <c r="R25" s="496">
        <v>2</v>
      </c>
      <c r="S25" s="496">
        <v>16</v>
      </c>
      <c r="T25" s="496">
        <v>0</v>
      </c>
      <c r="U25" s="496">
        <v>0</v>
      </c>
      <c r="V25" s="134">
        <f t="shared" si="32"/>
        <v>32</v>
      </c>
      <c r="W25" s="134">
        <f>+V25+P25+AB25</f>
        <v>87</v>
      </c>
      <c r="X25" s="496">
        <v>12</v>
      </c>
      <c r="Y25" s="496">
        <v>13</v>
      </c>
      <c r="Z25" s="134"/>
      <c r="AA25" s="134"/>
      <c r="AB25" s="134">
        <f t="shared" ref="AB25:AB27" si="39">+X25+Y25+Z25+AA25</f>
        <v>25</v>
      </c>
      <c r="AC25" s="156">
        <v>1</v>
      </c>
      <c r="AD25" s="156">
        <v>1</v>
      </c>
      <c r="AE25" s="156">
        <v>1</v>
      </c>
      <c r="AF25" s="156">
        <f>+AC25*E25</f>
        <v>0.3</v>
      </c>
      <c r="AG25" s="156">
        <f t="shared" ref="AG25:AG27" si="40">+AD25*E25</f>
        <v>0.3</v>
      </c>
      <c r="AH25" s="156">
        <f t="shared" si="25"/>
        <v>0.3</v>
      </c>
      <c r="AI25" s="156">
        <f>+P25/F25</f>
        <v>0.5</v>
      </c>
      <c r="AJ25" s="697">
        <v>1</v>
      </c>
      <c r="AK25" s="697">
        <v>1</v>
      </c>
      <c r="AL25" s="156">
        <f>+AI25*E25</f>
        <v>0.15</v>
      </c>
      <c r="AM25" s="156">
        <f>+AJ25*E25</f>
        <v>0.3</v>
      </c>
      <c r="AN25" s="156">
        <f t="shared" si="27"/>
        <v>0.3</v>
      </c>
      <c r="AO25" s="521" t="s">
        <v>1844</v>
      </c>
      <c r="AP25" s="127"/>
      <c r="AQ25" s="766" t="s">
        <v>1989</v>
      </c>
      <c r="AR25" s="765" t="s">
        <v>2010</v>
      </c>
      <c r="AS25" s="127"/>
      <c r="AT25" s="782" t="s">
        <v>2172</v>
      </c>
      <c r="AU25" s="765" t="s">
        <v>2196</v>
      </c>
      <c r="AV25" s="765" t="s">
        <v>1887</v>
      </c>
      <c r="AW25" s="765" t="s">
        <v>2294</v>
      </c>
      <c r="AX25" s="115"/>
      <c r="AY25" s="115"/>
      <c r="AZ25" s="115"/>
      <c r="BA25" s="115"/>
      <c r="BB25" s="115"/>
      <c r="BC25" s="115"/>
      <c r="BD25" s="115"/>
      <c r="BE25" s="115"/>
      <c r="BF25" s="115"/>
      <c r="BG25" s="115"/>
      <c r="BH25" s="115"/>
      <c r="BI25" s="115"/>
      <c r="BJ25" s="115"/>
      <c r="BK25" s="115"/>
      <c r="BL25" s="115"/>
      <c r="BM25" s="115"/>
      <c r="BN25" s="115"/>
      <c r="BO25" s="115"/>
    </row>
    <row r="26" spans="1:67" ht="116.4" customHeight="1" thickBot="1" x14ac:dyDescent="0.4">
      <c r="A26" s="119"/>
      <c r="B26" s="1378" t="s">
        <v>699</v>
      </c>
      <c r="C26" s="1379" t="s">
        <v>1406</v>
      </c>
      <c r="D26" s="147" t="s">
        <v>700</v>
      </c>
      <c r="E26" s="137">
        <v>0.6</v>
      </c>
      <c r="F26" s="138">
        <v>2</v>
      </c>
      <c r="G26" s="134">
        <v>0</v>
      </c>
      <c r="H26" s="134">
        <v>1</v>
      </c>
      <c r="I26" s="134">
        <v>1</v>
      </c>
      <c r="J26" s="139"/>
      <c r="K26" s="139">
        <f t="shared" si="37"/>
        <v>0.5</v>
      </c>
      <c r="L26" s="139">
        <f t="shared" ref="L26:L27" si="41">+I26/F26</f>
        <v>0.5</v>
      </c>
      <c r="M26" s="139"/>
      <c r="N26" s="139">
        <f t="shared" si="38"/>
        <v>0.3</v>
      </c>
      <c r="O26" s="139"/>
      <c r="P26" s="134"/>
      <c r="Q26" s="496">
        <v>0</v>
      </c>
      <c r="R26" s="496">
        <v>0</v>
      </c>
      <c r="S26" s="496">
        <v>0</v>
      </c>
      <c r="T26" s="496">
        <v>0</v>
      </c>
      <c r="U26" s="496">
        <v>0.2</v>
      </c>
      <c r="V26" s="134">
        <f t="shared" si="32"/>
        <v>0.2</v>
      </c>
      <c r="W26" s="134">
        <f t="shared" ref="W26" si="42">+V26+P26+AB26</f>
        <v>0.2</v>
      </c>
      <c r="X26" s="496">
        <v>0</v>
      </c>
      <c r="Y26" s="496">
        <v>0</v>
      </c>
      <c r="Z26" s="134"/>
      <c r="AA26" s="134"/>
      <c r="AB26" s="134">
        <f>+X26+Y26+Z26+AA26</f>
        <v>0</v>
      </c>
      <c r="AC26" s="156"/>
      <c r="AD26" s="156">
        <f t="shared" ref="AD26" si="43">+V26/H26</f>
        <v>0.2</v>
      </c>
      <c r="AE26" s="156">
        <f t="shared" ref="AE26:AE27" si="44">+AB26/I26</f>
        <v>0</v>
      </c>
      <c r="AF26" s="156"/>
      <c r="AG26" s="156">
        <f t="shared" si="40"/>
        <v>0.12</v>
      </c>
      <c r="AH26" s="156">
        <f t="shared" si="25"/>
        <v>0</v>
      </c>
      <c r="AI26" s="156"/>
      <c r="AJ26" s="156">
        <v>0.1</v>
      </c>
      <c r="AK26" s="156">
        <f t="shared" ref="AK26:AK32" si="45">+W26/F26</f>
        <v>0.1</v>
      </c>
      <c r="AL26" s="156"/>
      <c r="AM26" s="156">
        <f>+AJ26*E26</f>
        <v>0.06</v>
      </c>
      <c r="AN26" s="156">
        <f>+AK26*E26</f>
        <v>0.06</v>
      </c>
      <c r="AO26" s="521" t="s">
        <v>1844</v>
      </c>
      <c r="AP26" s="599" t="s">
        <v>1912</v>
      </c>
      <c r="AQ26" s="766" t="s">
        <v>1989</v>
      </c>
      <c r="AR26" s="765" t="s">
        <v>2010</v>
      </c>
      <c r="AS26" s="765" t="s">
        <v>2107</v>
      </c>
      <c r="AT26" s="837" t="s">
        <v>2139</v>
      </c>
      <c r="AU26" s="765" t="s">
        <v>2196</v>
      </c>
      <c r="AV26" s="765" t="s">
        <v>1887</v>
      </c>
      <c r="AW26" s="765" t="s">
        <v>2294</v>
      </c>
      <c r="AX26" s="115"/>
      <c r="AY26" s="115"/>
      <c r="AZ26" s="115"/>
      <c r="BA26" s="115"/>
      <c r="BB26" s="115"/>
      <c r="BC26" s="115"/>
      <c r="BD26" s="115"/>
      <c r="BE26" s="115"/>
      <c r="BF26" s="115"/>
      <c r="BG26" s="115"/>
      <c r="BH26" s="115"/>
      <c r="BI26" s="115"/>
      <c r="BJ26" s="115"/>
      <c r="BK26" s="115"/>
      <c r="BL26" s="115"/>
      <c r="BM26" s="115"/>
      <c r="BN26" s="115"/>
      <c r="BO26" s="115"/>
    </row>
    <row r="27" spans="1:67" ht="108" customHeight="1" thickBot="1" x14ac:dyDescent="0.4">
      <c r="A27" s="119"/>
      <c r="B27" s="1378" t="s">
        <v>701</v>
      </c>
      <c r="C27" s="1379" t="s">
        <v>1407</v>
      </c>
      <c r="D27" s="147" t="s">
        <v>1547</v>
      </c>
      <c r="E27" s="137">
        <v>0.1</v>
      </c>
      <c r="F27" s="138">
        <v>5</v>
      </c>
      <c r="G27" s="134">
        <v>0</v>
      </c>
      <c r="H27" s="134">
        <v>2</v>
      </c>
      <c r="I27" s="134">
        <v>2</v>
      </c>
      <c r="J27" s="139"/>
      <c r="K27" s="139">
        <f t="shared" si="37"/>
        <v>0.4</v>
      </c>
      <c r="L27" s="139">
        <f t="shared" si="41"/>
        <v>0.4</v>
      </c>
      <c r="M27" s="139"/>
      <c r="N27" s="139">
        <f t="shared" si="38"/>
        <v>4.0000000000000008E-2</v>
      </c>
      <c r="O27" s="139"/>
      <c r="P27" s="134"/>
      <c r="Q27" s="496">
        <v>0</v>
      </c>
      <c r="R27" s="496">
        <v>3</v>
      </c>
      <c r="S27" s="496">
        <v>0</v>
      </c>
      <c r="T27" s="496">
        <v>0</v>
      </c>
      <c r="U27" s="496">
        <v>0</v>
      </c>
      <c r="V27" s="134">
        <f t="shared" si="32"/>
        <v>3</v>
      </c>
      <c r="W27" s="134">
        <f>+V27+P27+AB27</f>
        <v>4</v>
      </c>
      <c r="X27" s="496">
        <v>0</v>
      </c>
      <c r="Y27" s="496">
        <v>1</v>
      </c>
      <c r="Z27" s="134"/>
      <c r="AA27" s="134"/>
      <c r="AB27" s="134">
        <f t="shared" si="39"/>
        <v>1</v>
      </c>
      <c r="AC27" s="156"/>
      <c r="AD27" s="156">
        <v>1</v>
      </c>
      <c r="AE27" s="156">
        <f t="shared" si="44"/>
        <v>0.5</v>
      </c>
      <c r="AF27" s="156"/>
      <c r="AG27" s="156">
        <f t="shared" si="40"/>
        <v>0.1</v>
      </c>
      <c r="AH27" s="156">
        <f t="shared" si="25"/>
        <v>0.05</v>
      </c>
      <c r="AI27" s="156"/>
      <c r="AJ27" s="156">
        <v>0.6</v>
      </c>
      <c r="AK27" s="156">
        <f t="shared" si="45"/>
        <v>0.8</v>
      </c>
      <c r="AL27" s="156"/>
      <c r="AM27" s="156">
        <f>+AJ27*E27</f>
        <v>0.06</v>
      </c>
      <c r="AN27" s="156">
        <f t="shared" si="27"/>
        <v>8.0000000000000016E-2</v>
      </c>
      <c r="AO27" s="521" t="s">
        <v>1844</v>
      </c>
      <c r="AP27" s="599" t="s">
        <v>1912</v>
      </c>
      <c r="AQ27" s="127"/>
      <c r="AR27" s="765" t="s">
        <v>2010</v>
      </c>
      <c r="AS27" s="765" t="s">
        <v>2107</v>
      </c>
      <c r="AT27" s="837" t="s">
        <v>2139</v>
      </c>
      <c r="AU27" s="765" t="s">
        <v>2196</v>
      </c>
      <c r="AV27" s="765" t="s">
        <v>1887</v>
      </c>
      <c r="AW27" s="765" t="s">
        <v>2294</v>
      </c>
      <c r="AX27" s="115"/>
      <c r="AY27" s="115"/>
      <c r="AZ27" s="115"/>
      <c r="BA27" s="115"/>
      <c r="BB27" s="115"/>
      <c r="BC27" s="115"/>
      <c r="BD27" s="115"/>
      <c r="BE27" s="115"/>
      <c r="BF27" s="115"/>
      <c r="BG27" s="115"/>
      <c r="BH27" s="115"/>
      <c r="BI27" s="115"/>
      <c r="BJ27" s="115"/>
      <c r="BK27" s="115"/>
      <c r="BL27" s="115"/>
      <c r="BM27" s="115"/>
      <c r="BN27" s="115"/>
      <c r="BO27" s="115"/>
    </row>
    <row r="28" spans="1:67" ht="94.95" customHeight="1" thickBot="1" x14ac:dyDescent="0.4">
      <c r="A28" s="119"/>
      <c r="B28" s="1376" t="s">
        <v>1702</v>
      </c>
      <c r="C28" s="1377"/>
      <c r="D28" s="147"/>
      <c r="E28" s="130">
        <v>0.35</v>
      </c>
      <c r="F28" s="149"/>
      <c r="G28" s="127"/>
      <c r="H28" s="127"/>
      <c r="I28" s="127"/>
      <c r="J28" s="133">
        <f>+AVERAGE(J29:J32)</f>
        <v>0.6</v>
      </c>
      <c r="K28" s="133">
        <f>+AVERAGE(K29:K32)</f>
        <v>0.6</v>
      </c>
      <c r="L28" s="133">
        <f>+AVERAGE(L29:L32)</f>
        <v>0.63333333333333341</v>
      </c>
      <c r="M28" s="133">
        <f>+M29+M30+M31+M32</f>
        <v>0.36</v>
      </c>
      <c r="N28" s="133">
        <f>+N29+N30+N31+N32</f>
        <v>0.49</v>
      </c>
      <c r="O28" s="133"/>
      <c r="P28" s="132"/>
      <c r="Q28" s="132"/>
      <c r="R28" s="132"/>
      <c r="S28" s="132"/>
      <c r="T28" s="132"/>
      <c r="U28" s="836"/>
      <c r="V28" s="134"/>
      <c r="W28" s="134"/>
      <c r="X28" s="134"/>
      <c r="Y28" s="134"/>
      <c r="Z28" s="134"/>
      <c r="AA28" s="134"/>
      <c r="AB28" s="134"/>
      <c r="AC28" s="154">
        <f>+AVERAGE(AC29:AC32)</f>
        <v>1</v>
      </c>
      <c r="AD28" s="154">
        <f>+AVERAGE(AD29:AD32)</f>
        <v>0.75000000000000011</v>
      </c>
      <c r="AE28" s="154">
        <f>+AVERAGE(AE29:AE32)</f>
        <v>0.13636363636363638</v>
      </c>
      <c r="AF28" s="154">
        <f>+(AF29+AF30+AF31+AF32)*E28</f>
        <v>0.21</v>
      </c>
      <c r="AG28" s="154">
        <f>+(AG29+AG30+AG31+AG32)*E28</f>
        <v>0.3115</v>
      </c>
      <c r="AH28" s="154">
        <f>+(AH29+AH30+AH31+AH32)*E28</f>
        <v>2.863636363636364E-2</v>
      </c>
      <c r="AI28" s="133">
        <f>+AVERAGE(AI29:AI32)*0.25</f>
        <v>0.15</v>
      </c>
      <c r="AJ28" s="133">
        <v>0.52500000000000002</v>
      </c>
      <c r="AK28" s="133">
        <f>+AVERAGE(AK29:AK32)</f>
        <v>0.60000000000000009</v>
      </c>
      <c r="AL28" s="133">
        <f>+(AL29+AL30+AL31+AL32)*E28</f>
        <v>0.126</v>
      </c>
      <c r="AM28" s="133">
        <f>+(AM29+AM30+AM31+AM32)</f>
        <v>0.755</v>
      </c>
      <c r="AN28" s="133">
        <f>+(AN29+AN30+AN31+AN32)</f>
        <v>0.8</v>
      </c>
      <c r="AO28" s="560"/>
      <c r="AP28" s="599" t="s">
        <v>1879</v>
      </c>
      <c r="AQ28" s="127"/>
      <c r="AR28" s="127"/>
      <c r="AS28" s="127"/>
      <c r="AT28" s="564"/>
      <c r="AU28" s="127"/>
      <c r="AV28" s="127"/>
      <c r="AW28" s="121"/>
      <c r="AX28" s="115"/>
      <c r="AY28" s="115"/>
      <c r="AZ28" s="115"/>
      <c r="BA28" s="115"/>
      <c r="BB28" s="115"/>
      <c r="BC28" s="115"/>
      <c r="BD28" s="115"/>
      <c r="BE28" s="115"/>
      <c r="BF28" s="115"/>
      <c r="BG28" s="115"/>
      <c r="BH28" s="115"/>
      <c r="BI28" s="115"/>
      <c r="BJ28" s="115"/>
      <c r="BK28" s="115"/>
      <c r="BL28" s="115"/>
      <c r="BM28" s="115"/>
      <c r="BN28" s="115"/>
      <c r="BO28" s="115"/>
    </row>
    <row r="29" spans="1:67" ht="100.2" customHeight="1" thickBot="1" x14ac:dyDescent="0.4">
      <c r="A29" s="119"/>
      <c r="B29" s="1378" t="s">
        <v>702</v>
      </c>
      <c r="C29" s="1379" t="s">
        <v>1408</v>
      </c>
      <c r="D29" s="147" t="s">
        <v>560</v>
      </c>
      <c r="E29" s="137">
        <v>0.15</v>
      </c>
      <c r="F29" s="138">
        <v>1</v>
      </c>
      <c r="H29" s="134">
        <v>0.5</v>
      </c>
      <c r="I29" s="134">
        <v>0.55000000000000004</v>
      </c>
      <c r="J29" s="139"/>
      <c r="K29" s="139">
        <f t="shared" ref="K29:K32" si="46">+H29/F29</f>
        <v>0.5</v>
      </c>
      <c r="L29" s="139">
        <f t="shared" ref="L29:L32" si="47">+I29/F29</f>
        <v>0.55000000000000004</v>
      </c>
      <c r="M29" s="139"/>
      <c r="N29" s="139">
        <f t="shared" ref="N29:N32" si="48">+(H29/F29)*E29</f>
        <v>7.4999999999999997E-2</v>
      </c>
      <c r="O29" s="139"/>
      <c r="P29" s="134"/>
      <c r="Q29" s="496"/>
      <c r="R29" s="496">
        <v>0.1</v>
      </c>
      <c r="S29" s="496">
        <v>0.1</v>
      </c>
      <c r="T29" s="496">
        <v>0.1</v>
      </c>
      <c r="U29" s="496">
        <v>0.15</v>
      </c>
      <c r="V29" s="134">
        <f>+Q29+R29+S29+T29+U29</f>
        <v>0.45000000000000007</v>
      </c>
      <c r="W29" s="134">
        <f>+V29+P29+AB29</f>
        <v>0.60000000000000009</v>
      </c>
      <c r="X29" s="496">
        <v>0.05</v>
      </c>
      <c r="Y29" s="496">
        <v>0.1</v>
      </c>
      <c r="Z29" s="134"/>
      <c r="AA29" s="134"/>
      <c r="AB29" s="134">
        <f t="shared" ref="AB29:AB32" si="49">+X29+Y29+Z29+AA29</f>
        <v>0.15000000000000002</v>
      </c>
      <c r="AC29" s="156"/>
      <c r="AD29" s="156">
        <f t="shared" ref="AD29:AD32" si="50">+V29/H29</f>
        <v>0.90000000000000013</v>
      </c>
      <c r="AE29" s="156">
        <f>+AB29/I29</f>
        <v>0.27272727272727276</v>
      </c>
      <c r="AF29" s="156"/>
      <c r="AG29" s="156">
        <f t="shared" ref="AG29:AG32" si="51">+AD29*E29</f>
        <v>0.13500000000000001</v>
      </c>
      <c r="AH29" s="156">
        <f t="shared" si="25"/>
        <v>4.0909090909090916E-2</v>
      </c>
      <c r="AI29" s="156"/>
      <c r="AJ29" s="156">
        <v>0.45000000000000007</v>
      </c>
      <c r="AK29" s="156">
        <f t="shared" si="45"/>
        <v>0.60000000000000009</v>
      </c>
      <c r="AL29" s="156"/>
      <c r="AM29" s="156">
        <f>+AJ29*E29</f>
        <v>6.7500000000000004E-2</v>
      </c>
      <c r="AN29" s="156">
        <f t="shared" si="27"/>
        <v>9.0000000000000011E-2</v>
      </c>
      <c r="AO29" s="521" t="s">
        <v>1844</v>
      </c>
      <c r="AP29" s="765" t="s">
        <v>1886</v>
      </c>
      <c r="AQ29" s="765" t="s">
        <v>1989</v>
      </c>
      <c r="AR29" s="765" t="s">
        <v>2010</v>
      </c>
      <c r="AS29" s="533" t="s">
        <v>2085</v>
      </c>
      <c r="AT29" s="837" t="s">
        <v>2139</v>
      </c>
      <c r="AU29" s="765" t="s">
        <v>2196</v>
      </c>
      <c r="AV29" s="765" t="s">
        <v>1887</v>
      </c>
      <c r="AW29" s="765" t="s">
        <v>2294</v>
      </c>
      <c r="AX29" s="115"/>
      <c r="AY29" s="115"/>
      <c r="AZ29" s="115"/>
      <c r="BA29" s="115"/>
      <c r="BB29" s="115"/>
      <c r="BC29" s="115"/>
      <c r="BD29" s="115"/>
      <c r="BE29" s="115"/>
      <c r="BF29" s="115"/>
      <c r="BG29" s="115"/>
      <c r="BH29" s="115"/>
      <c r="BI29" s="115"/>
      <c r="BJ29" s="115"/>
      <c r="BK29" s="115"/>
      <c r="BL29" s="115"/>
      <c r="BM29" s="115"/>
      <c r="BN29" s="115"/>
      <c r="BO29" s="115"/>
    </row>
    <row r="30" spans="1:67" ht="56.4" customHeight="1" thickBot="1" x14ac:dyDescent="0.4">
      <c r="A30" s="119"/>
      <c r="B30" s="1378" t="s">
        <v>703</v>
      </c>
      <c r="C30" s="1379" t="s">
        <v>1409</v>
      </c>
      <c r="D30" s="147" t="s">
        <v>560</v>
      </c>
      <c r="E30" s="137">
        <v>0.15</v>
      </c>
      <c r="F30" s="138">
        <v>1</v>
      </c>
      <c r="G30" s="134">
        <v>0</v>
      </c>
      <c r="H30" s="134">
        <v>0.5</v>
      </c>
      <c r="I30" s="134">
        <v>0.55000000000000004</v>
      </c>
      <c r="J30" s="139"/>
      <c r="K30" s="139">
        <f t="shared" si="46"/>
        <v>0.5</v>
      </c>
      <c r="L30" s="139">
        <f t="shared" si="47"/>
        <v>0.55000000000000004</v>
      </c>
      <c r="M30" s="139"/>
      <c r="N30" s="139">
        <f t="shared" si="48"/>
        <v>7.4999999999999997E-2</v>
      </c>
      <c r="O30" s="139"/>
      <c r="P30" s="134"/>
      <c r="Q30" s="496"/>
      <c r="R30" s="496">
        <v>0.1</v>
      </c>
      <c r="S30" s="496">
        <v>0.1</v>
      </c>
      <c r="T30" s="496">
        <v>0.1</v>
      </c>
      <c r="U30" s="496">
        <v>0.15</v>
      </c>
      <c r="V30" s="134">
        <f t="shared" si="32"/>
        <v>0.45000000000000007</v>
      </c>
      <c r="W30" s="134">
        <f t="shared" ref="W30:W31" si="52">+V30+P30+AB30</f>
        <v>0.60000000000000009</v>
      </c>
      <c r="X30" s="496">
        <v>0.05</v>
      </c>
      <c r="Y30" s="496">
        <v>0.1</v>
      </c>
      <c r="Z30" s="134"/>
      <c r="AA30" s="134"/>
      <c r="AB30" s="134">
        <f t="shared" si="49"/>
        <v>0.15000000000000002</v>
      </c>
      <c r="AC30" s="156"/>
      <c r="AD30" s="156">
        <f t="shared" si="50"/>
        <v>0.90000000000000013</v>
      </c>
      <c r="AE30" s="156">
        <f t="shared" ref="AE30:AE32" si="53">+AB30/I30</f>
        <v>0.27272727272727276</v>
      </c>
      <c r="AF30" s="156"/>
      <c r="AG30" s="156">
        <f t="shared" si="51"/>
        <v>0.13500000000000001</v>
      </c>
      <c r="AH30" s="156">
        <f t="shared" si="25"/>
        <v>4.0909090909090916E-2</v>
      </c>
      <c r="AI30" s="156"/>
      <c r="AJ30" s="156">
        <v>0.45000000000000007</v>
      </c>
      <c r="AK30" s="156">
        <f t="shared" si="45"/>
        <v>0.60000000000000009</v>
      </c>
      <c r="AL30" s="156"/>
      <c r="AM30" s="156">
        <f>+AJ30*E30</f>
        <v>6.7500000000000004E-2</v>
      </c>
      <c r="AN30" s="156">
        <f t="shared" si="27"/>
        <v>9.0000000000000011E-2</v>
      </c>
      <c r="AO30" s="521" t="s">
        <v>1844</v>
      </c>
      <c r="AP30" s="766" t="s">
        <v>1886</v>
      </c>
      <c r="AQ30" s="765" t="s">
        <v>1989</v>
      </c>
      <c r="AR30" s="765" t="s">
        <v>2010</v>
      </c>
      <c r="AS30" s="533" t="s">
        <v>2085</v>
      </c>
      <c r="AT30" s="837" t="s">
        <v>2139</v>
      </c>
      <c r="AU30" s="765" t="s">
        <v>2196</v>
      </c>
      <c r="AV30" s="765" t="s">
        <v>1887</v>
      </c>
      <c r="AW30" s="765" t="s">
        <v>2294</v>
      </c>
      <c r="AX30" s="115"/>
      <c r="AY30" s="115"/>
      <c r="AZ30" s="115"/>
      <c r="BA30" s="115"/>
      <c r="BB30" s="115"/>
      <c r="BC30" s="115"/>
      <c r="BD30" s="115"/>
      <c r="BE30" s="115"/>
      <c r="BF30" s="115"/>
      <c r="BG30" s="115"/>
      <c r="BH30" s="115"/>
      <c r="BI30" s="115"/>
      <c r="BJ30" s="115"/>
      <c r="BK30" s="115"/>
      <c r="BL30" s="115"/>
      <c r="BM30" s="115"/>
      <c r="BN30" s="115"/>
      <c r="BO30" s="115"/>
    </row>
    <row r="31" spans="1:67" ht="148.19999999999999" customHeight="1" thickBot="1" x14ac:dyDescent="0.4">
      <c r="A31" s="119"/>
      <c r="B31" s="1378" t="s">
        <v>704</v>
      </c>
      <c r="C31" s="1379" t="s">
        <v>1410</v>
      </c>
      <c r="D31" s="147" t="s">
        <v>683</v>
      </c>
      <c r="E31" s="137">
        <v>0.6</v>
      </c>
      <c r="F31" s="138">
        <v>1</v>
      </c>
      <c r="G31" s="134">
        <v>0.6</v>
      </c>
      <c r="H31" s="134">
        <v>0.4</v>
      </c>
      <c r="I31" s="134">
        <v>0.5</v>
      </c>
      <c r="J31" s="139">
        <f>+G31/F31</f>
        <v>0.6</v>
      </c>
      <c r="K31" s="139">
        <f t="shared" si="46"/>
        <v>0.4</v>
      </c>
      <c r="L31" s="139"/>
      <c r="M31" s="139">
        <f>+(G31/F31)*E31</f>
        <v>0.36</v>
      </c>
      <c r="N31" s="139">
        <f t="shared" si="48"/>
        <v>0.24</v>
      </c>
      <c r="O31" s="139"/>
      <c r="P31" s="134">
        <v>0.6</v>
      </c>
      <c r="Q31" s="496">
        <v>0.4</v>
      </c>
      <c r="R31" s="496">
        <v>0.1</v>
      </c>
      <c r="S31" s="496">
        <v>0</v>
      </c>
      <c r="T31" s="496">
        <v>0</v>
      </c>
      <c r="U31" s="496"/>
      <c r="V31" s="134">
        <f t="shared" si="32"/>
        <v>0.5</v>
      </c>
      <c r="W31" s="134">
        <f t="shared" si="52"/>
        <v>1.1000000000000001</v>
      </c>
      <c r="X31" s="496">
        <v>0</v>
      </c>
      <c r="Y31" s="496">
        <v>0</v>
      </c>
      <c r="Z31" s="134"/>
      <c r="AA31" s="134"/>
      <c r="AB31" s="134">
        <f t="shared" si="49"/>
        <v>0</v>
      </c>
      <c r="AC31" s="156">
        <f>+(P31/G31)</f>
        <v>1</v>
      </c>
      <c r="AD31" s="156">
        <v>1</v>
      </c>
      <c r="AE31" s="156">
        <f>+AB31/I31</f>
        <v>0</v>
      </c>
      <c r="AF31" s="156">
        <f>+AC31*E31</f>
        <v>0.6</v>
      </c>
      <c r="AG31" s="156">
        <f t="shared" si="51"/>
        <v>0.6</v>
      </c>
      <c r="AH31" s="156">
        <f>+AE31*E31</f>
        <v>0</v>
      </c>
      <c r="AI31" s="156">
        <f>+P31/F31</f>
        <v>0.6</v>
      </c>
      <c r="AJ31" s="156">
        <v>1</v>
      </c>
      <c r="AK31" s="156">
        <v>1</v>
      </c>
      <c r="AL31" s="156">
        <f>+AI31*E31</f>
        <v>0.36</v>
      </c>
      <c r="AM31" s="156">
        <f>+AJ31*E31</f>
        <v>0.6</v>
      </c>
      <c r="AN31" s="156">
        <f t="shared" si="27"/>
        <v>0.6</v>
      </c>
      <c r="AO31" s="521" t="s">
        <v>1844</v>
      </c>
      <c r="AP31" s="599" t="s">
        <v>1892</v>
      </c>
      <c r="AQ31" s="765" t="s">
        <v>1588</v>
      </c>
      <c r="AR31" s="765" t="s">
        <v>2058</v>
      </c>
      <c r="AS31" s="599" t="s">
        <v>2126</v>
      </c>
      <c r="AT31" s="782" t="s">
        <v>1859</v>
      </c>
      <c r="AU31" s="599" t="s">
        <v>2126</v>
      </c>
      <c r="AV31" s="765" t="s">
        <v>1887</v>
      </c>
      <c r="AW31" s="765" t="s">
        <v>2294</v>
      </c>
      <c r="AX31" s="115"/>
      <c r="AY31" s="115"/>
      <c r="AZ31" s="115"/>
      <c r="BA31" s="115"/>
      <c r="BB31" s="115"/>
      <c r="BC31" s="115"/>
      <c r="BD31" s="115"/>
      <c r="BE31" s="115"/>
      <c r="BF31" s="115"/>
      <c r="BG31" s="115"/>
      <c r="BH31" s="115"/>
      <c r="BI31" s="115"/>
      <c r="BJ31" s="115"/>
      <c r="BK31" s="115"/>
      <c r="BL31" s="115"/>
      <c r="BM31" s="115"/>
      <c r="BN31" s="115"/>
      <c r="BO31" s="115"/>
    </row>
    <row r="32" spans="1:67" ht="81.599999999999994" customHeight="1" thickBot="1" x14ac:dyDescent="0.4">
      <c r="A32" s="119"/>
      <c r="B32" s="1378" t="s">
        <v>705</v>
      </c>
      <c r="C32" s="1379" t="s">
        <v>1411</v>
      </c>
      <c r="D32" s="147" t="s">
        <v>683</v>
      </c>
      <c r="E32" s="137">
        <v>0.1</v>
      </c>
      <c r="F32" s="138">
        <v>1</v>
      </c>
      <c r="G32" s="134"/>
      <c r="H32" s="134">
        <v>1</v>
      </c>
      <c r="I32" s="134">
        <v>0.8</v>
      </c>
      <c r="J32" s="139"/>
      <c r="K32" s="139">
        <f t="shared" si="46"/>
        <v>1</v>
      </c>
      <c r="L32" s="139">
        <f t="shared" si="47"/>
        <v>0.8</v>
      </c>
      <c r="M32" s="139"/>
      <c r="N32" s="139">
        <f t="shared" si="48"/>
        <v>0.1</v>
      </c>
      <c r="O32" s="139"/>
      <c r="P32" s="134"/>
      <c r="Q32" s="496">
        <v>0</v>
      </c>
      <c r="R32" s="496">
        <v>0</v>
      </c>
      <c r="S32" s="496">
        <v>0</v>
      </c>
      <c r="T32" s="496">
        <v>0</v>
      </c>
      <c r="U32" s="496">
        <v>0.2</v>
      </c>
      <c r="V32" s="134">
        <f>+Q32+R32+S32+T32+U32</f>
        <v>0.2</v>
      </c>
      <c r="W32" s="134">
        <f>+V32+P32+AB32</f>
        <v>0.2</v>
      </c>
      <c r="X32" s="496">
        <v>0</v>
      </c>
      <c r="Y32" s="496">
        <v>0</v>
      </c>
      <c r="Z32" s="134"/>
      <c r="AA32" s="134"/>
      <c r="AB32" s="134">
        <f t="shared" si="49"/>
        <v>0</v>
      </c>
      <c r="AC32" s="156"/>
      <c r="AD32" s="156">
        <f t="shared" si="50"/>
        <v>0.2</v>
      </c>
      <c r="AE32" s="156">
        <f t="shared" si="53"/>
        <v>0</v>
      </c>
      <c r="AF32" s="156"/>
      <c r="AG32" s="156">
        <f t="shared" si="51"/>
        <v>2.0000000000000004E-2</v>
      </c>
      <c r="AH32" s="156">
        <f t="shared" si="25"/>
        <v>0</v>
      </c>
      <c r="AI32" s="156"/>
      <c r="AJ32" s="156">
        <v>0.2</v>
      </c>
      <c r="AK32" s="156">
        <f t="shared" si="45"/>
        <v>0.2</v>
      </c>
      <c r="AL32" s="156"/>
      <c r="AM32" s="156">
        <f>+AJ32*E32</f>
        <v>2.0000000000000004E-2</v>
      </c>
      <c r="AN32" s="156">
        <f t="shared" si="27"/>
        <v>2.0000000000000004E-2</v>
      </c>
      <c r="AO32" s="521" t="s">
        <v>1844</v>
      </c>
      <c r="AP32" s="766" t="s">
        <v>1886</v>
      </c>
      <c r="AQ32" s="765" t="s">
        <v>1989</v>
      </c>
      <c r="AR32" s="765" t="s">
        <v>2010</v>
      </c>
      <c r="AS32" s="127"/>
      <c r="AT32" s="837" t="s">
        <v>2139</v>
      </c>
      <c r="AU32" s="127"/>
      <c r="AV32" s="765" t="s">
        <v>1887</v>
      </c>
      <c r="AW32" s="765" t="s">
        <v>2294</v>
      </c>
      <c r="AX32" s="115"/>
      <c r="AY32" s="115"/>
      <c r="AZ32" s="115"/>
      <c r="BA32" s="115"/>
      <c r="BB32" s="115"/>
      <c r="BC32" s="115"/>
      <c r="BD32" s="115"/>
      <c r="BE32" s="115"/>
      <c r="BF32" s="115"/>
      <c r="BG32" s="115"/>
      <c r="BH32" s="115"/>
      <c r="BI32" s="115"/>
      <c r="BJ32" s="115"/>
      <c r="BK32" s="115"/>
      <c r="BL32" s="115"/>
      <c r="BM32" s="115"/>
      <c r="BN32" s="115"/>
      <c r="BO32" s="115"/>
    </row>
    <row r="33" spans="1:67" ht="78" customHeight="1" thickBot="1" x14ac:dyDescent="0.4">
      <c r="A33" s="119"/>
      <c r="B33" s="1374" t="s">
        <v>1788</v>
      </c>
      <c r="C33" s="1377"/>
      <c r="D33" s="147"/>
      <c r="E33" s="122">
        <v>0.15</v>
      </c>
      <c r="F33" s="123">
        <f>+E33*AF33</f>
        <v>0.09</v>
      </c>
      <c r="G33" s="127"/>
      <c r="H33" s="123">
        <f>+E33*AG33</f>
        <v>7.9175000000000009E-2</v>
      </c>
      <c r="I33" s="123">
        <f>+E33*AH33</f>
        <v>5.6249999999999994E-2</v>
      </c>
      <c r="J33" s="125">
        <f>+(J34+J40+J43)/3</f>
        <v>0.36472934472934471</v>
      </c>
      <c r="K33" s="125">
        <f>+(K34+K40+K43)/3</f>
        <v>0.15683760683760684</v>
      </c>
      <c r="L33" s="125">
        <f>+(L34+L40+L43)/3</f>
        <v>0.17341880341880342</v>
      </c>
      <c r="M33" s="126">
        <f>+(M34+M40+M43)/3</f>
        <v>0.25547008547008548</v>
      </c>
      <c r="N33" s="126">
        <f>+(N34+N40+N43)/3</f>
        <v>0.16822649572649573</v>
      </c>
      <c r="O33" s="126"/>
      <c r="P33" s="127"/>
      <c r="Q33" s="127"/>
      <c r="R33" s="127"/>
      <c r="S33" s="127"/>
      <c r="T33" s="127"/>
      <c r="U33" s="835"/>
      <c r="V33" s="127"/>
      <c r="W33" s="127"/>
      <c r="X33" s="127"/>
      <c r="Y33" s="127"/>
      <c r="Z33" s="127"/>
      <c r="AA33" s="127"/>
      <c r="AB33" s="127"/>
      <c r="AC33" s="125">
        <f>+(AC34+AC40+AC43)/3</f>
        <v>0.88888888888888884</v>
      </c>
      <c r="AD33" s="125">
        <f>+(AD34+AD40+AD43)/3</f>
        <v>1.0525925925925925</v>
      </c>
      <c r="AE33" s="125">
        <f>+(AE34+AE40+AE43)/3</f>
        <v>0.5</v>
      </c>
      <c r="AF33" s="126">
        <f>AF34+AF40+AF43</f>
        <v>0.6</v>
      </c>
      <c r="AG33" s="126">
        <f>AG34+AG40+AG43</f>
        <v>0.52783333333333338</v>
      </c>
      <c r="AH33" s="126">
        <f>AH34+AH40+AH43</f>
        <v>0.375</v>
      </c>
      <c r="AI33" s="125">
        <f>(AI34+AI40+AI43)/3</f>
        <v>0.28650042735042736</v>
      </c>
      <c r="AJ33" s="125">
        <v>0.55999045584045581</v>
      </c>
      <c r="AK33" s="125">
        <f>(AK34+AK40+AK43)/3</f>
        <v>0.6659591168091169</v>
      </c>
      <c r="AL33" s="126">
        <f>AL34+AL40+AL43</f>
        <v>0.23447615384615383</v>
      </c>
      <c r="AM33" s="126">
        <f>(AM34*E34)+(AM40*E40)+(AM43*E43)</f>
        <v>0.45406589743589743</v>
      </c>
      <c r="AN33" s="126">
        <f>(AN34*E34)+(AN40*E40)+(AN43*E43)</f>
        <v>0.52909794871794869</v>
      </c>
      <c r="AO33" s="762"/>
      <c r="AP33" s="132"/>
      <c r="AQ33" s="127"/>
      <c r="AR33" s="127"/>
      <c r="AS33" s="127"/>
      <c r="AT33" s="564"/>
      <c r="AU33" s="127"/>
      <c r="AV33" s="127"/>
      <c r="AW33" s="121"/>
      <c r="AX33" s="115"/>
      <c r="AY33" s="115"/>
      <c r="AZ33" s="115"/>
      <c r="BA33" s="115"/>
      <c r="BB33" s="115"/>
      <c r="BC33" s="115"/>
      <c r="BD33" s="115"/>
      <c r="BE33" s="115"/>
      <c r="BF33" s="115"/>
      <c r="BG33" s="115"/>
      <c r="BH33" s="115"/>
      <c r="BI33" s="115"/>
      <c r="BJ33" s="115"/>
      <c r="BK33" s="115"/>
      <c r="BL33" s="115"/>
      <c r="BM33" s="115"/>
      <c r="BN33" s="115"/>
      <c r="BO33" s="115"/>
    </row>
    <row r="34" spans="1:67" ht="123.6" customHeight="1" thickBot="1" x14ac:dyDescent="0.4">
      <c r="A34" s="119"/>
      <c r="B34" s="1376" t="s">
        <v>1703</v>
      </c>
      <c r="C34" s="1377"/>
      <c r="D34" s="147"/>
      <c r="E34" s="130">
        <v>0.5</v>
      </c>
      <c r="F34" s="149"/>
      <c r="G34" s="127"/>
      <c r="H34" s="127"/>
      <c r="I34" s="127"/>
      <c r="J34" s="133">
        <f>+AVERAGE(J35:J39)</f>
        <v>8.6111111111111097E-2</v>
      </c>
      <c r="K34" s="133">
        <f>+AVERAGE(K35:K39)</f>
        <v>8.1666666666666665E-2</v>
      </c>
      <c r="L34" s="133">
        <f>+AVERAGE(L35:L39)</f>
        <v>0.20833333333333331</v>
      </c>
      <c r="M34" s="133">
        <f>+M35+M36+M37+M38+M39</f>
        <v>5.0833333333333328E-2</v>
      </c>
      <c r="N34" s="133">
        <f>+N35+N36+N37+N38+N39</f>
        <v>0.11583333333333333</v>
      </c>
      <c r="O34" s="133"/>
      <c r="P34" s="132"/>
      <c r="Q34" s="132"/>
      <c r="R34" s="132"/>
      <c r="S34" s="132"/>
      <c r="T34" s="132"/>
      <c r="U34" s="836"/>
      <c r="V34" s="132"/>
      <c r="W34" s="132"/>
      <c r="X34" s="132"/>
      <c r="Y34" s="132"/>
      <c r="Z34" s="132"/>
      <c r="AA34" s="132"/>
      <c r="AB34" s="132"/>
      <c r="AC34" s="154">
        <f>+AVERAGE(AC35:AC39)</f>
        <v>0.66666666666666663</v>
      </c>
      <c r="AD34" s="154">
        <f>+AVERAGE(AD35:AD39)</f>
        <v>1.1577777777777778</v>
      </c>
      <c r="AE34" s="154">
        <f>+AVERAGE(AE35:AE39)</f>
        <v>0</v>
      </c>
      <c r="AF34" s="154">
        <f>+(AF35+AF36+AF37+AF38+AF39)*E34</f>
        <v>0.22499999999999998</v>
      </c>
      <c r="AG34" s="154">
        <f>+(AG35+AG36+AG37+AG38+AG39)*E34</f>
        <v>0.27783333333333338</v>
      </c>
      <c r="AH34" s="154">
        <f>+(AH35+AH36+AH37+AH38+AH39)*E34</f>
        <v>0</v>
      </c>
      <c r="AI34" s="133">
        <f>+AVERAGE(AI35:AI39)</f>
        <v>0.10536666666666666</v>
      </c>
      <c r="AJ34" s="133">
        <v>0.27314444444444441</v>
      </c>
      <c r="AK34" s="133">
        <f>+AVERAGE(AK35:AK39)</f>
        <v>0.31758888888888887</v>
      </c>
      <c r="AL34" s="133">
        <f>+(AL35+AL36+AL37+AL38+AL39)*E34</f>
        <v>4.5942499999999997E-2</v>
      </c>
      <c r="AM34" s="133">
        <f>+(AM35+AM36+AM37+AM38+AM39)</f>
        <v>0.20471833333333331</v>
      </c>
      <c r="AN34" s="133">
        <f>+(AN35+AN36+AN37+AN38+AN39)</f>
        <v>0.21805166666666664</v>
      </c>
      <c r="AO34" s="560"/>
      <c r="AP34" s="767" t="s">
        <v>1983</v>
      </c>
      <c r="AQ34" s="127"/>
      <c r="AR34" s="127"/>
      <c r="AS34" s="127"/>
      <c r="AT34" s="564"/>
      <c r="AU34" s="127"/>
      <c r="AV34" s="127"/>
      <c r="AW34" s="121"/>
      <c r="AX34" s="115"/>
      <c r="AY34" s="115"/>
      <c r="AZ34" s="115"/>
      <c r="BA34" s="115"/>
      <c r="BB34" s="115"/>
      <c r="BC34" s="115"/>
      <c r="BD34" s="115"/>
      <c r="BE34" s="115"/>
      <c r="BF34" s="115"/>
      <c r="BG34" s="115"/>
      <c r="BH34" s="115"/>
      <c r="BI34" s="115"/>
      <c r="BJ34" s="115"/>
      <c r="BK34" s="115"/>
      <c r="BL34" s="115"/>
      <c r="BM34" s="115"/>
      <c r="BN34" s="115"/>
      <c r="BO34" s="115"/>
    </row>
    <row r="35" spans="1:67" ht="136.19999999999999" customHeight="1" thickBot="1" x14ac:dyDescent="0.4">
      <c r="A35" s="119"/>
      <c r="B35" s="1378" t="s">
        <v>706</v>
      </c>
      <c r="C35" s="1379" t="s">
        <v>1412</v>
      </c>
      <c r="D35" s="1133" t="s">
        <v>707</v>
      </c>
      <c r="E35" s="152">
        <v>0.2</v>
      </c>
      <c r="F35" s="138">
        <v>3</v>
      </c>
      <c r="G35" s="134">
        <v>0</v>
      </c>
      <c r="H35" s="134"/>
      <c r="I35" s="134"/>
      <c r="J35" s="139"/>
      <c r="K35" s="139">
        <f t="shared" ref="K35:K39" si="54">+H35/F35</f>
        <v>0</v>
      </c>
      <c r="L35" s="139">
        <f t="shared" ref="L35:L39" si="55">+I35/F35</f>
        <v>0</v>
      </c>
      <c r="M35" s="139"/>
      <c r="N35" s="139">
        <f t="shared" ref="N35:N39" si="56">+(H35/F35)*E35</f>
        <v>0</v>
      </c>
      <c r="O35" s="139"/>
      <c r="P35" s="134"/>
      <c r="Q35" s="496"/>
      <c r="R35" s="496"/>
      <c r="S35" s="496"/>
      <c r="T35" s="496"/>
      <c r="U35" s="496"/>
      <c r="V35" s="134">
        <f>+Q35+R35+S35+T35+U35</f>
        <v>0</v>
      </c>
      <c r="W35" s="134">
        <f>+V35+P35+AB35</f>
        <v>0</v>
      </c>
      <c r="X35" s="134"/>
      <c r="Y35" s="134"/>
      <c r="Z35" s="134"/>
      <c r="AA35" s="134"/>
      <c r="AB35" s="134">
        <f t="shared" ref="AB35:AB41" si="57">+X35+Y35+Z35+AA35</f>
        <v>0</v>
      </c>
      <c r="AC35" s="139"/>
      <c r="AD35" s="139"/>
      <c r="AE35" s="139"/>
      <c r="AF35" s="139"/>
      <c r="AG35" s="139">
        <f t="shared" ref="AG35:AG39" si="58">+AD35*E35</f>
        <v>0</v>
      </c>
      <c r="AH35" s="139"/>
      <c r="AI35" s="139"/>
      <c r="AJ35" s="139"/>
      <c r="AK35" s="139"/>
      <c r="AL35" s="139"/>
      <c r="AM35" s="139">
        <v>0</v>
      </c>
      <c r="AN35" s="1403">
        <f t="shared" ref="AN35:AN42" si="59">+AK35*E35</f>
        <v>0</v>
      </c>
      <c r="AO35" s="763" t="s">
        <v>1556</v>
      </c>
      <c r="AP35" s="599" t="s">
        <v>1917</v>
      </c>
      <c r="AQ35" s="127"/>
      <c r="AR35" s="599" t="s">
        <v>2040</v>
      </c>
      <c r="AS35" s="127"/>
      <c r="AT35" s="782" t="s">
        <v>1859</v>
      </c>
      <c r="AU35" s="127"/>
      <c r="AV35" s="782" t="s">
        <v>1859</v>
      </c>
      <c r="AW35" s="782" t="s">
        <v>1859</v>
      </c>
      <c r="AX35" s="115"/>
      <c r="AY35" s="115"/>
      <c r="AZ35" s="115"/>
      <c r="BA35" s="115"/>
      <c r="BB35" s="115"/>
      <c r="BC35" s="115"/>
      <c r="BD35" s="115"/>
      <c r="BE35" s="115"/>
      <c r="BF35" s="115"/>
      <c r="BG35" s="115"/>
      <c r="BH35" s="115"/>
      <c r="BI35" s="115"/>
      <c r="BJ35" s="115"/>
      <c r="BK35" s="115"/>
      <c r="BL35" s="115"/>
      <c r="BM35" s="115"/>
      <c r="BN35" s="115"/>
      <c r="BO35" s="115"/>
    </row>
    <row r="36" spans="1:67" ht="95.4" customHeight="1" thickBot="1" x14ac:dyDescent="0.4">
      <c r="A36" s="119"/>
      <c r="B36" s="1378" t="s">
        <v>708</v>
      </c>
      <c r="C36" s="1379" t="s">
        <v>1413</v>
      </c>
      <c r="D36" s="151" t="s">
        <v>58</v>
      </c>
      <c r="E36" s="152">
        <v>0.25</v>
      </c>
      <c r="F36" s="138">
        <v>500</v>
      </c>
      <c r="G36" s="134"/>
      <c r="H36" s="134"/>
      <c r="I36" s="134"/>
      <c r="J36" s="139"/>
      <c r="K36" s="139">
        <f t="shared" si="54"/>
        <v>0</v>
      </c>
      <c r="L36" s="139">
        <f t="shared" si="55"/>
        <v>0</v>
      </c>
      <c r="M36" s="139"/>
      <c r="N36" s="139">
        <f t="shared" si="56"/>
        <v>0</v>
      </c>
      <c r="O36" s="139"/>
      <c r="P36" s="134"/>
      <c r="Q36" s="496"/>
      <c r="R36" s="496"/>
      <c r="S36" s="496"/>
      <c r="T36" s="496"/>
      <c r="U36" s="496"/>
      <c r="V36" s="134">
        <f t="shared" ref="V36:V98" si="60">+Q36+R36+S36+T36+U36</f>
        <v>0</v>
      </c>
      <c r="W36" s="134">
        <f t="shared" ref="W36:W39" si="61">+V36+P36+AB36</f>
        <v>0</v>
      </c>
      <c r="X36" s="134"/>
      <c r="Y36" s="134"/>
      <c r="Z36" s="134"/>
      <c r="AA36" s="134"/>
      <c r="AB36" s="134">
        <f t="shared" si="57"/>
        <v>0</v>
      </c>
      <c r="AC36" s="139"/>
      <c r="AD36" s="139"/>
      <c r="AE36" s="139"/>
      <c r="AF36" s="139"/>
      <c r="AG36" s="139">
        <f t="shared" si="58"/>
        <v>0</v>
      </c>
      <c r="AH36" s="139">
        <f t="shared" ref="AH36:AH42" si="62">+AE36*E36</f>
        <v>0</v>
      </c>
      <c r="AI36" s="139"/>
      <c r="AJ36" s="139"/>
      <c r="AK36" s="139"/>
      <c r="AL36" s="139"/>
      <c r="AM36" s="139">
        <v>0</v>
      </c>
      <c r="AN36" s="1403">
        <f t="shared" si="59"/>
        <v>0</v>
      </c>
      <c r="AO36" s="763" t="s">
        <v>1563</v>
      </c>
      <c r="AP36" s="599" t="s">
        <v>1918</v>
      </c>
      <c r="AQ36" s="127"/>
      <c r="AR36" s="599" t="s">
        <v>2040</v>
      </c>
      <c r="AS36" s="127"/>
      <c r="AT36" s="782" t="s">
        <v>1859</v>
      </c>
      <c r="AU36" s="127"/>
      <c r="AV36" s="782" t="s">
        <v>1859</v>
      </c>
      <c r="AW36" s="782" t="s">
        <v>1859</v>
      </c>
      <c r="AX36" s="115"/>
      <c r="AY36" s="115"/>
      <c r="AZ36" s="115"/>
      <c r="BA36" s="115"/>
      <c r="BB36" s="115"/>
      <c r="BC36" s="115"/>
      <c r="BD36" s="115"/>
      <c r="BE36" s="115"/>
      <c r="BF36" s="115"/>
      <c r="BG36" s="115"/>
      <c r="BH36" s="115"/>
      <c r="BI36" s="115"/>
      <c r="BJ36" s="115"/>
      <c r="BK36" s="115"/>
      <c r="BL36" s="115"/>
      <c r="BM36" s="115"/>
      <c r="BN36" s="115"/>
      <c r="BO36" s="115"/>
    </row>
    <row r="37" spans="1:67" ht="87.6" customHeight="1" thickBot="1" x14ac:dyDescent="0.4">
      <c r="A37" s="119"/>
      <c r="B37" s="1378" t="s">
        <v>709</v>
      </c>
      <c r="C37" s="1379" t="s">
        <v>1414</v>
      </c>
      <c r="D37" s="147" t="s">
        <v>683</v>
      </c>
      <c r="E37" s="137">
        <v>0.1</v>
      </c>
      <c r="F37" s="138">
        <v>4</v>
      </c>
      <c r="G37" s="134">
        <v>0.3</v>
      </c>
      <c r="H37" s="134">
        <v>0.1</v>
      </c>
      <c r="I37" s="134">
        <v>0.3</v>
      </c>
      <c r="J37" s="139">
        <f>+G37/F37</f>
        <v>7.4999999999999997E-2</v>
      </c>
      <c r="K37" s="139">
        <f t="shared" si="54"/>
        <v>2.5000000000000001E-2</v>
      </c>
      <c r="L37" s="139">
        <f t="shared" si="55"/>
        <v>7.4999999999999997E-2</v>
      </c>
      <c r="M37" s="139">
        <f>+(G37/F37)*E37</f>
        <v>7.4999999999999997E-3</v>
      </c>
      <c r="N37" s="139">
        <f t="shared" si="56"/>
        <v>2.5000000000000005E-3</v>
      </c>
      <c r="O37" s="139"/>
      <c r="P37" s="134">
        <v>0.3</v>
      </c>
      <c r="Q37" s="496">
        <v>0.1</v>
      </c>
      <c r="R37" s="496">
        <v>0.6</v>
      </c>
      <c r="S37" s="496">
        <v>0.2</v>
      </c>
      <c r="T37" s="496">
        <v>0</v>
      </c>
      <c r="U37" s="496">
        <v>0.1</v>
      </c>
      <c r="V37" s="134">
        <f t="shared" si="60"/>
        <v>0.99999999999999989</v>
      </c>
      <c r="W37" s="134">
        <f t="shared" si="61"/>
        <v>1.2999999999999998</v>
      </c>
      <c r="X37" s="496">
        <v>0</v>
      </c>
      <c r="Y37" s="496">
        <v>0</v>
      </c>
      <c r="Z37" s="134"/>
      <c r="AA37" s="134"/>
      <c r="AB37" s="134">
        <f t="shared" si="57"/>
        <v>0</v>
      </c>
      <c r="AC37" s="156">
        <f>+(P37/G37)</f>
        <v>1</v>
      </c>
      <c r="AD37" s="156">
        <v>1</v>
      </c>
      <c r="AE37" s="156">
        <f t="shared" ref="AE37:AE41" si="63">+AB37/I37</f>
        <v>0</v>
      </c>
      <c r="AF37" s="156">
        <f>+AC37*E37</f>
        <v>0.1</v>
      </c>
      <c r="AG37" s="156">
        <f t="shared" si="58"/>
        <v>0.1</v>
      </c>
      <c r="AH37" s="156">
        <f>+AE37*E37</f>
        <v>0</v>
      </c>
      <c r="AI37" s="156">
        <f>+P37/F37</f>
        <v>7.4999999999999997E-2</v>
      </c>
      <c r="AJ37" s="156">
        <v>0.32499999999999996</v>
      </c>
      <c r="AK37" s="156">
        <f t="shared" ref="AK37:AK44" si="64">+W37/F37</f>
        <v>0.32499999999999996</v>
      </c>
      <c r="AL37" s="156">
        <f>+AI37*E37</f>
        <v>7.4999999999999997E-3</v>
      </c>
      <c r="AM37" s="156">
        <f>+AJ37*E37</f>
        <v>3.2499999999999994E-2</v>
      </c>
      <c r="AN37" s="190">
        <f t="shared" si="59"/>
        <v>3.2499999999999994E-2</v>
      </c>
      <c r="AO37" s="521" t="s">
        <v>1844</v>
      </c>
      <c r="AP37" s="765" t="s">
        <v>1886</v>
      </c>
      <c r="AQ37" s="765" t="s">
        <v>1989</v>
      </c>
      <c r="AR37" s="1163" t="s">
        <v>2019</v>
      </c>
      <c r="AS37" s="765" t="s">
        <v>2107</v>
      </c>
      <c r="AT37" s="837" t="s">
        <v>2139</v>
      </c>
      <c r="AU37" s="599" t="s">
        <v>2019</v>
      </c>
      <c r="AV37" s="765" t="s">
        <v>1887</v>
      </c>
      <c r="AW37" s="765" t="s">
        <v>2294</v>
      </c>
      <c r="AX37" s="115"/>
      <c r="AY37" s="115"/>
      <c r="AZ37" s="115"/>
      <c r="BA37" s="115"/>
      <c r="BB37" s="115"/>
      <c r="BC37" s="115"/>
      <c r="BD37" s="115"/>
      <c r="BE37" s="115"/>
      <c r="BF37" s="115"/>
      <c r="BG37" s="115"/>
      <c r="BH37" s="115"/>
      <c r="BI37" s="115"/>
      <c r="BJ37" s="115"/>
      <c r="BK37" s="115"/>
      <c r="BL37" s="115"/>
      <c r="BM37" s="115"/>
      <c r="BN37" s="115"/>
      <c r="BO37" s="115"/>
    </row>
    <row r="38" spans="1:67" ht="132.6" customHeight="1" thickBot="1" x14ac:dyDescent="0.4">
      <c r="A38" s="119"/>
      <c r="B38" s="1378" t="s">
        <v>710</v>
      </c>
      <c r="C38" s="1379" t="s">
        <v>1415</v>
      </c>
      <c r="D38" s="147" t="s">
        <v>683</v>
      </c>
      <c r="E38" s="137">
        <v>0.1</v>
      </c>
      <c r="F38" s="138">
        <v>3</v>
      </c>
      <c r="G38" s="134">
        <v>0.25</v>
      </c>
      <c r="H38" s="134">
        <v>0.25</v>
      </c>
      <c r="I38" s="134">
        <v>2</v>
      </c>
      <c r="J38" s="139">
        <f>+G38/F38</f>
        <v>8.3333333333333329E-2</v>
      </c>
      <c r="K38" s="139">
        <f t="shared" si="54"/>
        <v>8.3333333333333329E-2</v>
      </c>
      <c r="L38" s="139">
        <f t="shared" si="55"/>
        <v>0.66666666666666663</v>
      </c>
      <c r="M38" s="139">
        <f>+(G38/F38)*E38</f>
        <v>8.3333333333333332E-3</v>
      </c>
      <c r="N38" s="139">
        <f t="shared" si="56"/>
        <v>8.3333333333333332E-3</v>
      </c>
      <c r="O38" s="139"/>
      <c r="P38" s="134">
        <v>0</v>
      </c>
      <c r="Q38" s="496">
        <v>0</v>
      </c>
      <c r="R38" s="496">
        <v>0</v>
      </c>
      <c r="S38" s="496">
        <v>0.01</v>
      </c>
      <c r="T38" s="496"/>
      <c r="U38" s="496">
        <v>0.4</v>
      </c>
      <c r="V38" s="134">
        <f t="shared" si="60"/>
        <v>0.41000000000000003</v>
      </c>
      <c r="W38" s="134">
        <f t="shared" si="61"/>
        <v>0.41000000000000003</v>
      </c>
      <c r="X38" s="496">
        <v>0</v>
      </c>
      <c r="Y38" s="496">
        <v>0</v>
      </c>
      <c r="Z38" s="134"/>
      <c r="AA38" s="134"/>
      <c r="AB38" s="134">
        <f t="shared" si="57"/>
        <v>0</v>
      </c>
      <c r="AC38" s="156">
        <f>+(P38/G38)</f>
        <v>0</v>
      </c>
      <c r="AD38" s="156">
        <f t="shared" ref="AD38:AD39" si="65">+V38/H38</f>
        <v>1.6400000000000001</v>
      </c>
      <c r="AE38" s="156">
        <f t="shared" si="63"/>
        <v>0</v>
      </c>
      <c r="AF38" s="156">
        <f>+AC38*E38</f>
        <v>0</v>
      </c>
      <c r="AG38" s="156">
        <f t="shared" si="58"/>
        <v>0.16400000000000003</v>
      </c>
      <c r="AH38" s="156">
        <f t="shared" si="62"/>
        <v>0</v>
      </c>
      <c r="AI38" s="156">
        <f>+P38/F38</f>
        <v>0</v>
      </c>
      <c r="AJ38" s="156">
        <v>3.3333333333333335E-3</v>
      </c>
      <c r="AK38" s="156">
        <f t="shared" si="64"/>
        <v>0.13666666666666669</v>
      </c>
      <c r="AL38" s="156">
        <f>+AI38*E38</f>
        <v>0</v>
      </c>
      <c r="AM38" s="156">
        <f>+AJ38*E38</f>
        <v>3.3333333333333338E-4</v>
      </c>
      <c r="AN38" s="190">
        <f t="shared" si="59"/>
        <v>1.3666666666666669E-2</v>
      </c>
      <c r="AO38" s="521" t="s">
        <v>1844</v>
      </c>
      <c r="AP38" s="765" t="s">
        <v>1886</v>
      </c>
      <c r="AQ38" s="765" t="s">
        <v>1989</v>
      </c>
      <c r="AR38" s="1163"/>
      <c r="AS38" s="765" t="s">
        <v>2107</v>
      </c>
      <c r="AT38" s="782" t="s">
        <v>1859</v>
      </c>
      <c r="AU38" s="599" t="s">
        <v>2306</v>
      </c>
      <c r="AV38" s="765" t="s">
        <v>1887</v>
      </c>
      <c r="AW38" s="765" t="s">
        <v>2294</v>
      </c>
      <c r="AX38" s="115"/>
      <c r="AY38" s="115"/>
      <c r="AZ38" s="115"/>
      <c r="BA38" s="115"/>
      <c r="BB38" s="115"/>
      <c r="BC38" s="115"/>
      <c r="BD38" s="115"/>
      <c r="BE38" s="115"/>
      <c r="BF38" s="115"/>
      <c r="BG38" s="115"/>
      <c r="BH38" s="115"/>
      <c r="BI38" s="115"/>
      <c r="BJ38" s="115"/>
      <c r="BK38" s="115"/>
      <c r="BL38" s="115"/>
      <c r="BM38" s="115"/>
      <c r="BN38" s="115"/>
      <c r="BO38" s="115"/>
    </row>
    <row r="39" spans="1:67" ht="64.2" customHeight="1" thickBot="1" x14ac:dyDescent="0.4">
      <c r="A39" s="119"/>
      <c r="B39" s="1378" t="s">
        <v>711</v>
      </c>
      <c r="C39" s="1379" t="s">
        <v>1416</v>
      </c>
      <c r="D39" s="147" t="s">
        <v>683</v>
      </c>
      <c r="E39" s="137">
        <v>0.35</v>
      </c>
      <c r="F39" s="138">
        <v>10000</v>
      </c>
      <c r="G39" s="134">
        <v>1000</v>
      </c>
      <c r="H39" s="134">
        <v>3000</v>
      </c>
      <c r="I39" s="134">
        <v>3000</v>
      </c>
      <c r="J39" s="139">
        <f>+G39/F39</f>
        <v>0.1</v>
      </c>
      <c r="K39" s="139">
        <f t="shared" si="54"/>
        <v>0.3</v>
      </c>
      <c r="L39" s="139">
        <f t="shared" si="55"/>
        <v>0.3</v>
      </c>
      <c r="M39" s="139">
        <f>+(G39/F39)*E39</f>
        <v>3.4999999999999996E-2</v>
      </c>
      <c r="N39" s="139">
        <f t="shared" si="56"/>
        <v>0.105</v>
      </c>
      <c r="O39" s="139"/>
      <c r="P39" s="134">
        <v>2411</v>
      </c>
      <c r="Q39" s="496">
        <v>0</v>
      </c>
      <c r="R39" s="496">
        <v>0</v>
      </c>
      <c r="S39" s="496">
        <v>1336</v>
      </c>
      <c r="T39" s="496">
        <v>1164</v>
      </c>
      <c r="U39" s="496">
        <v>0</v>
      </c>
      <c r="V39" s="134">
        <f t="shared" si="60"/>
        <v>2500</v>
      </c>
      <c r="W39" s="134">
        <f t="shared" si="61"/>
        <v>4911</v>
      </c>
      <c r="X39" s="496">
        <v>0</v>
      </c>
      <c r="Y39" s="496">
        <v>0</v>
      </c>
      <c r="Z39" s="134"/>
      <c r="AA39" s="134"/>
      <c r="AB39" s="134">
        <f t="shared" si="57"/>
        <v>0</v>
      </c>
      <c r="AC39" s="156">
        <v>1</v>
      </c>
      <c r="AD39" s="156">
        <f t="shared" si="65"/>
        <v>0.83333333333333337</v>
      </c>
      <c r="AE39" s="156">
        <f t="shared" si="63"/>
        <v>0</v>
      </c>
      <c r="AF39" s="156">
        <f>+AC39*E39</f>
        <v>0.35</v>
      </c>
      <c r="AG39" s="156">
        <f t="shared" si="58"/>
        <v>0.29166666666666669</v>
      </c>
      <c r="AH39" s="156">
        <f t="shared" si="62"/>
        <v>0</v>
      </c>
      <c r="AI39" s="156">
        <f>+P39/F39</f>
        <v>0.24110000000000001</v>
      </c>
      <c r="AJ39" s="156">
        <v>0.49109999999999998</v>
      </c>
      <c r="AK39" s="156">
        <f t="shared" si="64"/>
        <v>0.49109999999999998</v>
      </c>
      <c r="AL39" s="156">
        <f>+AI39*E39</f>
        <v>8.4385000000000002E-2</v>
      </c>
      <c r="AM39" s="156">
        <f>+AJ39*E39</f>
        <v>0.17188499999999998</v>
      </c>
      <c r="AN39" s="190">
        <f t="shared" si="59"/>
        <v>0.17188499999999998</v>
      </c>
      <c r="AO39" s="521" t="s">
        <v>1844</v>
      </c>
      <c r="AP39" s="765" t="s">
        <v>1886</v>
      </c>
      <c r="AQ39" s="765" t="s">
        <v>1989</v>
      </c>
      <c r="AR39" s="1163"/>
      <c r="AS39" s="765" t="s">
        <v>2107</v>
      </c>
      <c r="AT39" s="837" t="s">
        <v>2139</v>
      </c>
      <c r="AU39" s="599" t="s">
        <v>2019</v>
      </c>
      <c r="AV39" s="765" t="s">
        <v>1887</v>
      </c>
      <c r="AW39" s="765" t="s">
        <v>2294</v>
      </c>
      <c r="AX39" s="115"/>
      <c r="AY39" s="115"/>
      <c r="AZ39" s="115"/>
      <c r="BA39" s="115"/>
      <c r="BB39" s="115"/>
      <c r="BC39" s="115"/>
      <c r="BD39" s="115"/>
      <c r="BE39" s="115"/>
      <c r="BF39" s="115"/>
      <c r="BG39" s="115"/>
      <c r="BH39" s="115"/>
      <c r="BI39" s="115"/>
      <c r="BJ39" s="115"/>
      <c r="BK39" s="115"/>
      <c r="BL39" s="115"/>
      <c r="BM39" s="115"/>
      <c r="BN39" s="115"/>
      <c r="BO39" s="115"/>
    </row>
    <row r="40" spans="1:67" ht="68.400000000000006" customHeight="1" thickBot="1" x14ac:dyDescent="0.4">
      <c r="A40" s="119"/>
      <c r="B40" s="1376" t="s">
        <v>1704</v>
      </c>
      <c r="C40" s="1377"/>
      <c r="D40" s="147"/>
      <c r="E40" s="130">
        <v>0.25</v>
      </c>
      <c r="F40" s="138"/>
      <c r="G40" s="134"/>
      <c r="H40" s="134"/>
      <c r="I40" s="134"/>
      <c r="J40" s="133">
        <f>+AVERAGE(J41:J42)</f>
        <v>0.58499999999999996</v>
      </c>
      <c r="K40" s="133">
        <f>+AVERAGE(K41:K42)</f>
        <v>0.23500000000000001</v>
      </c>
      <c r="L40" s="133">
        <f>+AVERAGE(L41:L42)</f>
        <v>0.23500000000000001</v>
      </c>
      <c r="M40" s="133">
        <f>+M41+M42</f>
        <v>0.29249999999999998</v>
      </c>
      <c r="N40" s="133">
        <f>+N41+N42</f>
        <v>0.23500000000000001</v>
      </c>
      <c r="O40" s="133"/>
      <c r="P40" s="132"/>
      <c r="Q40" s="132"/>
      <c r="R40" s="132"/>
      <c r="S40" s="132"/>
      <c r="T40" s="132"/>
      <c r="U40" s="836"/>
      <c r="V40" s="134"/>
      <c r="W40" s="132"/>
      <c r="X40" s="132"/>
      <c r="Y40" s="132"/>
      <c r="Z40" s="132"/>
      <c r="AA40" s="132"/>
      <c r="AB40" s="132"/>
      <c r="AC40" s="154">
        <f>+AVERAGE(AC41:AC43)</f>
        <v>1</v>
      </c>
      <c r="AD40" s="154">
        <f>+AVERAGE(AD41:AD42)</f>
        <v>1</v>
      </c>
      <c r="AE40" s="154">
        <f>+AVERAGE(AE41:AE42)</f>
        <v>1</v>
      </c>
      <c r="AF40" s="154">
        <f>+(AF41+AF42)*E40</f>
        <v>0.125</v>
      </c>
      <c r="AG40" s="154">
        <f>+(AG41+AG42)*E40</f>
        <v>0.25</v>
      </c>
      <c r="AH40" s="154">
        <f>+(AH41+AH42)*E40</f>
        <v>0.25</v>
      </c>
      <c r="AI40" s="133">
        <f>+AVERAGE(AI41:AI42)*0.5</f>
        <v>0.30875000000000002</v>
      </c>
      <c r="AJ40" s="133">
        <v>0.54374999999999996</v>
      </c>
      <c r="AK40" s="133">
        <f>+AVERAGE(AK41:AK42)</f>
        <v>0.77875000000000005</v>
      </c>
      <c r="AL40" s="133">
        <f>+(AL41+AL42)*E40</f>
        <v>7.7187500000000006E-2</v>
      </c>
      <c r="AM40" s="133">
        <f>+(AM41+AM42)</f>
        <v>0.54374999999999996</v>
      </c>
      <c r="AN40" s="133">
        <f>+(AN41+AN42)</f>
        <v>0.77875000000000005</v>
      </c>
      <c r="AO40" s="545"/>
      <c r="AP40" s="127"/>
      <c r="AQ40" s="127"/>
      <c r="AR40" s="127"/>
      <c r="AS40" s="127"/>
      <c r="AT40" s="564"/>
      <c r="AU40" s="127"/>
      <c r="AV40" s="127"/>
      <c r="AW40" s="121"/>
      <c r="AX40" s="115"/>
      <c r="AY40" s="115"/>
      <c r="AZ40" s="115"/>
      <c r="BA40" s="115"/>
      <c r="BB40" s="115"/>
      <c r="BC40" s="115"/>
      <c r="BD40" s="115"/>
      <c r="BE40" s="115"/>
      <c r="BF40" s="115"/>
      <c r="BG40" s="115"/>
      <c r="BH40" s="115"/>
      <c r="BI40" s="115"/>
      <c r="BJ40" s="115"/>
      <c r="BK40" s="115"/>
      <c r="BL40" s="115"/>
      <c r="BM40" s="115"/>
      <c r="BN40" s="115"/>
      <c r="BO40" s="115"/>
    </row>
    <row r="41" spans="1:67" ht="69.599999999999994" customHeight="1" thickBot="1" x14ac:dyDescent="0.4">
      <c r="A41" s="119"/>
      <c r="B41" s="1378" t="s">
        <v>712</v>
      </c>
      <c r="C41" s="1379" t="s">
        <v>1417</v>
      </c>
      <c r="D41" s="147" t="s">
        <v>516</v>
      </c>
      <c r="E41" s="137">
        <v>0.5</v>
      </c>
      <c r="F41" s="138">
        <v>400</v>
      </c>
      <c r="G41" s="134">
        <v>234</v>
      </c>
      <c r="H41" s="134">
        <v>55</v>
      </c>
      <c r="I41" s="134">
        <v>55</v>
      </c>
      <c r="J41" s="139">
        <f>+G41/F41</f>
        <v>0.58499999999999996</v>
      </c>
      <c r="K41" s="139">
        <f t="shared" ref="K41:K42" si="66">+H41/F41</f>
        <v>0.13750000000000001</v>
      </c>
      <c r="L41" s="139">
        <f t="shared" ref="L41:L42" si="67">+I41/F41</f>
        <v>0.13750000000000001</v>
      </c>
      <c r="M41" s="139">
        <f>+(G41/F41)*E41</f>
        <v>0.29249999999999998</v>
      </c>
      <c r="N41" s="139">
        <f t="shared" ref="N41:N42" si="68">+(H41/F41)*E41</f>
        <v>6.8750000000000006E-2</v>
      </c>
      <c r="O41" s="139"/>
      <c r="P41" s="134">
        <v>247</v>
      </c>
      <c r="Q41" s="496">
        <v>55</v>
      </c>
      <c r="R41" s="496">
        <v>0</v>
      </c>
      <c r="S41" s="496">
        <v>0</v>
      </c>
      <c r="T41" s="496">
        <v>0</v>
      </c>
      <c r="U41" s="496">
        <v>0</v>
      </c>
      <c r="V41" s="134">
        <f t="shared" si="60"/>
        <v>55</v>
      </c>
      <c r="W41" s="134">
        <f>+V41+P41+AB41</f>
        <v>357</v>
      </c>
      <c r="X41" s="496">
        <v>55</v>
      </c>
      <c r="Y41" s="496">
        <v>0</v>
      </c>
      <c r="Z41" s="134"/>
      <c r="AA41" s="134"/>
      <c r="AB41" s="134">
        <f t="shared" si="57"/>
        <v>55</v>
      </c>
      <c r="AC41" s="139">
        <v>1</v>
      </c>
      <c r="AD41" s="139">
        <f t="shared" ref="AD41:AD42" si="69">+V41/H41</f>
        <v>1</v>
      </c>
      <c r="AE41" s="139">
        <f t="shared" si="63"/>
        <v>1</v>
      </c>
      <c r="AF41" s="139">
        <f>+AC41*E41</f>
        <v>0.5</v>
      </c>
      <c r="AG41" s="139">
        <f t="shared" ref="AG41:AG44" si="70">+AD41*E41</f>
        <v>0.5</v>
      </c>
      <c r="AH41" s="139">
        <f t="shared" si="62"/>
        <v>0.5</v>
      </c>
      <c r="AI41" s="139">
        <f>+P41/F41</f>
        <v>0.61750000000000005</v>
      </c>
      <c r="AJ41" s="139">
        <v>0.755</v>
      </c>
      <c r="AK41" s="139">
        <f t="shared" si="64"/>
        <v>0.89249999999999996</v>
      </c>
      <c r="AL41" s="139">
        <f>+AI41*E41</f>
        <v>0.30875000000000002</v>
      </c>
      <c r="AM41" s="156">
        <f>+AJ41*E41</f>
        <v>0.3775</v>
      </c>
      <c r="AN41" s="190">
        <f t="shared" si="59"/>
        <v>0.44624999999999998</v>
      </c>
      <c r="AO41" s="521" t="s">
        <v>1844</v>
      </c>
      <c r="AP41" s="765" t="s">
        <v>1886</v>
      </c>
      <c r="AQ41" s="765" t="s">
        <v>1989</v>
      </c>
      <c r="AR41" s="765" t="s">
        <v>2010</v>
      </c>
      <c r="AS41" s="765" t="s">
        <v>2107</v>
      </c>
      <c r="AT41" s="837" t="s">
        <v>2139</v>
      </c>
      <c r="AU41" s="599" t="s">
        <v>2224</v>
      </c>
      <c r="AV41" s="127"/>
      <c r="AW41" s="765" t="s">
        <v>2294</v>
      </c>
      <c r="AX41" s="115"/>
      <c r="AY41" s="115"/>
      <c r="AZ41" s="115"/>
      <c r="BA41" s="115"/>
      <c r="BB41" s="115"/>
      <c r="BC41" s="115"/>
      <c r="BD41" s="115"/>
      <c r="BE41" s="115"/>
      <c r="BF41" s="115"/>
      <c r="BG41" s="115"/>
      <c r="BH41" s="115"/>
      <c r="BI41" s="115"/>
      <c r="BJ41" s="115"/>
      <c r="BK41" s="115"/>
      <c r="BL41" s="115"/>
      <c r="BM41" s="115"/>
      <c r="BN41" s="115"/>
      <c r="BO41" s="115"/>
    </row>
    <row r="42" spans="1:67" ht="154.94999999999999" customHeight="1" thickBot="1" x14ac:dyDescent="0.4">
      <c r="A42" s="119"/>
      <c r="B42" s="1378" t="s">
        <v>713</v>
      </c>
      <c r="C42" s="1379" t="s">
        <v>1418</v>
      </c>
      <c r="D42" s="147" t="s">
        <v>516</v>
      </c>
      <c r="E42" s="137">
        <v>0.5</v>
      </c>
      <c r="F42" s="138">
        <v>400</v>
      </c>
      <c r="G42" s="134">
        <v>0</v>
      </c>
      <c r="H42" s="134">
        <v>133</v>
      </c>
      <c r="I42" s="134">
        <v>133</v>
      </c>
      <c r="J42" s="139"/>
      <c r="K42" s="139">
        <f t="shared" si="66"/>
        <v>0.33250000000000002</v>
      </c>
      <c r="L42" s="139">
        <f t="shared" si="67"/>
        <v>0.33250000000000002</v>
      </c>
      <c r="M42" s="139"/>
      <c r="N42" s="139">
        <f t="shared" si="68"/>
        <v>0.16625000000000001</v>
      </c>
      <c r="O42" s="139"/>
      <c r="P42" s="134"/>
      <c r="Q42" s="496">
        <v>0</v>
      </c>
      <c r="R42" s="496">
        <v>89</v>
      </c>
      <c r="S42" s="496">
        <v>44</v>
      </c>
      <c r="T42" s="496">
        <v>0</v>
      </c>
      <c r="U42" s="496">
        <v>0</v>
      </c>
      <c r="V42" s="134">
        <f>+Q42+R42+S42+T42+U42</f>
        <v>133</v>
      </c>
      <c r="W42" s="134">
        <f>+V42+P42+AB42</f>
        <v>266</v>
      </c>
      <c r="X42" s="496">
        <v>133</v>
      </c>
      <c r="Y42" s="496">
        <v>0</v>
      </c>
      <c r="Z42" s="134"/>
      <c r="AA42" s="134"/>
      <c r="AB42" s="134">
        <f>+X42+Y42+Z42+AA42</f>
        <v>133</v>
      </c>
      <c r="AC42" s="139"/>
      <c r="AD42" s="139">
        <f t="shared" si="69"/>
        <v>1</v>
      </c>
      <c r="AE42" s="139">
        <f>+AB42/I42</f>
        <v>1</v>
      </c>
      <c r="AF42" s="139"/>
      <c r="AG42" s="139">
        <f t="shared" si="70"/>
        <v>0.5</v>
      </c>
      <c r="AH42" s="139">
        <f t="shared" si="62"/>
        <v>0.5</v>
      </c>
      <c r="AI42" s="139"/>
      <c r="AJ42" s="139">
        <v>0.33250000000000002</v>
      </c>
      <c r="AK42" s="139">
        <f t="shared" si="64"/>
        <v>0.66500000000000004</v>
      </c>
      <c r="AL42" s="139"/>
      <c r="AM42" s="156">
        <f>+AJ42*E42</f>
        <v>0.16625000000000001</v>
      </c>
      <c r="AN42" s="190">
        <f t="shared" si="59"/>
        <v>0.33250000000000002</v>
      </c>
      <c r="AO42" s="521" t="s">
        <v>1844</v>
      </c>
      <c r="AP42" s="599" t="s">
        <v>1949</v>
      </c>
      <c r="AQ42" s="765" t="s">
        <v>1989</v>
      </c>
      <c r="AR42" s="765" t="s">
        <v>2010</v>
      </c>
      <c r="AS42" s="765" t="s">
        <v>2107</v>
      </c>
      <c r="AT42" s="837" t="s">
        <v>2139</v>
      </c>
      <c r="AU42" s="599" t="s">
        <v>2224</v>
      </c>
      <c r="AV42" s="127"/>
      <c r="AW42" s="765" t="s">
        <v>2294</v>
      </c>
      <c r="AX42" s="115"/>
      <c r="AY42" s="115"/>
      <c r="AZ42" s="115"/>
      <c r="BA42" s="115"/>
      <c r="BB42" s="115"/>
      <c r="BC42" s="115"/>
      <c r="BD42" s="115"/>
      <c r="BE42" s="115"/>
      <c r="BF42" s="115"/>
      <c r="BG42" s="115"/>
      <c r="BH42" s="115"/>
      <c r="BI42" s="115"/>
      <c r="BJ42" s="115"/>
      <c r="BK42" s="115"/>
      <c r="BL42" s="115"/>
      <c r="BM42" s="115"/>
      <c r="BN42" s="115"/>
      <c r="BO42" s="115"/>
    </row>
    <row r="43" spans="1:67" ht="72" customHeight="1" thickBot="1" x14ac:dyDescent="0.4">
      <c r="A43" s="119"/>
      <c r="B43" s="1376" t="s">
        <v>1705</v>
      </c>
      <c r="C43" s="1377"/>
      <c r="D43" s="147"/>
      <c r="E43" s="130">
        <v>0.25</v>
      </c>
      <c r="F43" s="138"/>
      <c r="G43" s="134"/>
      <c r="H43" s="134"/>
      <c r="I43" s="134"/>
      <c r="J43" s="133">
        <f>+AVERAGE(J44)</f>
        <v>0.42307692307692307</v>
      </c>
      <c r="K43" s="133">
        <f>+AVERAGE(K44)</f>
        <v>0.15384615384615385</v>
      </c>
      <c r="L43" s="133">
        <f>+AVERAGE(L44)</f>
        <v>7.6923076923076927E-2</v>
      </c>
      <c r="M43" s="133">
        <f>+M44</f>
        <v>0.42307692307692307</v>
      </c>
      <c r="N43" s="133">
        <f>+N44</f>
        <v>0.15384615384615385</v>
      </c>
      <c r="O43" s="133"/>
      <c r="P43" s="132"/>
      <c r="Q43" s="132"/>
      <c r="R43" s="132"/>
      <c r="S43" s="132"/>
      <c r="T43" s="132"/>
      <c r="U43" s="836"/>
      <c r="V43" s="134"/>
      <c r="W43" s="132"/>
      <c r="X43" s="132"/>
      <c r="Y43" s="132"/>
      <c r="Z43" s="132"/>
      <c r="AA43" s="132"/>
      <c r="AB43" s="132"/>
      <c r="AC43" s="154">
        <f>+AVERAGE(AC44)</f>
        <v>1</v>
      </c>
      <c r="AD43" s="154">
        <f>+AVERAGE(AD44)</f>
        <v>1</v>
      </c>
      <c r="AE43" s="154">
        <f>+AVERAGE(AE44)</f>
        <v>0.5</v>
      </c>
      <c r="AF43" s="154">
        <f>+(AF44)*E43</f>
        <v>0.25</v>
      </c>
      <c r="AG43" s="154">
        <f>+(AG44)*F43</f>
        <v>0</v>
      </c>
      <c r="AH43" s="154">
        <f>+(AH44)*E43</f>
        <v>0.125</v>
      </c>
      <c r="AI43" s="133">
        <f>+AVERAGE(AI44)</f>
        <v>0.44538461538461538</v>
      </c>
      <c r="AJ43" s="133">
        <v>0.86307692307692307</v>
      </c>
      <c r="AK43" s="133">
        <f>+AVERAGE(AK44)</f>
        <v>0.90153846153846151</v>
      </c>
      <c r="AL43" s="133">
        <f>+(AL44)*E43</f>
        <v>0.11134615384615384</v>
      </c>
      <c r="AM43" s="133">
        <f>+(AM44)</f>
        <v>0.86307692307692307</v>
      </c>
      <c r="AN43" s="133">
        <f>+(AN44)</f>
        <v>0.90153846153846151</v>
      </c>
      <c r="AO43" s="545"/>
      <c r="AP43" s="127"/>
      <c r="AQ43" s="127"/>
      <c r="AR43" s="127"/>
      <c r="AS43" s="127"/>
      <c r="AT43" s="564"/>
      <c r="AU43" s="127"/>
      <c r="AV43" s="127"/>
      <c r="AW43" s="121"/>
      <c r="AX43" s="115"/>
      <c r="AY43" s="115"/>
      <c r="AZ43" s="115"/>
      <c r="BA43" s="115"/>
      <c r="BB43" s="115"/>
      <c r="BC43" s="115"/>
      <c r="BD43" s="115"/>
      <c r="BE43" s="115"/>
      <c r="BF43" s="115"/>
      <c r="BG43" s="115"/>
      <c r="BH43" s="115"/>
      <c r="BI43" s="115"/>
      <c r="BJ43" s="115"/>
      <c r="BK43" s="115"/>
      <c r="BL43" s="115"/>
      <c r="BM43" s="115"/>
      <c r="BN43" s="115"/>
      <c r="BO43" s="115"/>
    </row>
    <row r="44" spans="1:67" ht="82.2" customHeight="1" thickBot="1" x14ac:dyDescent="0.4">
      <c r="A44" s="119"/>
      <c r="B44" s="1378" t="s">
        <v>714</v>
      </c>
      <c r="C44" s="1379" t="s">
        <v>1419</v>
      </c>
      <c r="D44" s="147" t="s">
        <v>58</v>
      </c>
      <c r="E44" s="137">
        <v>1</v>
      </c>
      <c r="F44" s="138">
        <v>1300</v>
      </c>
      <c r="G44" s="134">
        <v>550</v>
      </c>
      <c r="H44" s="134">
        <v>200</v>
      </c>
      <c r="I44" s="134">
        <v>100</v>
      </c>
      <c r="J44" s="139">
        <f>+G44/F44</f>
        <v>0.42307692307692307</v>
      </c>
      <c r="K44" s="139">
        <f>+H44/F44</f>
        <v>0.15384615384615385</v>
      </c>
      <c r="L44" s="139">
        <f>+I44/F44</f>
        <v>7.6923076923076927E-2</v>
      </c>
      <c r="M44" s="139">
        <f>+(G44/F44)*E44</f>
        <v>0.42307692307692307</v>
      </c>
      <c r="N44" s="139">
        <f t="shared" ref="N44" si="71">+(H44/F44)*E44</f>
        <v>0.15384615384615385</v>
      </c>
      <c r="O44" s="139"/>
      <c r="P44" s="134">
        <v>579</v>
      </c>
      <c r="Q44" s="496">
        <v>0</v>
      </c>
      <c r="R44" s="496">
        <v>40</v>
      </c>
      <c r="S44" s="496">
        <v>55</v>
      </c>
      <c r="T44" s="496">
        <v>200</v>
      </c>
      <c r="U44" s="496">
        <v>248</v>
      </c>
      <c r="V44" s="134">
        <f>+Q44+R44+S44+T44+U44</f>
        <v>543</v>
      </c>
      <c r="W44" s="134">
        <f>+V44+P44+AB44</f>
        <v>1172</v>
      </c>
      <c r="X44" s="496">
        <v>0</v>
      </c>
      <c r="Y44" s="496">
        <v>50</v>
      </c>
      <c r="Z44" s="134"/>
      <c r="AA44" s="134"/>
      <c r="AB44" s="134">
        <f>+X44+Y44+Z44+AA44</f>
        <v>50</v>
      </c>
      <c r="AC44" s="156">
        <v>1</v>
      </c>
      <c r="AD44" s="156">
        <v>1</v>
      </c>
      <c r="AE44" s="156">
        <f>+AB44/I44</f>
        <v>0.5</v>
      </c>
      <c r="AF44" s="156">
        <f>+AC44*E44</f>
        <v>1</v>
      </c>
      <c r="AG44" s="156">
        <f t="shared" si="70"/>
        <v>1</v>
      </c>
      <c r="AH44" s="156">
        <f>+AE44*E44</f>
        <v>0.5</v>
      </c>
      <c r="AI44" s="156">
        <f>+P44/F44</f>
        <v>0.44538461538461538</v>
      </c>
      <c r="AJ44" s="156">
        <v>0.86307692307692307</v>
      </c>
      <c r="AK44" s="156">
        <f t="shared" si="64"/>
        <v>0.90153846153846151</v>
      </c>
      <c r="AL44" s="156">
        <f>+AI44*E44</f>
        <v>0.44538461538461538</v>
      </c>
      <c r="AM44" s="156">
        <f>+AJ44*E44</f>
        <v>0.86307692307692307</v>
      </c>
      <c r="AN44" s="156">
        <f>+AK44*E44</f>
        <v>0.90153846153846151</v>
      </c>
      <c r="AO44" s="545"/>
      <c r="AP44" s="765" t="s">
        <v>1886</v>
      </c>
      <c r="AQ44" s="765" t="s">
        <v>1989</v>
      </c>
      <c r="AR44" s="765" t="s">
        <v>2010</v>
      </c>
      <c r="AS44" s="765" t="s">
        <v>2107</v>
      </c>
      <c r="AT44" s="837" t="s">
        <v>2139</v>
      </c>
      <c r="AU44" s="765" t="s">
        <v>2196</v>
      </c>
      <c r="AV44" s="765" t="s">
        <v>1887</v>
      </c>
      <c r="AW44" s="765" t="s">
        <v>2294</v>
      </c>
      <c r="AX44" s="115"/>
      <c r="AY44" s="115"/>
      <c r="AZ44" s="115"/>
      <c r="BA44" s="115"/>
      <c r="BB44" s="115"/>
      <c r="BC44" s="115"/>
      <c r="BD44" s="115"/>
      <c r="BE44" s="115"/>
      <c r="BF44" s="115"/>
      <c r="BG44" s="115"/>
      <c r="BH44" s="115"/>
      <c r="BI44" s="115"/>
      <c r="BJ44" s="115"/>
      <c r="BK44" s="115"/>
      <c r="BL44" s="115"/>
      <c r="BM44" s="115"/>
      <c r="BN44" s="115"/>
      <c r="BO44" s="115"/>
    </row>
    <row r="45" spans="1:67" ht="114.6" customHeight="1" thickBot="1" x14ac:dyDescent="0.4">
      <c r="A45" s="119"/>
      <c r="B45" s="1374" t="s">
        <v>1789</v>
      </c>
      <c r="C45" s="1377"/>
      <c r="D45" s="147"/>
      <c r="E45" s="122">
        <v>0.2</v>
      </c>
      <c r="F45" s="123">
        <f>+E45*AF45</f>
        <v>8.5500000000000007E-2</v>
      </c>
      <c r="G45" s="127"/>
      <c r="H45" s="123">
        <f>+E45*AG45</f>
        <v>0.167075</v>
      </c>
      <c r="I45" s="123">
        <f>+E45*AH45</f>
        <v>6.7106666666666676E-2</v>
      </c>
      <c r="J45" s="125">
        <f>+(J46+J54+J59+J64)/3</f>
        <v>0.15416666666666667</v>
      </c>
      <c r="K45" s="125">
        <f>+(K46+K54+K59+K64)/4</f>
        <v>0.28135416666666668</v>
      </c>
      <c r="L45" s="125">
        <f>+(L46+L54+L59+L64)/4</f>
        <v>0.37308035714285714</v>
      </c>
      <c r="M45" s="126">
        <f>+(M46+M54+M59+M64)/4</f>
        <v>5.2656250000000002E-2</v>
      </c>
      <c r="N45" s="126">
        <f>+(N46+N54+N59+N64)/4</f>
        <v>0.28637500000000005</v>
      </c>
      <c r="O45" s="126"/>
      <c r="P45" s="127"/>
      <c r="Q45" s="127"/>
      <c r="R45" s="127"/>
      <c r="S45" s="127"/>
      <c r="T45" s="127"/>
      <c r="U45" s="835"/>
      <c r="V45" s="819"/>
      <c r="W45" s="127"/>
      <c r="X45" s="127"/>
      <c r="Y45" s="127"/>
      <c r="Z45" s="127"/>
      <c r="AA45" s="127"/>
      <c r="AB45" s="127"/>
      <c r="AC45" s="125">
        <f>+(AC46+AC54+AC59+AC64)/3</f>
        <v>1</v>
      </c>
      <c r="AD45" s="125">
        <f>+(AD46+AD54+AD59+AD64)/4</f>
        <v>0.70187500000000003</v>
      </c>
      <c r="AE45" s="125">
        <f>+(AE46+AE54+AE59+AE64)/4</f>
        <v>0.323125</v>
      </c>
      <c r="AF45" s="126">
        <f>AF46+AF54+AF59+AF64</f>
        <v>0.42749999999999999</v>
      </c>
      <c r="AG45" s="126">
        <f>AG46+AG54+AG59+AG64</f>
        <v>0.83537499999999998</v>
      </c>
      <c r="AH45" s="126">
        <f>AH46+AH54+AH59+AH64</f>
        <v>0.33553333333333335</v>
      </c>
      <c r="AI45" s="125">
        <f>(AI46+AI54+AI59+AI64)/3</f>
        <v>0.17056250000000003</v>
      </c>
      <c r="AJ45" s="125">
        <v>0.39236458333333335</v>
      </c>
      <c r="AK45" s="979">
        <f>(AK46+AK54+AK59+AK64)/4</f>
        <v>0.48835863095238097</v>
      </c>
      <c r="AL45" s="126">
        <f>AL46+AL54+AL59+AL64</f>
        <v>0.11891499999999999</v>
      </c>
      <c r="AM45" s="126">
        <f>(AM46*E46)+(AM54*E54)+(AM59*E59)+(AM64*E64)</f>
        <v>0.48483416666666668</v>
      </c>
      <c r="AN45" s="126">
        <f>(AN46*E46)+(AN54*E54)+(AN59*E59)+(AN64*E64)</f>
        <v>0.57444583333333343</v>
      </c>
      <c r="AO45" s="545"/>
      <c r="AP45" s="545"/>
      <c r="AQ45" s="127"/>
      <c r="AR45" s="127"/>
      <c r="AS45" s="127"/>
      <c r="AT45" s="564"/>
      <c r="AU45" s="127"/>
      <c r="AV45" s="127"/>
      <c r="AW45" s="121"/>
      <c r="AX45" s="115"/>
      <c r="AY45" s="115"/>
      <c r="AZ45" s="115"/>
      <c r="BA45" s="115"/>
      <c r="BB45" s="115"/>
      <c r="BC45" s="115"/>
      <c r="BD45" s="115"/>
      <c r="BE45" s="115"/>
      <c r="BF45" s="115"/>
      <c r="BG45" s="115"/>
      <c r="BH45" s="115"/>
      <c r="BI45" s="115"/>
      <c r="BJ45" s="115"/>
      <c r="BK45" s="115"/>
      <c r="BL45" s="115"/>
      <c r="BM45" s="115"/>
      <c r="BN45" s="115"/>
      <c r="BO45" s="115"/>
    </row>
    <row r="46" spans="1:67" ht="149.4" customHeight="1" thickBot="1" x14ac:dyDescent="0.4">
      <c r="A46" s="119"/>
      <c r="B46" s="1376" t="s">
        <v>1706</v>
      </c>
      <c r="C46" s="1377"/>
      <c r="D46" s="147"/>
      <c r="E46" s="130">
        <v>0.25</v>
      </c>
      <c r="F46" s="149"/>
      <c r="G46" s="127"/>
      <c r="H46" s="127"/>
      <c r="I46" s="127"/>
      <c r="J46" s="133">
        <f>+AVERAGE(J47:J53)</f>
        <v>0.21249999999999999</v>
      </c>
      <c r="K46" s="133">
        <f>+AVERAGE(K47:K53)</f>
        <v>0.32916666666666666</v>
      </c>
      <c r="L46" s="133">
        <f>+AVERAGE(L47:L53)</f>
        <v>0.28857142857142859</v>
      </c>
      <c r="M46" s="133">
        <f>+M47+M48+M49+M50+M51+M52+M53</f>
        <v>7.8125E-2</v>
      </c>
      <c r="N46" s="133">
        <f>+N47+N48+N49+N50+N51+N52+N53</f>
        <v>0.27500000000000002</v>
      </c>
      <c r="O46" s="133"/>
      <c r="P46" s="132"/>
      <c r="Q46" s="132"/>
      <c r="R46" s="132"/>
      <c r="S46" s="132"/>
      <c r="T46" s="132"/>
      <c r="U46" s="836"/>
      <c r="V46" s="134"/>
      <c r="W46" s="132"/>
      <c r="X46" s="132"/>
      <c r="Y46" s="132"/>
      <c r="Z46" s="132"/>
      <c r="AA46" s="132"/>
      <c r="AB46" s="132"/>
      <c r="AC46" s="154">
        <f>+AVERAGE(AC47:AC53)</f>
        <v>1</v>
      </c>
      <c r="AD46" s="154">
        <f>+AVERAGE(AD47:AD53)</f>
        <v>0.84500000000000008</v>
      </c>
      <c r="AE46" s="154">
        <f>+AVERAGE(AE47:AE53)</f>
        <v>0</v>
      </c>
      <c r="AF46" s="154">
        <f>+(AF47+AF48+AF49+AF50+AF51+AF52+AF53)*E46</f>
        <v>8.7499999999999994E-2</v>
      </c>
      <c r="AG46" s="154">
        <f>+(AG47+AG48+AG49+AG50+AG51+AG52+AG53)*E46</f>
        <v>0.203375</v>
      </c>
      <c r="AH46" s="154">
        <f>+(AH47+AH48+AH49+AH50+AH51+AH52+AH53)*E46</f>
        <v>0</v>
      </c>
      <c r="AI46" s="133">
        <f>+AVERAGE(AI47:AI53)</f>
        <v>0.16250000000000001</v>
      </c>
      <c r="AJ46" s="133">
        <v>0.3838333333333333</v>
      </c>
      <c r="AK46" s="133">
        <f>+AVERAGE(AK47:AK53)</f>
        <v>0.33614285714285713</v>
      </c>
      <c r="AL46" s="133">
        <f>+(AL47+AL48+AL49+AL50+AL51+AL52+AL53)*E46</f>
        <v>1.6406250000000001E-2</v>
      </c>
      <c r="AM46" s="133">
        <f>+(AM47+AM48+AM49+AM50+AM51+AM52+AM53)</f>
        <v>0.34800000000000003</v>
      </c>
      <c r="AN46" s="133">
        <f>+(AN47+AN48+AN49+AN50+AN51+AN52+AN53)</f>
        <v>0.35300000000000004</v>
      </c>
      <c r="AO46" s="545"/>
      <c r="AP46" s="127"/>
      <c r="AQ46" s="127"/>
      <c r="AR46" s="127"/>
      <c r="AS46" s="127"/>
      <c r="AT46" s="564"/>
      <c r="AU46" s="127"/>
      <c r="AV46" s="127"/>
      <c r="AW46" s="121"/>
      <c r="AX46" s="115"/>
      <c r="AY46" s="115"/>
      <c r="AZ46" s="115"/>
      <c r="BA46" s="115"/>
      <c r="BB46" s="115"/>
      <c r="BC46" s="115"/>
      <c r="BD46" s="115"/>
      <c r="BE46" s="115"/>
      <c r="BF46" s="115"/>
      <c r="BG46" s="115"/>
      <c r="BH46" s="115"/>
      <c r="BI46" s="115"/>
      <c r="BJ46" s="115"/>
      <c r="BK46" s="115"/>
      <c r="BL46" s="115"/>
      <c r="BM46" s="115"/>
      <c r="BN46" s="115"/>
      <c r="BO46" s="115"/>
    </row>
    <row r="47" spans="1:67" ht="72" customHeight="1" thickBot="1" x14ac:dyDescent="0.4">
      <c r="A47" s="119"/>
      <c r="B47" s="1378" t="s">
        <v>715</v>
      </c>
      <c r="C47" s="1379" t="s">
        <v>1420</v>
      </c>
      <c r="D47" s="151" t="s">
        <v>683</v>
      </c>
      <c r="E47" s="152">
        <v>0.05</v>
      </c>
      <c r="F47" s="138">
        <v>4</v>
      </c>
      <c r="G47" s="134">
        <v>1</v>
      </c>
      <c r="H47" s="134">
        <v>2</v>
      </c>
      <c r="I47" s="134">
        <v>2</v>
      </c>
      <c r="J47" s="139">
        <f>+G47/F47</f>
        <v>0.25</v>
      </c>
      <c r="K47" s="139">
        <f t="shared" ref="K47:K66" si="72">+H47/F47</f>
        <v>0.5</v>
      </c>
      <c r="L47" s="139">
        <f t="shared" ref="L47:L66" si="73">+I47/F47</f>
        <v>0.5</v>
      </c>
      <c r="M47" s="139">
        <f>+(G47/F47)*E47</f>
        <v>1.2500000000000001E-2</v>
      </c>
      <c r="N47" s="139">
        <f t="shared" ref="N47:N66" si="74">+(H47/F47)*E47</f>
        <v>2.5000000000000001E-2</v>
      </c>
      <c r="O47" s="139"/>
      <c r="P47" s="134">
        <v>0</v>
      </c>
      <c r="Q47" s="496">
        <v>0</v>
      </c>
      <c r="R47" s="496">
        <v>0</v>
      </c>
      <c r="S47" s="496">
        <v>0.25</v>
      </c>
      <c r="T47" s="496">
        <v>0.75</v>
      </c>
      <c r="U47" s="496">
        <v>0</v>
      </c>
      <c r="V47" s="134">
        <f t="shared" si="60"/>
        <v>1</v>
      </c>
      <c r="W47" s="134">
        <f>+V47+P47+AB47</f>
        <v>1</v>
      </c>
      <c r="X47" s="496">
        <v>0</v>
      </c>
      <c r="Y47" s="496">
        <v>0</v>
      </c>
      <c r="Z47" s="134"/>
      <c r="AA47" s="134"/>
      <c r="AB47" s="134">
        <f t="shared" ref="AB47:AB99" si="75">+X47+Y47+Z47+AA47</f>
        <v>0</v>
      </c>
      <c r="AC47" s="156">
        <v>1</v>
      </c>
      <c r="AD47" s="156">
        <f t="shared" ref="AD47:AD52" si="76">+V47/H47</f>
        <v>0.5</v>
      </c>
      <c r="AE47" s="156">
        <f t="shared" ref="AE47:AE63" si="77">+AB47/I47</f>
        <v>0</v>
      </c>
      <c r="AF47" s="156">
        <f>+AC47*E47</f>
        <v>0.05</v>
      </c>
      <c r="AG47" s="156">
        <f t="shared" ref="AG47:AG52" si="78">+AD47*E47</f>
        <v>2.5000000000000001E-2</v>
      </c>
      <c r="AH47" s="156">
        <f t="shared" ref="AH47:AH66" si="79">+AE47*E47</f>
        <v>0</v>
      </c>
      <c r="AI47" s="156">
        <f>+P47/F47</f>
        <v>0</v>
      </c>
      <c r="AJ47" s="697">
        <v>0.25</v>
      </c>
      <c r="AK47" s="697">
        <f t="shared" ref="AK47:AK66" si="80">+W47/F47</f>
        <v>0.25</v>
      </c>
      <c r="AL47" s="156">
        <f t="shared" ref="AL47:AL52" si="81">+AI47*E47</f>
        <v>0</v>
      </c>
      <c r="AM47" s="156">
        <f>+AJ47*E47</f>
        <v>1.2500000000000001E-2</v>
      </c>
      <c r="AN47" s="156">
        <f t="shared" ref="AN47:AN66" si="82">+AK47*E47</f>
        <v>1.2500000000000001E-2</v>
      </c>
      <c r="AO47" s="521" t="s">
        <v>1844</v>
      </c>
      <c r="AP47" s="599" t="s">
        <v>1892</v>
      </c>
      <c r="AQ47" s="765" t="s">
        <v>1989</v>
      </c>
      <c r="AR47" s="765" t="s">
        <v>2010</v>
      </c>
      <c r="AS47" s="599" t="s">
        <v>1859</v>
      </c>
      <c r="AT47" s="837" t="s">
        <v>2139</v>
      </c>
      <c r="AU47" s="599" t="s">
        <v>2214</v>
      </c>
      <c r="AV47" s="765" t="s">
        <v>1887</v>
      </c>
      <c r="AW47" s="765" t="s">
        <v>2294</v>
      </c>
      <c r="AX47" s="115"/>
      <c r="AY47" s="115"/>
      <c r="AZ47" s="115"/>
      <c r="BA47" s="115"/>
      <c r="BB47" s="115"/>
      <c r="BC47" s="115"/>
      <c r="BD47" s="115"/>
      <c r="BE47" s="115"/>
      <c r="BF47" s="115"/>
      <c r="BG47" s="115"/>
      <c r="BH47" s="115"/>
      <c r="BI47" s="115"/>
      <c r="BJ47" s="115"/>
      <c r="BK47" s="115"/>
      <c r="BL47" s="115"/>
      <c r="BM47" s="115"/>
      <c r="BN47" s="115"/>
      <c r="BO47" s="115"/>
    </row>
    <row r="48" spans="1:67" ht="52.2" customHeight="1" thickBot="1" x14ac:dyDescent="0.4">
      <c r="A48" s="119"/>
      <c r="B48" s="1378" t="s">
        <v>716</v>
      </c>
      <c r="C48" s="1379" t="s">
        <v>1421</v>
      </c>
      <c r="D48" s="147" t="s">
        <v>683</v>
      </c>
      <c r="E48" s="137">
        <v>0.1</v>
      </c>
      <c r="F48" s="138">
        <v>4</v>
      </c>
      <c r="G48" s="134">
        <v>1</v>
      </c>
      <c r="H48" s="690">
        <v>0.5</v>
      </c>
      <c r="I48" s="690">
        <v>0.6</v>
      </c>
      <c r="J48" s="139">
        <f>+G48/F48</f>
        <v>0.25</v>
      </c>
      <c r="K48" s="139">
        <f t="shared" si="72"/>
        <v>0.125</v>
      </c>
      <c r="L48" s="139">
        <f t="shared" si="73"/>
        <v>0.15</v>
      </c>
      <c r="M48" s="139">
        <f>+(G48/F48)*E48</f>
        <v>2.5000000000000001E-2</v>
      </c>
      <c r="N48" s="139">
        <f t="shared" si="74"/>
        <v>1.2500000000000001E-2</v>
      </c>
      <c r="O48" s="139"/>
      <c r="P48" s="134">
        <v>1</v>
      </c>
      <c r="Q48" s="496">
        <v>0</v>
      </c>
      <c r="R48" s="496">
        <v>0.3</v>
      </c>
      <c r="S48" s="496">
        <v>0.1</v>
      </c>
      <c r="T48" s="496"/>
      <c r="U48" s="496">
        <v>0.2</v>
      </c>
      <c r="V48" s="134">
        <f t="shared" si="60"/>
        <v>0.60000000000000009</v>
      </c>
      <c r="W48" s="134">
        <f t="shared" ref="W48:W53" si="83">+V48+P48+AB48</f>
        <v>1.6</v>
      </c>
      <c r="X48" s="496">
        <v>0</v>
      </c>
      <c r="Y48" s="496">
        <v>0</v>
      </c>
      <c r="Z48" s="134"/>
      <c r="AA48" s="134"/>
      <c r="AB48" s="134">
        <f t="shared" si="75"/>
        <v>0</v>
      </c>
      <c r="AC48" s="156">
        <v>1</v>
      </c>
      <c r="AD48" s="156">
        <f t="shared" si="76"/>
        <v>1.2000000000000002</v>
      </c>
      <c r="AE48" s="156">
        <f t="shared" si="77"/>
        <v>0</v>
      </c>
      <c r="AF48" s="156">
        <f>+AC48*E48</f>
        <v>0.1</v>
      </c>
      <c r="AG48" s="156">
        <f t="shared" si="78"/>
        <v>0.12000000000000002</v>
      </c>
      <c r="AH48" s="156">
        <f t="shared" si="79"/>
        <v>0</v>
      </c>
      <c r="AI48" s="156">
        <f>+P48/F48</f>
        <v>0.25</v>
      </c>
      <c r="AJ48" s="697">
        <v>0.35</v>
      </c>
      <c r="AK48" s="697">
        <f t="shared" si="80"/>
        <v>0.4</v>
      </c>
      <c r="AL48" s="156">
        <f t="shared" si="81"/>
        <v>2.5000000000000001E-2</v>
      </c>
      <c r="AM48" s="156">
        <f>+AJ48*E48</f>
        <v>3.4999999999999996E-2</v>
      </c>
      <c r="AN48" s="156">
        <f t="shared" si="82"/>
        <v>4.0000000000000008E-2</v>
      </c>
      <c r="AO48" s="521" t="s">
        <v>1844</v>
      </c>
      <c r="AP48" s="526" t="s">
        <v>1886</v>
      </c>
      <c r="AQ48" s="765" t="s">
        <v>1989</v>
      </c>
      <c r="AR48" s="765" t="s">
        <v>2010</v>
      </c>
      <c r="AS48" s="765" t="s">
        <v>2107</v>
      </c>
      <c r="AT48" s="782" t="s">
        <v>1859</v>
      </c>
      <c r="AU48" s="599" t="s">
        <v>2215</v>
      </c>
      <c r="AV48" s="765" t="s">
        <v>1887</v>
      </c>
      <c r="AW48" s="765" t="s">
        <v>2294</v>
      </c>
      <c r="AX48" s="115"/>
      <c r="AY48" s="115"/>
      <c r="AZ48" s="115"/>
      <c r="BA48" s="115"/>
      <c r="BB48" s="115"/>
      <c r="BC48" s="115"/>
      <c r="BD48" s="115"/>
      <c r="BE48" s="115"/>
      <c r="BF48" s="115"/>
      <c r="BG48" s="115"/>
      <c r="BH48" s="115"/>
      <c r="BI48" s="115"/>
      <c r="BJ48" s="115"/>
      <c r="BK48" s="115"/>
      <c r="BL48" s="115"/>
      <c r="BM48" s="115"/>
      <c r="BN48" s="115"/>
      <c r="BO48" s="115"/>
    </row>
    <row r="49" spans="1:67" ht="89.4" customHeight="1" thickBot="1" x14ac:dyDescent="0.4">
      <c r="A49" s="119"/>
      <c r="B49" s="1378" t="s">
        <v>717</v>
      </c>
      <c r="C49" s="1379" t="s">
        <v>1422</v>
      </c>
      <c r="D49" s="147" t="s">
        <v>683</v>
      </c>
      <c r="E49" s="137">
        <v>0.1</v>
      </c>
      <c r="F49" s="138">
        <v>4</v>
      </c>
      <c r="G49" s="134">
        <v>1</v>
      </c>
      <c r="H49" s="134">
        <v>1</v>
      </c>
      <c r="I49" s="134">
        <v>0.5</v>
      </c>
      <c r="J49" s="139">
        <f>+G49/F49</f>
        <v>0.25</v>
      </c>
      <c r="K49" s="139">
        <f t="shared" si="72"/>
        <v>0.25</v>
      </c>
      <c r="L49" s="139">
        <f>+I49/F49</f>
        <v>0.125</v>
      </c>
      <c r="M49" s="139">
        <f>+(G49/F49)*E49</f>
        <v>2.5000000000000001E-2</v>
      </c>
      <c r="N49" s="139">
        <f t="shared" si="74"/>
        <v>2.5000000000000001E-2</v>
      </c>
      <c r="O49" s="139"/>
      <c r="P49" s="134">
        <v>1</v>
      </c>
      <c r="Q49" s="496">
        <v>0</v>
      </c>
      <c r="R49" s="496">
        <v>0.3</v>
      </c>
      <c r="S49" s="496">
        <v>0.7</v>
      </c>
      <c r="T49" s="496"/>
      <c r="U49" s="496"/>
      <c r="V49" s="134">
        <f t="shared" si="60"/>
        <v>1</v>
      </c>
      <c r="W49" s="134">
        <f t="shared" si="83"/>
        <v>2</v>
      </c>
      <c r="X49" s="496">
        <v>0</v>
      </c>
      <c r="Y49" s="496">
        <v>0</v>
      </c>
      <c r="Z49" s="134"/>
      <c r="AA49" s="134"/>
      <c r="AB49" s="134">
        <f t="shared" si="75"/>
        <v>0</v>
      </c>
      <c r="AC49" s="156">
        <v>1</v>
      </c>
      <c r="AD49" s="156">
        <v>1</v>
      </c>
      <c r="AE49" s="156">
        <f t="shared" si="77"/>
        <v>0</v>
      </c>
      <c r="AF49" s="156">
        <f>+AC49*E49</f>
        <v>0.1</v>
      </c>
      <c r="AG49" s="156">
        <f t="shared" si="78"/>
        <v>0.1</v>
      </c>
      <c r="AH49" s="156">
        <f t="shared" si="79"/>
        <v>0</v>
      </c>
      <c r="AI49" s="156">
        <f>+P49/F49</f>
        <v>0.25</v>
      </c>
      <c r="AJ49" s="697">
        <v>0.5</v>
      </c>
      <c r="AK49" s="697">
        <f t="shared" si="80"/>
        <v>0.5</v>
      </c>
      <c r="AL49" s="156">
        <f t="shared" si="81"/>
        <v>2.5000000000000001E-2</v>
      </c>
      <c r="AM49" s="156">
        <f>+AJ49*E49</f>
        <v>0.05</v>
      </c>
      <c r="AN49" s="156">
        <f t="shared" si="82"/>
        <v>0.05</v>
      </c>
      <c r="AO49" s="521" t="s">
        <v>1844</v>
      </c>
      <c r="AP49" s="765" t="s">
        <v>1886</v>
      </c>
      <c r="AQ49" s="765" t="s">
        <v>1989</v>
      </c>
      <c r="AR49" s="765" t="s">
        <v>2010</v>
      </c>
      <c r="AS49" s="765" t="s">
        <v>2107</v>
      </c>
      <c r="AT49" s="782" t="s">
        <v>1859</v>
      </c>
      <c r="AU49" s="599" t="s">
        <v>2216</v>
      </c>
      <c r="AV49" s="765" t="s">
        <v>1887</v>
      </c>
      <c r="AW49" s="765" t="s">
        <v>2294</v>
      </c>
      <c r="AX49" s="115"/>
      <c r="AY49" s="115"/>
      <c r="AZ49" s="115"/>
      <c r="BA49" s="115"/>
      <c r="BB49" s="115"/>
      <c r="BC49" s="115"/>
      <c r="BD49" s="115"/>
      <c r="BE49" s="115"/>
      <c r="BF49" s="115"/>
      <c r="BG49" s="115"/>
      <c r="BH49" s="115"/>
      <c r="BI49" s="115"/>
      <c r="BJ49" s="115"/>
      <c r="BK49" s="115"/>
      <c r="BL49" s="115"/>
      <c r="BM49" s="115"/>
      <c r="BN49" s="115"/>
      <c r="BO49" s="115"/>
    </row>
    <row r="50" spans="1:67" ht="82.95" customHeight="1" thickBot="1" x14ac:dyDescent="0.4">
      <c r="A50" s="119"/>
      <c r="B50" s="1378" t="s">
        <v>718</v>
      </c>
      <c r="C50" s="1379" t="s">
        <v>1423</v>
      </c>
      <c r="D50" s="151" t="s">
        <v>683</v>
      </c>
      <c r="E50" s="152">
        <v>0.5</v>
      </c>
      <c r="F50" s="138">
        <v>2000</v>
      </c>
      <c r="G50" s="134">
        <v>0</v>
      </c>
      <c r="H50" s="134">
        <v>700</v>
      </c>
      <c r="I50" s="134">
        <v>700</v>
      </c>
      <c r="J50" s="139"/>
      <c r="K50" s="139">
        <f t="shared" si="72"/>
        <v>0.35</v>
      </c>
      <c r="L50" s="139">
        <f t="shared" si="73"/>
        <v>0.35</v>
      </c>
      <c r="M50" s="139"/>
      <c r="N50" s="139">
        <f t="shared" si="74"/>
        <v>0.17499999999999999</v>
      </c>
      <c r="O50" s="139"/>
      <c r="P50" s="134"/>
      <c r="Q50" s="496">
        <v>0</v>
      </c>
      <c r="R50" s="496">
        <v>0</v>
      </c>
      <c r="S50" s="496">
        <v>723</v>
      </c>
      <c r="T50" s="496">
        <v>123</v>
      </c>
      <c r="U50" s="496">
        <v>0</v>
      </c>
      <c r="V50" s="134">
        <f t="shared" si="60"/>
        <v>846</v>
      </c>
      <c r="W50" s="134">
        <f>+V50+P50+AB50</f>
        <v>846</v>
      </c>
      <c r="X50" s="496">
        <v>0</v>
      </c>
      <c r="Y50" s="496">
        <v>0</v>
      </c>
      <c r="Z50" s="134"/>
      <c r="AA50" s="134"/>
      <c r="AB50" s="134">
        <f t="shared" si="75"/>
        <v>0</v>
      </c>
      <c r="AC50" s="156"/>
      <c r="AD50" s="156">
        <v>1</v>
      </c>
      <c r="AE50" s="156">
        <f t="shared" si="77"/>
        <v>0</v>
      </c>
      <c r="AF50" s="156"/>
      <c r="AG50" s="156">
        <f t="shared" si="78"/>
        <v>0.5</v>
      </c>
      <c r="AH50" s="156">
        <f t="shared" si="79"/>
        <v>0</v>
      </c>
      <c r="AI50" s="156"/>
      <c r="AJ50" s="697">
        <v>0.42299999999999999</v>
      </c>
      <c r="AK50" s="697">
        <f t="shared" si="80"/>
        <v>0.42299999999999999</v>
      </c>
      <c r="AL50" s="156">
        <f t="shared" si="81"/>
        <v>0</v>
      </c>
      <c r="AM50" s="156">
        <f t="shared" ref="AM50:AM53" si="84">+AJ50*E50</f>
        <v>0.21149999999999999</v>
      </c>
      <c r="AN50" s="156">
        <f t="shared" si="82"/>
        <v>0.21149999999999999</v>
      </c>
      <c r="AO50" s="521" t="s">
        <v>1844</v>
      </c>
      <c r="AP50" s="506" t="s">
        <v>1892</v>
      </c>
      <c r="AQ50" s="765" t="s">
        <v>1989</v>
      </c>
      <c r="AR50" s="765" t="s">
        <v>2010</v>
      </c>
      <c r="AS50" s="765" t="s">
        <v>2107</v>
      </c>
      <c r="AT50" s="837" t="s">
        <v>2139</v>
      </c>
      <c r="AU50" s="765" t="s">
        <v>2196</v>
      </c>
      <c r="AV50" s="765" t="s">
        <v>1887</v>
      </c>
      <c r="AW50" s="765" t="s">
        <v>2294</v>
      </c>
      <c r="AX50" s="115"/>
      <c r="AY50" s="115"/>
      <c r="AZ50" s="115"/>
      <c r="BA50" s="115"/>
      <c r="BB50" s="115"/>
      <c r="BC50" s="115"/>
      <c r="BD50" s="115"/>
      <c r="BE50" s="115"/>
      <c r="BF50" s="115"/>
      <c r="BG50" s="115"/>
      <c r="BH50" s="115"/>
      <c r="BI50" s="115"/>
      <c r="BJ50" s="115"/>
      <c r="BK50" s="115"/>
      <c r="BL50" s="115"/>
      <c r="BM50" s="115"/>
      <c r="BN50" s="115"/>
      <c r="BO50" s="115"/>
    </row>
    <row r="51" spans="1:67" ht="98.4" customHeight="1" thickBot="1" x14ac:dyDescent="0.4">
      <c r="A51" s="119"/>
      <c r="B51" s="1378" t="s">
        <v>719</v>
      </c>
      <c r="C51" s="1379" t="s">
        <v>1424</v>
      </c>
      <c r="D51" s="155" t="s">
        <v>720</v>
      </c>
      <c r="E51" s="137">
        <v>0.05</v>
      </c>
      <c r="F51" s="138">
        <v>4</v>
      </c>
      <c r="G51" s="134">
        <v>1</v>
      </c>
      <c r="H51" s="134">
        <v>2</v>
      </c>
      <c r="I51" s="134">
        <v>1.38</v>
      </c>
      <c r="J51" s="139">
        <f>+G51/F51</f>
        <v>0.25</v>
      </c>
      <c r="K51" s="139">
        <f t="shared" si="72"/>
        <v>0.5</v>
      </c>
      <c r="L51" s="139">
        <f t="shared" si="73"/>
        <v>0.34499999999999997</v>
      </c>
      <c r="M51" s="139">
        <f>+(G51/F51)*E51</f>
        <v>1.2500000000000001E-2</v>
      </c>
      <c r="N51" s="139">
        <f t="shared" si="74"/>
        <v>2.5000000000000001E-2</v>
      </c>
      <c r="O51" s="139"/>
      <c r="P51" s="134">
        <v>1</v>
      </c>
      <c r="Q51" s="496">
        <v>0</v>
      </c>
      <c r="R51" s="496">
        <v>1</v>
      </c>
      <c r="S51" s="496"/>
      <c r="T51" s="496"/>
      <c r="U51" s="496"/>
      <c r="V51" s="134">
        <f t="shared" si="60"/>
        <v>1</v>
      </c>
      <c r="W51" s="134">
        <f t="shared" si="83"/>
        <v>2</v>
      </c>
      <c r="X51" s="496">
        <v>0</v>
      </c>
      <c r="Y51" s="496">
        <v>0</v>
      </c>
      <c r="Z51" s="134"/>
      <c r="AA51" s="134"/>
      <c r="AB51" s="134">
        <f t="shared" si="75"/>
        <v>0</v>
      </c>
      <c r="AC51" s="156">
        <v>1</v>
      </c>
      <c r="AD51" s="156">
        <f t="shared" si="76"/>
        <v>0.5</v>
      </c>
      <c r="AE51" s="156">
        <f t="shared" si="77"/>
        <v>0</v>
      </c>
      <c r="AF51" s="156">
        <f>+AC51*E51</f>
        <v>0.05</v>
      </c>
      <c r="AG51" s="156">
        <f t="shared" si="78"/>
        <v>2.5000000000000001E-2</v>
      </c>
      <c r="AH51" s="156">
        <f t="shared" si="79"/>
        <v>0</v>
      </c>
      <c r="AI51" s="156">
        <f>+P51/F51</f>
        <v>0.25</v>
      </c>
      <c r="AJ51" s="697">
        <v>0.5</v>
      </c>
      <c r="AK51" s="697">
        <f t="shared" si="80"/>
        <v>0.5</v>
      </c>
      <c r="AL51" s="156">
        <f t="shared" si="81"/>
        <v>1.2500000000000001E-2</v>
      </c>
      <c r="AM51" s="156">
        <f t="shared" si="84"/>
        <v>2.5000000000000001E-2</v>
      </c>
      <c r="AN51" s="156">
        <f t="shared" si="82"/>
        <v>2.5000000000000001E-2</v>
      </c>
      <c r="AO51" s="521" t="s">
        <v>1844</v>
      </c>
      <c r="AP51" s="765" t="s">
        <v>1886</v>
      </c>
      <c r="AQ51" s="765" t="s">
        <v>1989</v>
      </c>
      <c r="AR51" s="765" t="s">
        <v>2053</v>
      </c>
      <c r="AS51" s="599" t="s">
        <v>1859</v>
      </c>
      <c r="AT51" s="782" t="s">
        <v>1859</v>
      </c>
      <c r="AU51" s="599" t="s">
        <v>2217</v>
      </c>
      <c r="AV51" s="765" t="s">
        <v>1887</v>
      </c>
      <c r="AW51" s="782" t="s">
        <v>1859</v>
      </c>
      <c r="AX51" s="115"/>
      <c r="AY51" s="115"/>
      <c r="AZ51" s="115"/>
      <c r="BA51" s="115"/>
      <c r="BB51" s="115"/>
      <c r="BC51" s="115"/>
      <c r="BD51" s="115"/>
      <c r="BE51" s="115"/>
      <c r="BF51" s="115"/>
      <c r="BG51" s="115"/>
      <c r="BH51" s="115"/>
      <c r="BI51" s="115"/>
      <c r="BJ51" s="115"/>
      <c r="BK51" s="115"/>
      <c r="BL51" s="115"/>
      <c r="BM51" s="115"/>
      <c r="BN51" s="115"/>
      <c r="BO51" s="115"/>
    </row>
    <row r="52" spans="1:67" ht="112.8" customHeight="1" thickBot="1" x14ac:dyDescent="0.4">
      <c r="A52" s="119"/>
      <c r="B52" s="1378" t="s">
        <v>721</v>
      </c>
      <c r="C52" s="1379" t="s">
        <v>1425</v>
      </c>
      <c r="D52" s="147" t="s">
        <v>683</v>
      </c>
      <c r="E52" s="137">
        <v>0.05</v>
      </c>
      <c r="F52" s="138">
        <v>4</v>
      </c>
      <c r="G52" s="134">
        <v>0.25</v>
      </c>
      <c r="H52" s="134">
        <v>1</v>
      </c>
      <c r="I52" s="134">
        <v>0.2</v>
      </c>
      <c r="J52" s="139">
        <f>+G52/F52</f>
        <v>6.25E-2</v>
      </c>
      <c r="K52" s="139">
        <f t="shared" si="72"/>
        <v>0.25</v>
      </c>
      <c r="L52" s="139">
        <f t="shared" si="73"/>
        <v>0.05</v>
      </c>
      <c r="M52" s="139">
        <f>+(G52/F52)*E52</f>
        <v>3.1250000000000002E-3</v>
      </c>
      <c r="N52" s="139">
        <f t="shared" si="74"/>
        <v>1.2500000000000001E-2</v>
      </c>
      <c r="O52" s="139"/>
      <c r="P52" s="134">
        <v>0.25</v>
      </c>
      <c r="Q52" s="496">
        <v>0.25</v>
      </c>
      <c r="R52" s="496">
        <v>0.25</v>
      </c>
      <c r="S52" s="496">
        <v>0.25</v>
      </c>
      <c r="T52" s="496">
        <v>0.12</v>
      </c>
      <c r="U52" s="496">
        <v>0</v>
      </c>
      <c r="V52" s="134">
        <f t="shared" si="60"/>
        <v>0.87</v>
      </c>
      <c r="W52" s="134">
        <f>+V52+P52+AB52</f>
        <v>1.1200000000000001</v>
      </c>
      <c r="X52" s="496">
        <v>0</v>
      </c>
      <c r="Y52" s="496">
        <v>0</v>
      </c>
      <c r="Z52" s="134"/>
      <c r="AA52" s="134"/>
      <c r="AB52" s="134">
        <f t="shared" si="75"/>
        <v>0</v>
      </c>
      <c r="AC52" s="156">
        <f>+(P52/G52)</f>
        <v>1</v>
      </c>
      <c r="AD52" s="156">
        <f t="shared" si="76"/>
        <v>0.87</v>
      </c>
      <c r="AE52" s="156">
        <f t="shared" si="77"/>
        <v>0</v>
      </c>
      <c r="AF52" s="156">
        <f>+AC52*E52</f>
        <v>0.05</v>
      </c>
      <c r="AG52" s="156">
        <f t="shared" si="78"/>
        <v>4.3500000000000004E-2</v>
      </c>
      <c r="AH52" s="156">
        <f t="shared" si="79"/>
        <v>0</v>
      </c>
      <c r="AI52" s="156">
        <f>+P52/F52</f>
        <v>6.25E-2</v>
      </c>
      <c r="AJ52" s="697">
        <v>0.28000000000000003</v>
      </c>
      <c r="AK52" s="697">
        <f t="shared" si="80"/>
        <v>0.28000000000000003</v>
      </c>
      <c r="AL52" s="156">
        <f t="shared" si="81"/>
        <v>3.1250000000000002E-3</v>
      </c>
      <c r="AM52" s="156">
        <f t="shared" si="84"/>
        <v>1.4000000000000002E-2</v>
      </c>
      <c r="AN52" s="156">
        <f t="shared" si="82"/>
        <v>1.4000000000000002E-2</v>
      </c>
      <c r="AO52" s="521" t="s">
        <v>1844</v>
      </c>
      <c r="AP52" s="765" t="s">
        <v>1886</v>
      </c>
      <c r="AQ52" s="765" t="s">
        <v>1989</v>
      </c>
      <c r="AR52" s="765" t="s">
        <v>2054</v>
      </c>
      <c r="AS52" s="599" t="s">
        <v>1859</v>
      </c>
      <c r="AT52" s="782" t="s">
        <v>1859</v>
      </c>
      <c r="AU52" s="765" t="s">
        <v>2196</v>
      </c>
      <c r="AV52" s="782" t="s">
        <v>1859</v>
      </c>
      <c r="AW52" s="765" t="s">
        <v>2294</v>
      </c>
      <c r="AX52" s="115"/>
      <c r="AY52" s="115"/>
      <c r="AZ52" s="115"/>
      <c r="BA52" s="115"/>
      <c r="BB52" s="115"/>
      <c r="BC52" s="115"/>
      <c r="BD52" s="115"/>
      <c r="BE52" s="115"/>
      <c r="BF52" s="115"/>
      <c r="BG52" s="115"/>
      <c r="BH52" s="115"/>
      <c r="BI52" s="115"/>
      <c r="BJ52" s="115"/>
      <c r="BK52" s="115"/>
      <c r="BL52" s="115"/>
      <c r="BM52" s="115"/>
      <c r="BN52" s="115"/>
      <c r="BO52" s="115"/>
    </row>
    <row r="53" spans="1:67" ht="73.95" customHeight="1" thickBot="1" x14ac:dyDescent="0.4">
      <c r="A53" s="119"/>
      <c r="B53" s="1378" t="s">
        <v>722</v>
      </c>
      <c r="C53" s="1379" t="s">
        <v>1426</v>
      </c>
      <c r="D53" s="157" t="s">
        <v>723</v>
      </c>
      <c r="E53" s="137">
        <v>0.15</v>
      </c>
      <c r="F53" s="138">
        <v>2</v>
      </c>
      <c r="G53" s="134">
        <v>0</v>
      </c>
      <c r="H53" s="134">
        <v>0</v>
      </c>
      <c r="I53" s="134">
        <v>1</v>
      </c>
      <c r="J53" s="139"/>
      <c r="K53" s="139"/>
      <c r="L53" s="139">
        <f t="shared" si="73"/>
        <v>0.5</v>
      </c>
      <c r="M53" s="139"/>
      <c r="N53" s="139"/>
      <c r="O53" s="139"/>
      <c r="P53" s="134"/>
      <c r="Q53" s="195"/>
      <c r="R53" s="195"/>
      <c r="S53" s="195"/>
      <c r="T53" s="195"/>
      <c r="U53" s="195"/>
      <c r="V53" s="134">
        <f t="shared" si="60"/>
        <v>0</v>
      </c>
      <c r="W53" s="134">
        <f t="shared" si="83"/>
        <v>0</v>
      </c>
      <c r="X53" s="496">
        <v>0</v>
      </c>
      <c r="Y53" s="496">
        <v>0</v>
      </c>
      <c r="Z53" s="134"/>
      <c r="AA53" s="134"/>
      <c r="AB53" s="134">
        <f t="shared" si="75"/>
        <v>0</v>
      </c>
      <c r="AC53" s="156"/>
      <c r="AD53" s="156"/>
      <c r="AE53" s="156">
        <f t="shared" si="77"/>
        <v>0</v>
      </c>
      <c r="AF53" s="156"/>
      <c r="AG53" s="156"/>
      <c r="AH53" s="156">
        <f t="shared" si="79"/>
        <v>0</v>
      </c>
      <c r="AI53" s="156"/>
      <c r="AJ53" s="697"/>
      <c r="AK53" s="697">
        <v>0</v>
      </c>
      <c r="AL53" s="156"/>
      <c r="AM53" s="156">
        <f t="shared" si="84"/>
        <v>0</v>
      </c>
      <c r="AN53" s="156">
        <f t="shared" si="82"/>
        <v>0</v>
      </c>
      <c r="AO53" s="521" t="s">
        <v>1844</v>
      </c>
      <c r="AP53" s="765" t="s">
        <v>1886</v>
      </c>
      <c r="AQ53" s="765" t="s">
        <v>1989</v>
      </c>
      <c r="AR53" s="765" t="s">
        <v>2010</v>
      </c>
      <c r="AS53" s="765" t="s">
        <v>2107</v>
      </c>
      <c r="AT53" s="837" t="s">
        <v>2139</v>
      </c>
      <c r="AU53" s="765" t="s">
        <v>2196</v>
      </c>
      <c r="AV53" s="127"/>
      <c r="AW53" s="765" t="s">
        <v>2294</v>
      </c>
      <c r="AX53" s="115"/>
      <c r="AY53" s="115"/>
      <c r="AZ53" s="115"/>
      <c r="BA53" s="115"/>
      <c r="BB53" s="115"/>
      <c r="BC53" s="115"/>
      <c r="BD53" s="115"/>
      <c r="BE53" s="115"/>
      <c r="BF53" s="115"/>
      <c r="BG53" s="115"/>
      <c r="BH53" s="115"/>
      <c r="BI53" s="115"/>
      <c r="BJ53" s="115"/>
      <c r="BK53" s="115"/>
      <c r="BL53" s="115"/>
      <c r="BM53" s="115"/>
      <c r="BN53" s="115"/>
      <c r="BO53" s="115"/>
    </row>
    <row r="54" spans="1:67" ht="100.5" customHeight="1" thickBot="1" x14ac:dyDescent="0.4">
      <c r="A54" s="119"/>
      <c r="B54" s="1376" t="s">
        <v>1790</v>
      </c>
      <c r="C54" s="1377"/>
      <c r="D54" s="158"/>
      <c r="E54" s="130">
        <v>0.35</v>
      </c>
      <c r="F54" s="149"/>
      <c r="G54" s="134"/>
      <c r="H54" s="134"/>
      <c r="I54" s="134"/>
      <c r="J54" s="133">
        <f>+AVERAGE(J55:J58)</f>
        <v>0.125</v>
      </c>
      <c r="K54" s="133">
        <f>+AVERAGE(K55:K58)</f>
        <v>0.34375</v>
      </c>
      <c r="L54" s="133">
        <f>+AVERAGE(L55:L58)</f>
        <v>0.3</v>
      </c>
      <c r="M54" s="133">
        <f>+M55+M56+M57+M58</f>
        <v>6.25E-2</v>
      </c>
      <c r="N54" s="133">
        <f>+N55+N56+N57+N58</f>
        <v>0.36499999999999999</v>
      </c>
      <c r="O54" s="133"/>
      <c r="P54" s="134"/>
      <c r="Q54" s="134"/>
      <c r="R54" s="134"/>
      <c r="S54" s="134"/>
      <c r="T54" s="134"/>
      <c r="U54" s="690"/>
      <c r="V54" s="134"/>
      <c r="W54" s="134"/>
      <c r="X54" s="134"/>
      <c r="Y54" s="134"/>
      <c r="Z54" s="134"/>
      <c r="AA54" s="134"/>
      <c r="AB54" s="134"/>
      <c r="AC54" s="154">
        <f>+AVERAGE(AC55:AC58)</f>
        <v>1</v>
      </c>
      <c r="AD54" s="154">
        <f>+AVERAGE(AD55:AD58)</f>
        <v>1</v>
      </c>
      <c r="AE54" s="154">
        <f>+AVERAGE(AE55:AE58)</f>
        <v>0.42616666666666669</v>
      </c>
      <c r="AF54" s="154">
        <f>+(AF55+AF56+AF57+AF58)*E54</f>
        <v>0.17499999999999999</v>
      </c>
      <c r="AG54" s="154">
        <f>+(AG55+AG56+AG57+AG58)*E54</f>
        <v>0.35</v>
      </c>
      <c r="AH54" s="154">
        <f>+(AH55+AH56+AH57+AH58)*E54</f>
        <v>0.19390000000000002</v>
      </c>
      <c r="AI54" s="133">
        <f>+AVERAGE(AI55:AI58)*0.25</f>
        <v>8.3687499999999998E-2</v>
      </c>
      <c r="AJ54" s="133">
        <v>0.46825</v>
      </c>
      <c r="AK54" s="133">
        <f>+AVERAGE(AK55:AK58)</f>
        <v>0.59</v>
      </c>
      <c r="AL54" s="133">
        <f>+(AL55+AL56+AL57+AL58)*E54</f>
        <v>5.8581249999999994E-2</v>
      </c>
      <c r="AM54" s="133">
        <f>+(AM55+AM56+AM57+AM58)</f>
        <v>0.61399999999999999</v>
      </c>
      <c r="AN54" s="133">
        <f>+(AN55+AN56+AN57+AN58)</f>
        <v>0.74550000000000005</v>
      </c>
      <c r="AO54" s="545"/>
      <c r="AP54" s="127"/>
      <c r="AQ54" s="127"/>
      <c r="AR54" s="127"/>
      <c r="AS54" s="127"/>
      <c r="AT54" s="564"/>
      <c r="AU54" s="127"/>
      <c r="AV54" s="127"/>
      <c r="AW54" s="121"/>
      <c r="AX54" s="115"/>
      <c r="AY54" s="115"/>
      <c r="AZ54" s="115"/>
      <c r="BA54" s="115"/>
      <c r="BB54" s="115"/>
      <c r="BC54" s="115"/>
      <c r="BD54" s="115"/>
      <c r="BE54" s="115"/>
      <c r="BF54" s="115"/>
      <c r="BG54" s="115"/>
      <c r="BH54" s="115"/>
      <c r="BI54" s="115"/>
      <c r="BJ54" s="115"/>
      <c r="BK54" s="115"/>
      <c r="BL54" s="115"/>
      <c r="BM54" s="115"/>
      <c r="BN54" s="115"/>
      <c r="BO54" s="115"/>
    </row>
    <row r="55" spans="1:67" ht="70.95" customHeight="1" thickBot="1" x14ac:dyDescent="0.4">
      <c r="A55" s="150"/>
      <c r="B55" s="1378" t="s">
        <v>724</v>
      </c>
      <c r="C55" s="1379" t="s">
        <v>1427</v>
      </c>
      <c r="D55" s="159" t="s">
        <v>58</v>
      </c>
      <c r="E55" s="137">
        <v>0.05</v>
      </c>
      <c r="F55" s="138">
        <v>1</v>
      </c>
      <c r="G55" s="134">
        <v>0</v>
      </c>
      <c r="H55" s="134">
        <v>0.3</v>
      </c>
      <c r="I55" s="134">
        <v>0.4</v>
      </c>
      <c r="J55" s="139"/>
      <c r="K55" s="139">
        <f t="shared" si="72"/>
        <v>0.3</v>
      </c>
      <c r="L55" s="139">
        <f t="shared" si="73"/>
        <v>0.4</v>
      </c>
      <c r="M55" s="139"/>
      <c r="N55" s="139">
        <f t="shared" si="74"/>
        <v>1.4999999999999999E-2</v>
      </c>
      <c r="O55" s="139"/>
      <c r="P55" s="134"/>
      <c r="Q55" s="496">
        <v>0</v>
      </c>
      <c r="R55" s="496">
        <v>0</v>
      </c>
      <c r="S55" s="496">
        <v>0.2</v>
      </c>
      <c r="T55" s="496">
        <v>0</v>
      </c>
      <c r="U55" s="496">
        <v>0.1</v>
      </c>
      <c r="V55" s="134">
        <f t="shared" si="60"/>
        <v>0.30000000000000004</v>
      </c>
      <c r="W55" s="134">
        <f>+V55+P55+AB55</f>
        <v>0.5</v>
      </c>
      <c r="X55" s="496">
        <v>0.1</v>
      </c>
      <c r="Y55" s="496">
        <v>0.1</v>
      </c>
      <c r="Z55" s="134"/>
      <c r="AA55" s="134"/>
      <c r="AB55" s="134">
        <f t="shared" si="75"/>
        <v>0.2</v>
      </c>
      <c r="AC55" s="156"/>
      <c r="AD55" s="156">
        <f t="shared" ref="AD55:AD58" si="85">+V55/H55</f>
        <v>1.0000000000000002</v>
      </c>
      <c r="AE55" s="156">
        <f t="shared" si="77"/>
        <v>0.5</v>
      </c>
      <c r="AF55" s="156"/>
      <c r="AG55" s="156">
        <f t="shared" ref="AG55:AG58" si="86">+AD55*E55</f>
        <v>5.0000000000000017E-2</v>
      </c>
      <c r="AH55" s="156">
        <f t="shared" si="79"/>
        <v>2.5000000000000001E-2</v>
      </c>
      <c r="AI55" s="156"/>
      <c r="AJ55" s="156">
        <v>0.30000000000000004</v>
      </c>
      <c r="AK55" s="156">
        <f t="shared" si="80"/>
        <v>0.5</v>
      </c>
      <c r="AL55" s="139"/>
      <c r="AM55" s="156">
        <f t="shared" ref="AM55:AM58" si="87">+AJ55*E55</f>
        <v>1.5000000000000003E-2</v>
      </c>
      <c r="AN55" s="156">
        <f t="shared" si="82"/>
        <v>2.5000000000000001E-2</v>
      </c>
      <c r="AO55" s="521" t="s">
        <v>1844</v>
      </c>
      <c r="AP55" s="765" t="s">
        <v>1886</v>
      </c>
      <c r="AQ55" s="765" t="s">
        <v>1989</v>
      </c>
      <c r="AR55" s="765" t="s">
        <v>2010</v>
      </c>
      <c r="AS55" s="765" t="s">
        <v>2107</v>
      </c>
      <c r="AT55" s="837" t="s">
        <v>2139</v>
      </c>
      <c r="AU55" s="765" t="s">
        <v>2196</v>
      </c>
      <c r="AV55" s="765" t="s">
        <v>1887</v>
      </c>
      <c r="AW55" s="765" t="s">
        <v>2294</v>
      </c>
      <c r="AX55" s="115"/>
      <c r="AY55" s="115"/>
      <c r="AZ55" s="115"/>
      <c r="BA55" s="115"/>
      <c r="BB55" s="115"/>
      <c r="BC55" s="115"/>
      <c r="BD55" s="115"/>
      <c r="BE55" s="115"/>
      <c r="BF55" s="115"/>
      <c r="BG55" s="115"/>
      <c r="BH55" s="115"/>
      <c r="BI55" s="115"/>
      <c r="BJ55" s="115"/>
      <c r="BK55" s="115"/>
      <c r="BL55" s="115"/>
      <c r="BM55" s="115"/>
      <c r="BN55" s="115"/>
      <c r="BO55" s="115"/>
    </row>
    <row r="56" spans="1:67" ht="58.2" customHeight="1" thickBot="1" x14ac:dyDescent="0.4">
      <c r="A56" s="150"/>
      <c r="B56" s="1378" t="s">
        <v>725</v>
      </c>
      <c r="C56" s="1379" t="s">
        <v>1428</v>
      </c>
      <c r="D56" s="160" t="s">
        <v>58</v>
      </c>
      <c r="E56" s="137">
        <v>0.5</v>
      </c>
      <c r="F56" s="138">
        <v>4000</v>
      </c>
      <c r="G56" s="134">
        <v>500</v>
      </c>
      <c r="H56" s="134">
        <v>1300</v>
      </c>
      <c r="I56" s="134">
        <v>1000</v>
      </c>
      <c r="J56" s="139">
        <f>+G56/F56</f>
        <v>0.125</v>
      </c>
      <c r="K56" s="139">
        <f t="shared" si="72"/>
        <v>0.32500000000000001</v>
      </c>
      <c r="L56" s="139">
        <f t="shared" si="73"/>
        <v>0.25</v>
      </c>
      <c r="M56" s="139">
        <f>+(G56/F56)*E56</f>
        <v>6.25E-2</v>
      </c>
      <c r="N56" s="139">
        <f t="shared" si="74"/>
        <v>0.16250000000000001</v>
      </c>
      <c r="O56" s="139"/>
      <c r="P56" s="134">
        <v>1339</v>
      </c>
      <c r="Q56" s="496">
        <v>55</v>
      </c>
      <c r="R56" s="496">
        <v>395</v>
      </c>
      <c r="S56" s="496">
        <v>792</v>
      </c>
      <c r="T56" s="496">
        <v>280</v>
      </c>
      <c r="U56" s="496">
        <v>431</v>
      </c>
      <c r="V56" s="134">
        <f t="shared" si="60"/>
        <v>1953</v>
      </c>
      <c r="W56" s="134">
        <f t="shared" ref="W56:W57" si="88">+V56+P56+AB56</f>
        <v>4130</v>
      </c>
      <c r="X56" s="496">
        <v>432</v>
      </c>
      <c r="Y56" s="496">
        <v>406</v>
      </c>
      <c r="Z56" s="134"/>
      <c r="AA56" s="134"/>
      <c r="AB56" s="134">
        <f t="shared" si="75"/>
        <v>838</v>
      </c>
      <c r="AC56" s="156">
        <v>1</v>
      </c>
      <c r="AD56" s="156">
        <v>1</v>
      </c>
      <c r="AE56" s="156">
        <f t="shared" si="77"/>
        <v>0.83799999999999997</v>
      </c>
      <c r="AF56" s="156">
        <f>+AC56*E56</f>
        <v>0.5</v>
      </c>
      <c r="AG56" s="156">
        <f>+AD56*E56</f>
        <v>0.5</v>
      </c>
      <c r="AH56" s="156">
        <f t="shared" si="79"/>
        <v>0.41899999999999998</v>
      </c>
      <c r="AI56" s="156">
        <f>+P56/F56</f>
        <v>0.33474999999999999</v>
      </c>
      <c r="AJ56" s="156">
        <v>0.82299999999999995</v>
      </c>
      <c r="AK56" s="156">
        <v>1</v>
      </c>
      <c r="AL56" s="139">
        <f>+AI56*E56</f>
        <v>0.167375</v>
      </c>
      <c r="AM56" s="156">
        <f t="shared" si="87"/>
        <v>0.41149999999999998</v>
      </c>
      <c r="AN56" s="156">
        <f t="shared" si="82"/>
        <v>0.5</v>
      </c>
      <c r="AO56" s="521" t="s">
        <v>1844</v>
      </c>
      <c r="AP56" s="765" t="s">
        <v>1886</v>
      </c>
      <c r="AQ56" s="765" t="s">
        <v>1989</v>
      </c>
      <c r="AR56" s="765" t="s">
        <v>2010</v>
      </c>
      <c r="AS56" s="765" t="s">
        <v>2107</v>
      </c>
      <c r="AT56" s="837" t="s">
        <v>2139</v>
      </c>
      <c r="AU56" s="765" t="s">
        <v>2196</v>
      </c>
      <c r="AV56" s="765" t="s">
        <v>1887</v>
      </c>
      <c r="AW56" s="765" t="s">
        <v>2294</v>
      </c>
      <c r="AX56" s="115"/>
      <c r="AY56" s="115"/>
      <c r="AZ56" s="115"/>
      <c r="BA56" s="115"/>
      <c r="BB56" s="115"/>
      <c r="BC56" s="115"/>
      <c r="BD56" s="115"/>
      <c r="BE56" s="115"/>
      <c r="BF56" s="115"/>
      <c r="BG56" s="115"/>
      <c r="BH56" s="115"/>
      <c r="BI56" s="115"/>
      <c r="BJ56" s="115"/>
      <c r="BK56" s="115"/>
      <c r="BL56" s="115"/>
      <c r="BM56" s="115"/>
      <c r="BN56" s="115"/>
      <c r="BO56" s="115"/>
    </row>
    <row r="57" spans="1:67" ht="76.2" customHeight="1" thickBot="1" x14ac:dyDescent="0.4">
      <c r="A57" s="150"/>
      <c r="B57" s="1378" t="s">
        <v>726</v>
      </c>
      <c r="C57" s="1379" t="s">
        <v>1429</v>
      </c>
      <c r="D57" s="160" t="s">
        <v>58</v>
      </c>
      <c r="E57" s="137">
        <v>0.15</v>
      </c>
      <c r="F57" s="138">
        <v>4</v>
      </c>
      <c r="G57" s="134">
        <v>0</v>
      </c>
      <c r="H57" s="134">
        <v>1</v>
      </c>
      <c r="I57" s="134">
        <v>1</v>
      </c>
      <c r="J57" s="139"/>
      <c r="K57" s="139">
        <f t="shared" si="72"/>
        <v>0.25</v>
      </c>
      <c r="L57" s="139">
        <f>+I57/F57</f>
        <v>0.25</v>
      </c>
      <c r="M57" s="139"/>
      <c r="N57" s="139">
        <f t="shared" si="74"/>
        <v>3.7499999999999999E-2</v>
      </c>
      <c r="O57" s="139"/>
      <c r="P57" s="134"/>
      <c r="Q57" s="496">
        <v>0</v>
      </c>
      <c r="R57" s="496">
        <v>0</v>
      </c>
      <c r="S57" s="496">
        <v>0</v>
      </c>
      <c r="T57" s="496">
        <v>0</v>
      </c>
      <c r="U57" s="496">
        <v>1</v>
      </c>
      <c r="V57" s="134">
        <f t="shared" si="60"/>
        <v>1</v>
      </c>
      <c r="W57" s="134">
        <f t="shared" si="88"/>
        <v>1</v>
      </c>
      <c r="X57" s="496">
        <v>0</v>
      </c>
      <c r="Y57" s="496">
        <v>0</v>
      </c>
      <c r="Z57" s="134"/>
      <c r="AA57" s="134"/>
      <c r="AB57" s="134">
        <f t="shared" si="75"/>
        <v>0</v>
      </c>
      <c r="AC57" s="156"/>
      <c r="AD57" s="156">
        <f t="shared" si="85"/>
        <v>1</v>
      </c>
      <c r="AE57" s="156">
        <f t="shared" si="77"/>
        <v>0</v>
      </c>
      <c r="AF57" s="156"/>
      <c r="AG57" s="156">
        <f t="shared" si="86"/>
        <v>0.15</v>
      </c>
      <c r="AH57" s="156">
        <f t="shared" si="79"/>
        <v>0</v>
      </c>
      <c r="AI57" s="156"/>
      <c r="AJ57" s="156">
        <v>0.25</v>
      </c>
      <c r="AK57" s="156">
        <f t="shared" si="80"/>
        <v>0.25</v>
      </c>
      <c r="AL57" s="139"/>
      <c r="AM57" s="156">
        <f t="shared" si="87"/>
        <v>3.7499999999999999E-2</v>
      </c>
      <c r="AN57" s="156">
        <f t="shared" si="82"/>
        <v>3.7499999999999999E-2</v>
      </c>
      <c r="AO57" s="521" t="s">
        <v>1844</v>
      </c>
      <c r="AP57" s="765" t="s">
        <v>1886</v>
      </c>
      <c r="AQ57" s="765" t="s">
        <v>1989</v>
      </c>
      <c r="AR57" s="765" t="s">
        <v>2010</v>
      </c>
      <c r="AS57" s="765" t="s">
        <v>2107</v>
      </c>
      <c r="AT57" s="837" t="s">
        <v>2139</v>
      </c>
      <c r="AU57" s="506" t="s">
        <v>1859</v>
      </c>
      <c r="AV57" s="765" t="s">
        <v>1887</v>
      </c>
      <c r="AW57" s="765" t="s">
        <v>2294</v>
      </c>
      <c r="AX57" s="115"/>
      <c r="AY57" s="115"/>
      <c r="AZ57" s="115"/>
      <c r="BA57" s="115"/>
      <c r="BB57" s="115"/>
      <c r="BC57" s="115"/>
      <c r="BD57" s="115"/>
      <c r="BE57" s="115"/>
      <c r="BF57" s="115"/>
      <c r="BG57" s="115"/>
      <c r="BH57" s="115"/>
      <c r="BI57" s="115"/>
      <c r="BJ57" s="115"/>
      <c r="BK57" s="115"/>
      <c r="BL57" s="115"/>
      <c r="BM57" s="115"/>
      <c r="BN57" s="115"/>
      <c r="BO57" s="115"/>
    </row>
    <row r="58" spans="1:67" ht="66" customHeight="1" thickBot="1" x14ac:dyDescent="0.4">
      <c r="A58" s="150"/>
      <c r="B58" s="1378" t="s">
        <v>727</v>
      </c>
      <c r="C58" s="1379" t="s">
        <v>1430</v>
      </c>
      <c r="D58" s="160" t="s">
        <v>58</v>
      </c>
      <c r="E58" s="137">
        <v>0.3</v>
      </c>
      <c r="F58" s="138">
        <v>100</v>
      </c>
      <c r="G58" s="134">
        <v>0</v>
      </c>
      <c r="H58" s="134">
        <v>50</v>
      </c>
      <c r="I58" s="134">
        <v>30</v>
      </c>
      <c r="J58" s="139"/>
      <c r="K58" s="139">
        <f t="shared" si="72"/>
        <v>0.5</v>
      </c>
      <c r="L58" s="139">
        <f t="shared" si="73"/>
        <v>0.3</v>
      </c>
      <c r="M58" s="139"/>
      <c r="N58" s="139">
        <f t="shared" si="74"/>
        <v>0.15</v>
      </c>
      <c r="O58" s="139"/>
      <c r="P58" s="134"/>
      <c r="Q58" s="496">
        <v>0</v>
      </c>
      <c r="R58" s="496">
        <v>0</v>
      </c>
      <c r="S58" s="496">
        <v>0</v>
      </c>
      <c r="T58" s="496">
        <v>0</v>
      </c>
      <c r="U58" s="496">
        <v>50</v>
      </c>
      <c r="V58" s="134">
        <f t="shared" si="60"/>
        <v>50</v>
      </c>
      <c r="W58" s="134">
        <f>+V58+P58+AB58</f>
        <v>61</v>
      </c>
      <c r="X58" s="496">
        <v>0</v>
      </c>
      <c r="Y58" s="496">
        <v>11</v>
      </c>
      <c r="Z58" s="134"/>
      <c r="AA58" s="134"/>
      <c r="AB58" s="134">
        <f t="shared" si="75"/>
        <v>11</v>
      </c>
      <c r="AC58" s="156"/>
      <c r="AD58" s="156">
        <f t="shared" si="85"/>
        <v>1</v>
      </c>
      <c r="AE58" s="156">
        <f t="shared" si="77"/>
        <v>0.36666666666666664</v>
      </c>
      <c r="AF58" s="156"/>
      <c r="AG58" s="156">
        <f t="shared" si="86"/>
        <v>0.3</v>
      </c>
      <c r="AH58" s="156">
        <f t="shared" si="79"/>
        <v>0.10999999999999999</v>
      </c>
      <c r="AI58" s="156"/>
      <c r="AJ58" s="156">
        <v>0.5</v>
      </c>
      <c r="AK58" s="156">
        <f t="shared" si="80"/>
        <v>0.61</v>
      </c>
      <c r="AL58" s="139"/>
      <c r="AM58" s="156">
        <f t="shared" si="87"/>
        <v>0.15</v>
      </c>
      <c r="AN58" s="156">
        <f t="shared" si="82"/>
        <v>0.183</v>
      </c>
      <c r="AO58" s="521" t="s">
        <v>1844</v>
      </c>
      <c r="AP58" s="765" t="s">
        <v>1886</v>
      </c>
      <c r="AQ58" s="765" t="s">
        <v>1989</v>
      </c>
      <c r="AR58" s="765" t="s">
        <v>2010</v>
      </c>
      <c r="AS58" s="506" t="s">
        <v>2072</v>
      </c>
      <c r="AT58" s="837" t="s">
        <v>2139</v>
      </c>
      <c r="AU58" s="765" t="s">
        <v>2196</v>
      </c>
      <c r="AV58" s="765" t="s">
        <v>1887</v>
      </c>
      <c r="AW58" s="765" t="s">
        <v>2294</v>
      </c>
      <c r="AX58" s="115"/>
      <c r="AY58" s="115"/>
      <c r="AZ58" s="115"/>
      <c r="BA58" s="115"/>
      <c r="BB58" s="115"/>
      <c r="BC58" s="115"/>
      <c r="BD58" s="115"/>
      <c r="BE58" s="115"/>
      <c r="BF58" s="115"/>
      <c r="BG58" s="115"/>
      <c r="BH58" s="115"/>
      <c r="BI58" s="115"/>
      <c r="BJ58" s="115"/>
      <c r="BK58" s="115"/>
      <c r="BL58" s="115"/>
      <c r="BM58" s="115"/>
      <c r="BN58" s="115"/>
      <c r="BO58" s="115"/>
    </row>
    <row r="59" spans="1:67" ht="42.75" customHeight="1" thickBot="1" x14ac:dyDescent="0.4">
      <c r="A59" s="150"/>
      <c r="B59" s="1376" t="s">
        <v>1708</v>
      </c>
      <c r="C59" s="1377"/>
      <c r="D59" s="160"/>
      <c r="E59" s="130">
        <v>0.3</v>
      </c>
      <c r="F59" s="149"/>
      <c r="G59" s="134"/>
      <c r="H59" s="134"/>
      <c r="I59" s="134"/>
      <c r="J59" s="133">
        <f>+AVERAGE(J60:J63)</f>
        <v>0.125</v>
      </c>
      <c r="K59" s="133">
        <f>+AVERAGE(K60:K63)</f>
        <v>0.45250000000000001</v>
      </c>
      <c r="L59" s="133">
        <f>+AVERAGE(L60:L63)</f>
        <v>0.23708333333333331</v>
      </c>
      <c r="M59" s="133">
        <f>+M60+M61+M62+M63</f>
        <v>7.0000000000000007E-2</v>
      </c>
      <c r="N59" s="133">
        <f>+N60+N61+N62+N63</f>
        <v>0.50550000000000006</v>
      </c>
      <c r="O59" s="133"/>
      <c r="P59" s="134"/>
      <c r="Q59" s="134"/>
      <c r="R59" s="134"/>
      <c r="S59" s="134"/>
      <c r="T59" s="134"/>
      <c r="U59" s="690"/>
      <c r="V59" s="134"/>
      <c r="W59" s="134"/>
      <c r="X59" s="134"/>
      <c r="Y59" s="134"/>
      <c r="Z59" s="134"/>
      <c r="AA59" s="134"/>
      <c r="AB59" s="134"/>
      <c r="AC59" s="154">
        <f>+AVERAGE(AC60:AC63)</f>
        <v>1</v>
      </c>
      <c r="AD59" s="154">
        <f>+AVERAGE(AD60:AD63)</f>
        <v>0.96250000000000002</v>
      </c>
      <c r="AE59" s="154">
        <f>+AVERAGE(AE60:AE63)</f>
        <v>0.5</v>
      </c>
      <c r="AF59" s="154">
        <f>+(AF60+AF61+AF62+AF63)*E59</f>
        <v>0.16500000000000001</v>
      </c>
      <c r="AG59" s="154">
        <f>+(AG60+AG61+AG62+AG63)*E59</f>
        <v>0.28200000000000003</v>
      </c>
      <c r="AH59" s="154">
        <f>+(AH60+AH61+AH62+AH63)*E59</f>
        <v>0.105</v>
      </c>
      <c r="AI59" s="133">
        <f>+AVERAGE(AI60:AI63)</f>
        <v>0.26550000000000001</v>
      </c>
      <c r="AJ59" s="133">
        <v>0.58320833333333333</v>
      </c>
      <c r="AK59" s="133">
        <f>+AVERAGE(AK60:AK63)</f>
        <v>0.69895833333333335</v>
      </c>
      <c r="AL59" s="133">
        <f>+(AL60+AL61+AL62+AL63)*E59</f>
        <v>4.3927500000000001E-2</v>
      </c>
      <c r="AM59" s="133">
        <f>+(AM60+AM61+AM62+AM63)</f>
        <v>0.56505833333333333</v>
      </c>
      <c r="AN59" s="133">
        <f>+(AN60+AN61+AN62+AN63)</f>
        <v>0.64145833333333335</v>
      </c>
      <c r="AO59" s="545"/>
      <c r="AP59" s="127"/>
      <c r="AQ59" s="127"/>
      <c r="AR59" s="127"/>
      <c r="AS59" s="127"/>
      <c r="AT59" s="564"/>
      <c r="AU59" s="127"/>
      <c r="AV59" s="127"/>
      <c r="AW59" s="121"/>
      <c r="AX59" s="115"/>
      <c r="AY59" s="115"/>
      <c r="AZ59" s="115"/>
      <c r="BA59" s="115"/>
      <c r="BB59" s="115"/>
      <c r="BC59" s="115"/>
      <c r="BD59" s="115"/>
      <c r="BE59" s="115"/>
      <c r="BF59" s="115"/>
      <c r="BG59" s="115"/>
      <c r="BH59" s="115"/>
      <c r="BI59" s="115"/>
      <c r="BJ59" s="115"/>
      <c r="BK59" s="115"/>
      <c r="BL59" s="115"/>
      <c r="BM59" s="115"/>
      <c r="BN59" s="115"/>
      <c r="BO59" s="115"/>
    </row>
    <row r="60" spans="1:67" ht="85.2" customHeight="1" thickBot="1" x14ac:dyDescent="0.4">
      <c r="A60" s="119"/>
      <c r="B60" s="1391" t="s">
        <v>728</v>
      </c>
      <c r="C60" s="1392" t="s">
        <v>1431</v>
      </c>
      <c r="D60" s="161" t="s">
        <v>58</v>
      </c>
      <c r="E60" s="137">
        <v>0.3</v>
      </c>
      <c r="F60" s="138">
        <v>2000</v>
      </c>
      <c r="G60" s="134">
        <v>300</v>
      </c>
      <c r="H60" s="134">
        <v>120</v>
      </c>
      <c r="I60" s="134">
        <v>230</v>
      </c>
      <c r="J60" s="139">
        <f>+G60/F60</f>
        <v>0.15</v>
      </c>
      <c r="K60" s="139">
        <f t="shared" si="72"/>
        <v>0.06</v>
      </c>
      <c r="L60" s="139">
        <f t="shared" si="73"/>
        <v>0.115</v>
      </c>
      <c r="M60" s="139">
        <f>+(G60/F60)*E60</f>
        <v>4.4999999999999998E-2</v>
      </c>
      <c r="N60" s="139">
        <f t="shared" si="74"/>
        <v>1.7999999999999999E-2</v>
      </c>
      <c r="O60" s="139"/>
      <c r="P60" s="134">
        <v>547</v>
      </c>
      <c r="Q60" s="496">
        <v>0</v>
      </c>
      <c r="R60" s="496">
        <v>531</v>
      </c>
      <c r="S60" s="496">
        <v>405</v>
      </c>
      <c r="T60" s="496">
        <v>54</v>
      </c>
      <c r="U60" s="496">
        <v>37</v>
      </c>
      <c r="V60" s="134">
        <f t="shared" si="60"/>
        <v>1027</v>
      </c>
      <c r="W60" s="134">
        <f>+V60+P60+AB60</f>
        <v>2079</v>
      </c>
      <c r="X60" s="496">
        <v>184</v>
      </c>
      <c r="Y60" s="134">
        <v>321</v>
      </c>
      <c r="Z60" s="134"/>
      <c r="AA60" s="134"/>
      <c r="AB60" s="134">
        <f t="shared" si="75"/>
        <v>505</v>
      </c>
      <c r="AC60" s="156">
        <v>1</v>
      </c>
      <c r="AD60" s="156">
        <v>1</v>
      </c>
      <c r="AE60" s="156">
        <v>1</v>
      </c>
      <c r="AF60" s="156">
        <f>+AC60*E60</f>
        <v>0.3</v>
      </c>
      <c r="AG60" s="156">
        <f t="shared" ref="AG60:AG62" si="89">+AD60*E60</f>
        <v>0.3</v>
      </c>
      <c r="AH60" s="156">
        <f t="shared" si="79"/>
        <v>0.3</v>
      </c>
      <c r="AI60" s="156">
        <f>+P60/F60</f>
        <v>0.27350000000000002</v>
      </c>
      <c r="AJ60" s="156">
        <v>0.78700000000000003</v>
      </c>
      <c r="AK60" s="156">
        <v>1</v>
      </c>
      <c r="AL60" s="139">
        <f>+AI60*E60</f>
        <v>8.2049999999999998E-2</v>
      </c>
      <c r="AM60" s="139">
        <f>+AJ60*E60</f>
        <v>0.2361</v>
      </c>
      <c r="AN60" s="156">
        <f t="shared" si="82"/>
        <v>0.3</v>
      </c>
      <c r="AO60" s="521" t="s">
        <v>1844</v>
      </c>
      <c r="AP60" s="765" t="s">
        <v>1886</v>
      </c>
      <c r="AQ60" s="765" t="s">
        <v>1989</v>
      </c>
      <c r="AR60" s="765" t="s">
        <v>2010</v>
      </c>
      <c r="AS60" s="765" t="s">
        <v>2107</v>
      </c>
      <c r="AT60" s="837" t="s">
        <v>2139</v>
      </c>
      <c r="AU60" s="765" t="s">
        <v>2196</v>
      </c>
      <c r="AV60" s="765" t="s">
        <v>1887</v>
      </c>
      <c r="AW60" s="765" t="s">
        <v>2294</v>
      </c>
      <c r="AX60" s="115"/>
      <c r="AY60" s="115"/>
      <c r="AZ60" s="115"/>
      <c r="BA60" s="115"/>
      <c r="BB60" s="115"/>
      <c r="BC60" s="115"/>
      <c r="BD60" s="115"/>
      <c r="BE60" s="115"/>
      <c r="BF60" s="115"/>
      <c r="BG60" s="115"/>
      <c r="BH60" s="115"/>
      <c r="BI60" s="115"/>
      <c r="BJ60" s="115"/>
      <c r="BK60" s="115"/>
      <c r="BL60" s="115"/>
      <c r="BM60" s="115"/>
      <c r="BN60" s="115"/>
      <c r="BO60" s="115"/>
    </row>
    <row r="61" spans="1:67" ht="111.6" customHeight="1" thickBot="1" x14ac:dyDescent="0.4">
      <c r="A61" s="119"/>
      <c r="B61" s="1393" t="s">
        <v>729</v>
      </c>
      <c r="C61" s="1394" t="s">
        <v>1432</v>
      </c>
      <c r="D61" s="162" t="s">
        <v>58</v>
      </c>
      <c r="E61" s="137">
        <v>0.4</v>
      </c>
      <c r="F61" s="138">
        <v>600</v>
      </c>
      <c r="G61" s="134">
        <v>0</v>
      </c>
      <c r="H61" s="195">
        <v>600</v>
      </c>
      <c r="I61" s="195">
        <v>200</v>
      </c>
      <c r="J61" s="139"/>
      <c r="K61" s="139">
        <f t="shared" si="72"/>
        <v>1</v>
      </c>
      <c r="L61" s="139">
        <f t="shared" si="73"/>
        <v>0.33333333333333331</v>
      </c>
      <c r="M61" s="139"/>
      <c r="N61" s="139">
        <f t="shared" si="74"/>
        <v>0.4</v>
      </c>
      <c r="O61" s="139"/>
      <c r="P61" s="134"/>
      <c r="Q61" s="496">
        <v>0</v>
      </c>
      <c r="R61" s="496">
        <v>0</v>
      </c>
      <c r="S61" s="496">
        <v>110</v>
      </c>
      <c r="T61" s="496">
        <v>0</v>
      </c>
      <c r="U61" s="496">
        <v>60</v>
      </c>
      <c r="V61" s="134">
        <f t="shared" si="60"/>
        <v>170</v>
      </c>
      <c r="W61" s="134">
        <f t="shared" ref="W61:W63" si="90">+V61+P61+AB61</f>
        <v>170</v>
      </c>
      <c r="X61" s="496">
        <v>0</v>
      </c>
      <c r="Y61" s="134">
        <v>0</v>
      </c>
      <c r="Z61" s="134"/>
      <c r="AA61" s="134"/>
      <c r="AB61" s="134">
        <f t="shared" si="75"/>
        <v>0</v>
      </c>
      <c r="AC61" s="156"/>
      <c r="AD61" s="156">
        <f>+V61/200</f>
        <v>0.85</v>
      </c>
      <c r="AE61" s="156">
        <f t="shared" si="77"/>
        <v>0</v>
      </c>
      <c r="AF61" s="156"/>
      <c r="AG61" s="156">
        <f t="shared" si="89"/>
        <v>0.34</v>
      </c>
      <c r="AH61" s="156">
        <f t="shared" si="79"/>
        <v>0</v>
      </c>
      <c r="AI61" s="156"/>
      <c r="AJ61" s="156">
        <v>0.28333333333333333</v>
      </c>
      <c r="AK61" s="156">
        <f t="shared" si="80"/>
        <v>0.28333333333333333</v>
      </c>
      <c r="AL61" s="139">
        <f>+AI61*E61</f>
        <v>0</v>
      </c>
      <c r="AM61" s="139">
        <f t="shared" ref="AM61:AM63" si="91">+AJ61*E61</f>
        <v>0.11333333333333334</v>
      </c>
      <c r="AN61" s="156">
        <f t="shared" si="82"/>
        <v>0.11333333333333334</v>
      </c>
      <c r="AO61" s="521" t="s">
        <v>1844</v>
      </c>
      <c r="AP61" s="765" t="s">
        <v>1913</v>
      </c>
      <c r="AQ61" s="765" t="s">
        <v>1989</v>
      </c>
      <c r="AR61" s="765" t="s">
        <v>2010</v>
      </c>
      <c r="AS61" s="765" t="s">
        <v>2107</v>
      </c>
      <c r="AT61" s="837" t="s">
        <v>2139</v>
      </c>
      <c r="AU61" s="506" t="s">
        <v>2227</v>
      </c>
      <c r="AV61" s="765" t="s">
        <v>1887</v>
      </c>
      <c r="AW61" s="765" t="s">
        <v>2294</v>
      </c>
      <c r="AX61" s="115"/>
      <c r="AY61" s="115"/>
      <c r="AZ61" s="115"/>
      <c r="BA61" s="115"/>
      <c r="BB61" s="115"/>
      <c r="BC61" s="115"/>
      <c r="BD61" s="115"/>
      <c r="BE61" s="115"/>
      <c r="BF61" s="115"/>
      <c r="BG61" s="115"/>
      <c r="BH61" s="115"/>
      <c r="BI61" s="115"/>
      <c r="BJ61" s="115"/>
      <c r="BK61" s="115"/>
      <c r="BL61" s="115"/>
      <c r="BM61" s="115"/>
      <c r="BN61" s="115"/>
      <c r="BO61" s="115"/>
    </row>
    <row r="62" spans="1:67" ht="66" customHeight="1" thickBot="1" x14ac:dyDescent="0.4">
      <c r="A62" s="150"/>
      <c r="B62" s="1395" t="s">
        <v>730</v>
      </c>
      <c r="C62" s="1396" t="s">
        <v>1433</v>
      </c>
      <c r="D62" s="163" t="s">
        <v>58</v>
      </c>
      <c r="E62" s="137">
        <v>0.25</v>
      </c>
      <c r="F62" s="138">
        <v>400</v>
      </c>
      <c r="G62" s="134">
        <v>40</v>
      </c>
      <c r="H62" s="134">
        <v>100</v>
      </c>
      <c r="I62" s="134">
        <v>100</v>
      </c>
      <c r="J62" s="139">
        <f>+G62/F62</f>
        <v>0.1</v>
      </c>
      <c r="K62" s="139">
        <f t="shared" si="72"/>
        <v>0.25</v>
      </c>
      <c r="L62" s="139">
        <f t="shared" si="73"/>
        <v>0.25</v>
      </c>
      <c r="M62" s="139">
        <f>+(G62/F62)*E62</f>
        <v>2.5000000000000001E-2</v>
      </c>
      <c r="N62" s="139">
        <f t="shared" si="74"/>
        <v>6.25E-2</v>
      </c>
      <c r="O62" s="139"/>
      <c r="P62" s="134">
        <v>103</v>
      </c>
      <c r="Q62" s="496">
        <v>0</v>
      </c>
      <c r="R62" s="496">
        <v>0</v>
      </c>
      <c r="S62" s="496">
        <v>78</v>
      </c>
      <c r="T62" s="496">
        <v>74</v>
      </c>
      <c r="U62" s="496">
        <v>50</v>
      </c>
      <c r="V62" s="134">
        <f t="shared" si="60"/>
        <v>202</v>
      </c>
      <c r="W62" s="134">
        <f t="shared" si="90"/>
        <v>305</v>
      </c>
      <c r="X62" s="496">
        <v>0</v>
      </c>
      <c r="Y62" s="134">
        <v>0</v>
      </c>
      <c r="Z62" s="134"/>
      <c r="AA62" s="134"/>
      <c r="AB62" s="134">
        <f t="shared" si="75"/>
        <v>0</v>
      </c>
      <c r="AC62" s="156">
        <v>1</v>
      </c>
      <c r="AD62" s="156">
        <v>1</v>
      </c>
      <c r="AE62" s="156">
        <f t="shared" si="77"/>
        <v>0</v>
      </c>
      <c r="AF62" s="156">
        <f>+AC62*E62</f>
        <v>0.25</v>
      </c>
      <c r="AG62" s="156">
        <f t="shared" si="89"/>
        <v>0.25</v>
      </c>
      <c r="AH62" s="156">
        <f t="shared" si="79"/>
        <v>0</v>
      </c>
      <c r="AI62" s="156">
        <f>+P62/F62</f>
        <v>0.25750000000000001</v>
      </c>
      <c r="AJ62" s="156">
        <v>0.76249999999999996</v>
      </c>
      <c r="AK62" s="156">
        <f t="shared" si="80"/>
        <v>0.76249999999999996</v>
      </c>
      <c r="AL62" s="139">
        <f>+AI62*E62</f>
        <v>6.4375000000000002E-2</v>
      </c>
      <c r="AM62" s="139">
        <f t="shared" si="91"/>
        <v>0.19062499999999999</v>
      </c>
      <c r="AN62" s="156">
        <f t="shared" si="82"/>
        <v>0.19062499999999999</v>
      </c>
      <c r="AO62" s="521" t="s">
        <v>1844</v>
      </c>
      <c r="AP62" s="765" t="s">
        <v>1886</v>
      </c>
      <c r="AQ62" s="765" t="s">
        <v>1989</v>
      </c>
      <c r="AR62" s="765" t="s">
        <v>2010</v>
      </c>
      <c r="AS62" s="765" t="s">
        <v>2107</v>
      </c>
      <c r="AT62" s="837" t="s">
        <v>2139</v>
      </c>
      <c r="AU62" s="765" t="s">
        <v>2196</v>
      </c>
      <c r="AV62" s="765" t="s">
        <v>1887</v>
      </c>
      <c r="AW62" s="765" t="s">
        <v>2294</v>
      </c>
      <c r="AX62" s="115"/>
      <c r="AY62" s="115"/>
      <c r="AZ62" s="115"/>
      <c r="BA62" s="115"/>
      <c r="BB62" s="115"/>
      <c r="BC62" s="115"/>
      <c r="BD62" s="115"/>
      <c r="BE62" s="115"/>
      <c r="BF62" s="115"/>
      <c r="BG62" s="115"/>
      <c r="BH62" s="115"/>
      <c r="BI62" s="115"/>
      <c r="BJ62" s="115"/>
      <c r="BK62" s="115"/>
      <c r="BL62" s="115"/>
      <c r="BM62" s="115"/>
      <c r="BN62" s="115"/>
      <c r="BO62" s="115"/>
    </row>
    <row r="63" spans="1:67" ht="82.95" customHeight="1" thickBot="1" x14ac:dyDescent="0.4">
      <c r="A63" s="119"/>
      <c r="B63" s="1393" t="s">
        <v>731</v>
      </c>
      <c r="C63" s="1397" t="s">
        <v>1434</v>
      </c>
      <c r="D63" s="158" t="s">
        <v>58</v>
      </c>
      <c r="E63" s="137">
        <v>0.05</v>
      </c>
      <c r="F63" s="138">
        <v>4</v>
      </c>
      <c r="G63" s="134">
        <v>0</v>
      </c>
      <c r="H63" s="134">
        <v>2</v>
      </c>
      <c r="I63" s="134">
        <v>1</v>
      </c>
      <c r="J63" s="139"/>
      <c r="K63" s="139">
        <f t="shared" si="72"/>
        <v>0.5</v>
      </c>
      <c r="L63" s="139">
        <f t="shared" si="73"/>
        <v>0.25</v>
      </c>
      <c r="M63" s="139"/>
      <c r="N63" s="139">
        <f t="shared" si="74"/>
        <v>2.5000000000000001E-2</v>
      </c>
      <c r="O63" s="139"/>
      <c r="P63" s="134"/>
      <c r="Q63" s="496">
        <v>0</v>
      </c>
      <c r="R63" s="496">
        <v>1</v>
      </c>
      <c r="S63" s="496">
        <v>1</v>
      </c>
      <c r="T63" s="496">
        <v>0</v>
      </c>
      <c r="U63" s="496">
        <v>0</v>
      </c>
      <c r="V63" s="134">
        <f t="shared" si="60"/>
        <v>2</v>
      </c>
      <c r="W63" s="134">
        <f t="shared" si="90"/>
        <v>3</v>
      </c>
      <c r="X63" s="496">
        <v>1</v>
      </c>
      <c r="Y63" s="134">
        <v>0</v>
      </c>
      <c r="Z63" s="134"/>
      <c r="AA63" s="134"/>
      <c r="AB63" s="134">
        <f t="shared" si="75"/>
        <v>1</v>
      </c>
      <c r="AC63" s="139"/>
      <c r="AD63" s="139">
        <f t="shared" ref="AD63" si="92">+V63/H63</f>
        <v>1</v>
      </c>
      <c r="AE63" s="139">
        <f t="shared" si="77"/>
        <v>1</v>
      </c>
      <c r="AF63" s="139"/>
      <c r="AG63" s="139">
        <f>+AD63*E63</f>
        <v>0.05</v>
      </c>
      <c r="AH63" s="139">
        <f t="shared" si="79"/>
        <v>0.05</v>
      </c>
      <c r="AI63" s="139"/>
      <c r="AJ63" s="139">
        <v>0.5</v>
      </c>
      <c r="AK63" s="139">
        <f t="shared" si="80"/>
        <v>0.75</v>
      </c>
      <c r="AL63" s="139">
        <f>+AI63*E63</f>
        <v>0</v>
      </c>
      <c r="AM63" s="139">
        <f t="shared" si="91"/>
        <v>2.5000000000000001E-2</v>
      </c>
      <c r="AN63" s="156">
        <f t="shared" si="82"/>
        <v>3.7500000000000006E-2</v>
      </c>
      <c r="AO63" s="521" t="s">
        <v>1844</v>
      </c>
      <c r="AP63" s="765" t="s">
        <v>1912</v>
      </c>
      <c r="AQ63" s="765" t="s">
        <v>1989</v>
      </c>
      <c r="AR63" s="765" t="s">
        <v>2010</v>
      </c>
      <c r="AS63" s="765" t="s">
        <v>2107</v>
      </c>
      <c r="AT63" s="837" t="s">
        <v>2139</v>
      </c>
      <c r="AU63" s="765" t="s">
        <v>2196</v>
      </c>
      <c r="AV63" s="765" t="s">
        <v>1887</v>
      </c>
      <c r="AW63" s="765" t="s">
        <v>2294</v>
      </c>
      <c r="AX63" s="115"/>
      <c r="AY63" s="115"/>
      <c r="AZ63" s="115"/>
      <c r="BA63" s="115"/>
      <c r="BB63" s="115"/>
      <c r="BC63" s="115"/>
      <c r="BD63" s="115"/>
      <c r="BE63" s="115"/>
      <c r="BF63" s="115"/>
      <c r="BG63" s="115"/>
      <c r="BH63" s="115"/>
      <c r="BI63" s="115"/>
      <c r="BJ63" s="115"/>
      <c r="BK63" s="115"/>
      <c r="BL63" s="115"/>
      <c r="BM63" s="115"/>
      <c r="BN63" s="115"/>
      <c r="BO63" s="115"/>
    </row>
    <row r="64" spans="1:67" ht="42.75" customHeight="1" thickBot="1" x14ac:dyDescent="0.4">
      <c r="A64" s="119"/>
      <c r="B64" s="1380" t="s">
        <v>1791</v>
      </c>
      <c r="C64" s="1381"/>
      <c r="D64" s="164"/>
      <c r="E64" s="130">
        <v>0.1</v>
      </c>
      <c r="F64" s="149"/>
      <c r="G64" s="127"/>
      <c r="H64" s="127"/>
      <c r="I64" s="127"/>
      <c r="J64" s="133"/>
      <c r="K64" s="133">
        <f>+AVERAGE(K65:K66)</f>
        <v>0</v>
      </c>
      <c r="L64" s="133">
        <f>+AVERAGE(L65:L66)</f>
        <v>0.66666666666666674</v>
      </c>
      <c r="M64" s="133"/>
      <c r="N64" s="133">
        <f>+N65+N66</f>
        <v>0</v>
      </c>
      <c r="O64" s="133"/>
      <c r="P64" s="134"/>
      <c r="Q64" s="134"/>
      <c r="R64" s="134"/>
      <c r="S64" s="134"/>
      <c r="T64" s="134"/>
      <c r="U64" s="690"/>
      <c r="V64" s="134"/>
      <c r="W64" s="134"/>
      <c r="X64" s="134"/>
      <c r="Y64" s="134"/>
      <c r="Z64" s="134"/>
      <c r="AA64" s="134"/>
      <c r="AB64" s="134"/>
      <c r="AC64" s="154"/>
      <c r="AD64" s="154"/>
      <c r="AE64" s="154">
        <f>+AVERAGE(AE65:AE66)</f>
        <v>0.36633333333333329</v>
      </c>
      <c r="AF64" s="154"/>
      <c r="AG64" s="154">
        <f>+(AG65+AG66)*E64</f>
        <v>0</v>
      </c>
      <c r="AH64" s="154">
        <f>+(AH65+AH66)*E64</f>
        <v>3.663333333333333E-2</v>
      </c>
      <c r="AI64" s="133"/>
      <c r="AJ64" s="133">
        <v>0.13416666666666666</v>
      </c>
      <c r="AK64" s="133">
        <f>+AVERAGE(AK65:AK66)</f>
        <v>0.32833333333333331</v>
      </c>
      <c r="AL64" s="133"/>
      <c r="AM64" s="133">
        <f>+(AM65+AM66)</f>
        <v>0.13416666666666666</v>
      </c>
      <c r="AN64" s="133">
        <f>+(AN65+AN66)</f>
        <v>0.32833333333333331</v>
      </c>
      <c r="AO64" s="545"/>
      <c r="AP64" s="127"/>
      <c r="AQ64" s="127"/>
      <c r="AR64" s="127"/>
      <c r="AS64" s="127"/>
      <c r="AT64" s="564"/>
      <c r="AU64" s="127"/>
      <c r="AV64" s="127"/>
      <c r="AW64" s="121"/>
      <c r="AX64" s="115"/>
      <c r="AY64" s="115"/>
      <c r="AZ64" s="115"/>
      <c r="BA64" s="115"/>
      <c r="BB64" s="115"/>
      <c r="BC64" s="115"/>
      <c r="BD64" s="115"/>
      <c r="BE64" s="115"/>
      <c r="BF64" s="115"/>
      <c r="BG64" s="115"/>
      <c r="BH64" s="115"/>
      <c r="BI64" s="115"/>
      <c r="BJ64" s="115"/>
      <c r="BK64" s="115"/>
      <c r="BL64" s="115"/>
      <c r="BM64" s="115"/>
      <c r="BN64" s="115"/>
      <c r="BO64" s="115"/>
    </row>
    <row r="65" spans="1:67" ht="143.4" customHeight="1" thickBot="1" x14ac:dyDescent="0.4">
      <c r="A65" s="119"/>
      <c r="B65" s="1393" t="s">
        <v>732</v>
      </c>
      <c r="C65" s="1397" t="s">
        <v>1435</v>
      </c>
      <c r="D65" s="158" t="s">
        <v>1927</v>
      </c>
      <c r="E65" s="137">
        <v>0.5</v>
      </c>
      <c r="F65" s="138">
        <v>600</v>
      </c>
      <c r="G65" s="134">
        <v>0</v>
      </c>
      <c r="H65" s="134">
        <v>0</v>
      </c>
      <c r="I65" s="134">
        <f>300+200</f>
        <v>500</v>
      </c>
      <c r="J65" s="139"/>
      <c r="K65" s="139">
        <f t="shared" si="72"/>
        <v>0</v>
      </c>
      <c r="L65" s="139">
        <f t="shared" si="73"/>
        <v>0.83333333333333337</v>
      </c>
      <c r="M65" s="139"/>
      <c r="N65" s="139">
        <f t="shared" si="74"/>
        <v>0</v>
      </c>
      <c r="O65" s="139"/>
      <c r="P65" s="134"/>
      <c r="Q65" s="496">
        <v>0</v>
      </c>
      <c r="R65" s="496">
        <v>0</v>
      </c>
      <c r="S65" s="496"/>
      <c r="T65" s="496"/>
      <c r="U65" s="496">
        <v>161</v>
      </c>
      <c r="V65" s="195">
        <f t="shared" si="60"/>
        <v>161</v>
      </c>
      <c r="W65" s="195">
        <f>+V65+P65+AB65</f>
        <v>194</v>
      </c>
      <c r="X65" s="496">
        <v>0</v>
      </c>
      <c r="Y65" s="496">
        <v>33</v>
      </c>
      <c r="Z65" s="134"/>
      <c r="AA65" s="134"/>
      <c r="AB65" s="134">
        <f t="shared" si="75"/>
        <v>33</v>
      </c>
      <c r="AC65" s="140"/>
      <c r="AD65" s="139"/>
      <c r="AE65" s="141">
        <f>+AB65/I65</f>
        <v>6.6000000000000003E-2</v>
      </c>
      <c r="AF65" s="141"/>
      <c r="AG65" s="141">
        <f t="shared" ref="AG65" si="93">+AD65*E65</f>
        <v>0</v>
      </c>
      <c r="AH65" s="141">
        <f t="shared" si="79"/>
        <v>3.3000000000000002E-2</v>
      </c>
      <c r="AI65" s="139"/>
      <c r="AJ65" s="156">
        <v>0.26833333333333331</v>
      </c>
      <c r="AK65" s="156">
        <f t="shared" si="80"/>
        <v>0.32333333333333331</v>
      </c>
      <c r="AL65" s="139"/>
      <c r="AM65" s="156">
        <f t="shared" ref="AM65:AM66" si="94">+AJ65*E65</f>
        <v>0.13416666666666666</v>
      </c>
      <c r="AN65" s="156">
        <f t="shared" si="82"/>
        <v>0.16166666666666665</v>
      </c>
      <c r="AO65" s="545"/>
      <c r="AP65" s="1162" t="s">
        <v>2075</v>
      </c>
      <c r="AQ65" s="1162" t="s">
        <v>2076</v>
      </c>
      <c r="AR65" s="766" t="s">
        <v>2077</v>
      </c>
      <c r="AS65" s="765" t="s">
        <v>2073</v>
      </c>
      <c r="AT65" s="564"/>
      <c r="AU65" s="599" t="s">
        <v>2197</v>
      </c>
      <c r="AV65" s="765" t="s">
        <v>2254</v>
      </c>
      <c r="AW65" s="765" t="s">
        <v>2294</v>
      </c>
      <c r="AX65" s="115"/>
      <c r="AY65" s="115"/>
      <c r="AZ65" s="115"/>
      <c r="BA65" s="115"/>
      <c r="BB65" s="115"/>
      <c r="BC65" s="115"/>
      <c r="BD65" s="115"/>
      <c r="BE65" s="115"/>
      <c r="BF65" s="115"/>
      <c r="BG65" s="115"/>
      <c r="BH65" s="115"/>
      <c r="BI65" s="115"/>
      <c r="BJ65" s="115"/>
      <c r="BK65" s="115"/>
      <c r="BL65" s="115"/>
      <c r="BM65" s="115"/>
      <c r="BN65" s="115"/>
      <c r="BO65" s="115"/>
    </row>
    <row r="66" spans="1:67" ht="130.19999999999999" customHeight="1" thickBot="1" x14ac:dyDescent="0.4">
      <c r="A66" s="119"/>
      <c r="B66" s="1393" t="s">
        <v>734</v>
      </c>
      <c r="C66" s="1397" t="s">
        <v>1436</v>
      </c>
      <c r="D66" s="158" t="s">
        <v>733</v>
      </c>
      <c r="E66" s="137">
        <v>0.5</v>
      </c>
      <c r="F66" s="138">
        <v>6</v>
      </c>
      <c r="G66" s="134">
        <v>0</v>
      </c>
      <c r="H66" s="134">
        <v>0</v>
      </c>
      <c r="I66" s="134">
        <v>3</v>
      </c>
      <c r="J66" s="139"/>
      <c r="K66" s="139">
        <f t="shared" si="72"/>
        <v>0</v>
      </c>
      <c r="L66" s="139">
        <f t="shared" si="73"/>
        <v>0.5</v>
      </c>
      <c r="M66" s="139"/>
      <c r="N66" s="139">
        <f t="shared" si="74"/>
        <v>0</v>
      </c>
      <c r="O66" s="139"/>
      <c r="P66" s="134"/>
      <c r="Q66" s="496">
        <v>0</v>
      </c>
      <c r="R66" s="496">
        <v>0</v>
      </c>
      <c r="S66" s="496"/>
      <c r="T66" s="496"/>
      <c r="U66" s="496"/>
      <c r="V66" s="195">
        <f t="shared" si="60"/>
        <v>0</v>
      </c>
      <c r="W66" s="195">
        <f>+V66+P66+AB66</f>
        <v>2</v>
      </c>
      <c r="X66" s="496">
        <v>2</v>
      </c>
      <c r="Y66" s="496">
        <v>0</v>
      </c>
      <c r="Z66" s="134"/>
      <c r="AA66" s="134"/>
      <c r="AB66" s="134">
        <f t="shared" si="75"/>
        <v>2</v>
      </c>
      <c r="AC66" s="140"/>
      <c r="AD66" s="139"/>
      <c r="AE66" s="141">
        <f>+AB66/I66</f>
        <v>0.66666666666666663</v>
      </c>
      <c r="AF66" s="141"/>
      <c r="AG66" s="141">
        <f>+AD66*E66</f>
        <v>0</v>
      </c>
      <c r="AH66" s="141">
        <f t="shared" si="79"/>
        <v>0.33333333333333331</v>
      </c>
      <c r="AI66" s="139"/>
      <c r="AJ66" s="139">
        <v>0</v>
      </c>
      <c r="AK66" s="139">
        <f t="shared" si="80"/>
        <v>0.33333333333333331</v>
      </c>
      <c r="AL66" s="139"/>
      <c r="AM66" s="156">
        <f t="shared" si="94"/>
        <v>0</v>
      </c>
      <c r="AN66" s="156">
        <f t="shared" si="82"/>
        <v>0.16666666666666666</v>
      </c>
      <c r="AO66" s="545"/>
      <c r="AP66" s="1162" t="s">
        <v>2078</v>
      </c>
      <c r="AQ66" s="1162" t="s">
        <v>2079</v>
      </c>
      <c r="AR66" s="766" t="s">
        <v>2051</v>
      </c>
      <c r="AS66" s="765" t="s">
        <v>2074</v>
      </c>
      <c r="AT66" s="564"/>
      <c r="AU66" s="765" t="s">
        <v>2196</v>
      </c>
      <c r="AV66" s="765" t="s">
        <v>1887</v>
      </c>
      <c r="AW66" s="765" t="s">
        <v>2294</v>
      </c>
      <c r="AX66" s="115"/>
      <c r="AY66" s="115"/>
      <c r="AZ66" s="115"/>
      <c r="BA66" s="115"/>
      <c r="BB66" s="115"/>
      <c r="BC66" s="115"/>
      <c r="BD66" s="115"/>
      <c r="BE66" s="115"/>
      <c r="BF66" s="115"/>
      <c r="BG66" s="115"/>
      <c r="BH66" s="115"/>
      <c r="BI66" s="115"/>
      <c r="BJ66" s="115"/>
      <c r="BK66" s="115"/>
      <c r="BL66" s="115"/>
      <c r="BM66" s="115"/>
      <c r="BN66" s="115"/>
      <c r="BO66" s="115"/>
    </row>
    <row r="67" spans="1:67" ht="129" customHeight="1" thickBot="1" x14ac:dyDescent="0.4">
      <c r="A67" s="119"/>
      <c r="B67" s="1382" t="s">
        <v>1792</v>
      </c>
      <c r="C67" s="1383"/>
      <c r="D67" s="158"/>
      <c r="E67" s="122">
        <v>0.1</v>
      </c>
      <c r="F67" s="123">
        <f>+E67*AF67</f>
        <v>2.2000000000000002E-2</v>
      </c>
      <c r="G67" s="127"/>
      <c r="H67" s="123">
        <f>+E67*AG67</f>
        <v>8.9006666666666678E-2</v>
      </c>
      <c r="I67" s="123">
        <f>+E67*AH67</f>
        <v>2.7816067498165811E-2</v>
      </c>
      <c r="J67" s="125">
        <f>+((J86+J96)/2)*(2/5)</f>
        <v>0.1135</v>
      </c>
      <c r="K67" s="125">
        <f>+(K68+K73+K86+K91+K96)/5</f>
        <v>0.50593420257578892</v>
      </c>
      <c r="L67" s="125">
        <f>+(L68+L73+L86+L91+L96)/5</f>
        <v>0.32380212226365584</v>
      </c>
      <c r="M67" s="126">
        <f>+((M86+M96)/2)*(2/5)</f>
        <v>0.20750000000000002</v>
      </c>
      <c r="N67" s="126">
        <f>+(N68+N73+N86+N91+N96)/5</f>
        <v>0.47529743197983565</v>
      </c>
      <c r="O67" s="126"/>
      <c r="P67" s="127"/>
      <c r="Q67" s="127"/>
      <c r="R67" s="127"/>
      <c r="S67" s="127"/>
      <c r="T67" s="127"/>
      <c r="U67" s="835"/>
      <c r="V67" s="819"/>
      <c r="W67" s="127"/>
      <c r="X67" s="127"/>
      <c r="Y67" s="127"/>
      <c r="Z67" s="127"/>
      <c r="AA67" s="127"/>
      <c r="AB67" s="127"/>
      <c r="AC67" s="125">
        <f>+(AC86+AC96)/2</f>
        <v>1</v>
      </c>
      <c r="AD67" s="125">
        <f>+(AD68+AD73+AD86+AD91+AD96)/5</f>
        <v>0.86744444444444446</v>
      </c>
      <c r="AE67" s="125">
        <f>+(AE68+AE73+AE86+AE91+AE96)/5</f>
        <v>0.35263389581804849</v>
      </c>
      <c r="AF67" s="126">
        <f>AF68+AF73+AF86+AF91+AF96</f>
        <v>0.22</v>
      </c>
      <c r="AG67" s="126">
        <f>AG68+AG73+AG86+AG91+AG96</f>
        <v>0.89006666666666667</v>
      </c>
      <c r="AH67" s="126">
        <f>AH68+AH73+AH86+AH91+AH96</f>
        <v>0.27816067498165808</v>
      </c>
      <c r="AI67" s="125">
        <f>+((AI86+AI96) /2 )*(2/5)</f>
        <v>0.16850000000000001</v>
      </c>
      <c r="AJ67" s="125">
        <v>0.51483556384227602</v>
      </c>
      <c r="AK67" s="125">
        <f>+(AK68+AK73+AK86+AK91+AK96)/5</f>
        <v>0.61448928035011385</v>
      </c>
      <c r="AL67" s="126">
        <f>AL68+AL73+AL86+AL91+AL96</f>
        <v>8.3350000000000007E-2</v>
      </c>
      <c r="AM67" s="126">
        <f>AM68*E68+AM73*E73+AM86*E86+AM91*E91+AM96*E96</f>
        <v>0.46027253772184246</v>
      </c>
      <c r="AN67" s="126">
        <f>AN68*E68+AN73*E73+AN86*E86+AN91*E91+AN96*E96</f>
        <v>0.52973981003124782</v>
      </c>
      <c r="AO67" s="545"/>
      <c r="AP67" s="1162" t="s">
        <v>1880</v>
      </c>
      <c r="AQ67" s="127"/>
      <c r="AR67" s="127"/>
      <c r="AS67" s="127"/>
      <c r="AT67" s="564"/>
      <c r="AU67" s="127"/>
      <c r="AV67" s="127"/>
      <c r="AW67" s="121"/>
      <c r="AX67" s="115"/>
      <c r="AY67" s="115"/>
      <c r="AZ67" s="115"/>
      <c r="BA67" s="115"/>
      <c r="BB67" s="115"/>
      <c r="BC67" s="115"/>
      <c r="BD67" s="115"/>
      <c r="BE67" s="115"/>
      <c r="BF67" s="115"/>
      <c r="BG67" s="115"/>
      <c r="BH67" s="115"/>
      <c r="BI67" s="115"/>
      <c r="BJ67" s="115"/>
      <c r="BK67" s="115"/>
      <c r="BL67" s="115"/>
      <c r="BM67" s="115"/>
      <c r="BN67" s="115"/>
      <c r="BO67" s="115"/>
    </row>
    <row r="68" spans="1:67" ht="57" customHeight="1" thickBot="1" x14ac:dyDescent="0.4">
      <c r="A68" s="119"/>
      <c r="B68" s="1384" t="s">
        <v>1793</v>
      </c>
      <c r="C68" s="1385"/>
      <c r="D68" s="165"/>
      <c r="E68" s="130">
        <v>0.25</v>
      </c>
      <c r="F68" s="149"/>
      <c r="G68" s="127"/>
      <c r="H68" s="127"/>
      <c r="I68" s="127"/>
      <c r="J68" s="133"/>
      <c r="K68" s="133">
        <f>+AVERAGE(K69:K72)</f>
        <v>0.3845486111111111</v>
      </c>
      <c r="L68" s="133">
        <f>+AVERAGE(L69:L72)</f>
        <v>0.29913194444444441</v>
      </c>
      <c r="M68" s="133"/>
      <c r="N68" s="133">
        <f>+N69+N70+N71+N72</f>
        <v>0.35642361111111109</v>
      </c>
      <c r="O68" s="133"/>
      <c r="P68" s="132"/>
      <c r="Q68" s="132"/>
      <c r="R68" s="132"/>
      <c r="S68" s="132"/>
      <c r="T68" s="132"/>
      <c r="U68" s="836"/>
      <c r="V68" s="134"/>
      <c r="W68" s="132"/>
      <c r="X68" s="132"/>
      <c r="Y68" s="132"/>
      <c r="Z68" s="132"/>
      <c r="AA68" s="132"/>
      <c r="AB68" s="134"/>
      <c r="AC68" s="154"/>
      <c r="AD68" s="154">
        <f>+AVERAGE(AD69:AD72)</f>
        <v>1</v>
      </c>
      <c r="AE68" s="154">
        <f>+AVERAGE(AE69:AE72)</f>
        <v>0.5</v>
      </c>
      <c r="AF68" s="154"/>
      <c r="AG68" s="154">
        <f>+(AG69+AG70+AG71+AG72)*E68</f>
        <v>0.25</v>
      </c>
      <c r="AH68" s="154">
        <f>+(AH69+AH70+AH71+AH72)*E68</f>
        <v>9.9999999999999992E-2</v>
      </c>
      <c r="AI68" s="133"/>
      <c r="AJ68" s="133">
        <v>0.40173611111111107</v>
      </c>
      <c r="AK68" s="133">
        <f>+AVERAGE(AK69:AK72)</f>
        <v>0.54157986111111112</v>
      </c>
      <c r="AL68" s="133"/>
      <c r="AM68" s="133">
        <f>+(AM69+AM70+AM71+AM72)</f>
        <v>0.38048611111111108</v>
      </c>
      <c r="AN68" s="133">
        <f>+(AN69+AN70+AN71+AN72)</f>
        <v>0.50126736111111114</v>
      </c>
      <c r="AO68" s="545"/>
      <c r="AP68" s="127"/>
      <c r="AQ68" s="127"/>
      <c r="AR68" s="127"/>
      <c r="AS68" s="127"/>
      <c r="AT68" s="564"/>
      <c r="AU68" s="127"/>
      <c r="AV68" s="127"/>
      <c r="AW68" s="121"/>
      <c r="AX68" s="115"/>
      <c r="AY68" s="115"/>
      <c r="AZ68" s="115"/>
      <c r="BA68" s="115"/>
      <c r="BB68" s="115"/>
      <c r="BC68" s="115"/>
      <c r="BD68" s="115"/>
      <c r="BE68" s="115"/>
      <c r="BF68" s="115"/>
      <c r="BG68" s="115"/>
      <c r="BH68" s="115"/>
      <c r="BI68" s="115"/>
      <c r="BJ68" s="115"/>
      <c r="BK68" s="115"/>
      <c r="BL68" s="115"/>
      <c r="BM68" s="115"/>
      <c r="BN68" s="115"/>
      <c r="BO68" s="115"/>
    </row>
    <row r="69" spans="1:67" ht="51" customHeight="1" thickBot="1" x14ac:dyDescent="0.4">
      <c r="A69" s="119"/>
      <c r="B69" s="1378" t="s">
        <v>735</v>
      </c>
      <c r="C69" s="1379" t="s">
        <v>1437</v>
      </c>
      <c r="D69" s="147" t="s">
        <v>736</v>
      </c>
      <c r="E69" s="137">
        <v>0.05</v>
      </c>
      <c r="F69" s="138">
        <v>4</v>
      </c>
      <c r="G69" s="134">
        <v>0</v>
      </c>
      <c r="H69" s="134">
        <v>2</v>
      </c>
      <c r="I69" s="134">
        <v>1</v>
      </c>
      <c r="J69" s="139"/>
      <c r="K69" s="139">
        <f t="shared" ref="K69:K95" si="95">+H69/F69</f>
        <v>0.5</v>
      </c>
      <c r="L69" s="156">
        <f t="shared" ref="L69:L98" si="96">+I69/F69</f>
        <v>0.25</v>
      </c>
      <c r="M69" s="139"/>
      <c r="N69" s="139">
        <f t="shared" ref="N69:N99" si="97">+(H69/F69)*E69</f>
        <v>2.5000000000000001E-2</v>
      </c>
      <c r="O69" s="139"/>
      <c r="P69" s="134"/>
      <c r="Q69" s="496">
        <v>0</v>
      </c>
      <c r="R69" s="496">
        <v>0.52</v>
      </c>
      <c r="S69" s="496">
        <v>1.48</v>
      </c>
      <c r="T69" s="496">
        <v>0</v>
      </c>
      <c r="U69" s="496">
        <v>0</v>
      </c>
      <c r="V69" s="134">
        <f t="shared" si="60"/>
        <v>2</v>
      </c>
      <c r="W69" s="134">
        <f>+V69+P69+AB69</f>
        <v>3</v>
      </c>
      <c r="X69" s="496">
        <v>0</v>
      </c>
      <c r="Y69" s="496">
        <v>1</v>
      </c>
      <c r="Z69" s="134"/>
      <c r="AA69" s="134"/>
      <c r="AB69" s="134">
        <f t="shared" si="75"/>
        <v>1</v>
      </c>
      <c r="AC69" s="139"/>
      <c r="AD69" s="156">
        <f t="shared" ref="AD69:AD71" si="98">+V69/H69</f>
        <v>1</v>
      </c>
      <c r="AE69" s="156">
        <f>+AB69/I69</f>
        <v>1</v>
      </c>
      <c r="AF69" s="156"/>
      <c r="AG69" s="156">
        <f t="shared" ref="AG69:AG72" si="99">+AD69*E69</f>
        <v>0.05</v>
      </c>
      <c r="AH69" s="156">
        <f t="shared" ref="AH69:AH99" si="100">+AE69*E69</f>
        <v>0.05</v>
      </c>
      <c r="AI69" s="156"/>
      <c r="AJ69" s="156">
        <v>0.5</v>
      </c>
      <c r="AK69" s="156">
        <f t="shared" ref="AK69:AK99" si="101">+W69/F69</f>
        <v>0.75</v>
      </c>
      <c r="AL69" s="139"/>
      <c r="AM69" s="156">
        <f t="shared" ref="AM69:AM85" si="102">+AJ69*E69</f>
        <v>2.5000000000000001E-2</v>
      </c>
      <c r="AN69" s="156">
        <f t="shared" ref="AN69:AN99" si="103">+AK69*E69</f>
        <v>3.7500000000000006E-2</v>
      </c>
      <c r="AO69" s="545" t="s">
        <v>1575</v>
      </c>
      <c r="AP69" s="765" t="s">
        <v>1886</v>
      </c>
      <c r="AQ69" s="765" t="s">
        <v>1989</v>
      </c>
      <c r="AR69" s="765" t="s">
        <v>2010</v>
      </c>
      <c r="AS69" s="765" t="s">
        <v>2107</v>
      </c>
      <c r="AT69" s="837" t="s">
        <v>2139</v>
      </c>
      <c r="AU69" s="765" t="s">
        <v>2196</v>
      </c>
      <c r="AV69" s="765" t="s">
        <v>1887</v>
      </c>
      <c r="AW69" s="599" t="s">
        <v>1859</v>
      </c>
      <c r="AX69" s="115"/>
      <c r="AY69" s="115"/>
      <c r="AZ69" s="115"/>
      <c r="BA69" s="115"/>
      <c r="BB69" s="115"/>
      <c r="BC69" s="115"/>
      <c r="BD69" s="115"/>
      <c r="BE69" s="115"/>
      <c r="BF69" s="115"/>
      <c r="BG69" s="115"/>
      <c r="BH69" s="115"/>
      <c r="BI69" s="115"/>
      <c r="BJ69" s="115"/>
      <c r="BK69" s="115"/>
      <c r="BL69" s="115"/>
      <c r="BM69" s="115"/>
      <c r="BN69" s="115"/>
      <c r="BO69" s="115"/>
    </row>
    <row r="70" spans="1:67" ht="77.400000000000006" customHeight="1" thickBot="1" x14ac:dyDescent="0.4">
      <c r="A70" s="119"/>
      <c r="B70" s="1378" t="s">
        <v>737</v>
      </c>
      <c r="C70" s="1379" t="s">
        <v>1438</v>
      </c>
      <c r="D70" s="147" t="s">
        <v>736</v>
      </c>
      <c r="E70" s="137">
        <v>0.2</v>
      </c>
      <c r="F70" s="138">
        <v>6</v>
      </c>
      <c r="G70" s="134">
        <v>0</v>
      </c>
      <c r="H70" s="134">
        <v>2</v>
      </c>
      <c r="I70" s="134">
        <v>2</v>
      </c>
      <c r="J70" s="139"/>
      <c r="K70" s="139">
        <f t="shared" si="95"/>
        <v>0.33333333333333331</v>
      </c>
      <c r="L70" s="156">
        <f t="shared" si="96"/>
        <v>0.33333333333333331</v>
      </c>
      <c r="M70" s="139"/>
      <c r="N70" s="139">
        <f t="shared" si="97"/>
        <v>6.6666666666666666E-2</v>
      </c>
      <c r="O70" s="139"/>
      <c r="P70" s="134"/>
      <c r="Q70" s="496">
        <v>0</v>
      </c>
      <c r="R70" s="496">
        <v>0</v>
      </c>
      <c r="S70" s="496">
        <v>0</v>
      </c>
      <c r="T70" s="496">
        <v>0</v>
      </c>
      <c r="U70" s="496">
        <v>2</v>
      </c>
      <c r="V70" s="134">
        <f t="shared" si="60"/>
        <v>2</v>
      </c>
      <c r="W70" s="134">
        <f t="shared" ref="W70:W99" si="104">+V70+P70+AB70</f>
        <v>2</v>
      </c>
      <c r="X70" s="496">
        <v>0</v>
      </c>
      <c r="Y70" s="496">
        <v>0</v>
      </c>
      <c r="Z70" s="134"/>
      <c r="AA70" s="134"/>
      <c r="AB70" s="134">
        <f t="shared" si="75"/>
        <v>0</v>
      </c>
      <c r="AC70" s="139"/>
      <c r="AD70" s="156">
        <f t="shared" si="98"/>
        <v>1</v>
      </c>
      <c r="AE70" s="156">
        <f t="shared" ref="AE70:AE99" si="105">+AB70/I70</f>
        <v>0</v>
      </c>
      <c r="AF70" s="156"/>
      <c r="AG70" s="156">
        <f t="shared" si="99"/>
        <v>0.2</v>
      </c>
      <c r="AH70" s="156">
        <f t="shared" si="100"/>
        <v>0</v>
      </c>
      <c r="AI70" s="156"/>
      <c r="AJ70" s="156">
        <v>0.33333333333333331</v>
      </c>
      <c r="AK70" s="156">
        <f t="shared" si="101"/>
        <v>0.33333333333333331</v>
      </c>
      <c r="AL70" s="139"/>
      <c r="AM70" s="156">
        <f t="shared" si="102"/>
        <v>6.6666666666666666E-2</v>
      </c>
      <c r="AN70" s="156">
        <f t="shared" si="103"/>
        <v>6.6666666666666666E-2</v>
      </c>
      <c r="AO70" s="545" t="s">
        <v>1575</v>
      </c>
      <c r="AP70" s="765" t="s">
        <v>1886</v>
      </c>
      <c r="AQ70" s="765" t="s">
        <v>1989</v>
      </c>
      <c r="AR70" s="765" t="s">
        <v>2010</v>
      </c>
      <c r="AS70" s="765" t="s">
        <v>2107</v>
      </c>
      <c r="AT70" s="837" t="s">
        <v>2139</v>
      </c>
      <c r="AU70" s="765" t="s">
        <v>2196</v>
      </c>
      <c r="AV70" s="765" t="s">
        <v>1887</v>
      </c>
      <c r="AW70" s="765" t="s">
        <v>2294</v>
      </c>
      <c r="AX70" s="115"/>
      <c r="AY70" s="115"/>
      <c r="AZ70" s="115"/>
      <c r="BA70" s="115"/>
      <c r="BB70" s="115"/>
      <c r="BC70" s="115"/>
      <c r="BD70" s="115"/>
      <c r="BE70" s="115"/>
      <c r="BF70" s="115"/>
      <c r="BG70" s="115"/>
      <c r="BH70" s="115"/>
      <c r="BI70" s="115"/>
      <c r="BJ70" s="115"/>
      <c r="BK70" s="115"/>
      <c r="BL70" s="115"/>
      <c r="BM70" s="115"/>
      <c r="BN70" s="115"/>
      <c r="BO70" s="115"/>
    </row>
    <row r="71" spans="1:67" ht="75" customHeight="1" thickBot="1" x14ac:dyDescent="0.4">
      <c r="A71" s="119"/>
      <c r="B71" s="1378" t="s">
        <v>738</v>
      </c>
      <c r="C71" s="1379" t="s">
        <v>1439</v>
      </c>
      <c r="D71" s="166" t="s">
        <v>736</v>
      </c>
      <c r="E71" s="137">
        <v>0.4</v>
      </c>
      <c r="F71" s="138">
        <v>360</v>
      </c>
      <c r="G71" s="134">
        <v>0</v>
      </c>
      <c r="H71" s="134">
        <v>130</v>
      </c>
      <c r="I71" s="134">
        <v>115</v>
      </c>
      <c r="J71" s="139"/>
      <c r="K71" s="139">
        <f t="shared" si="95"/>
        <v>0.3611111111111111</v>
      </c>
      <c r="L71" s="156">
        <f t="shared" si="96"/>
        <v>0.31944444444444442</v>
      </c>
      <c r="M71" s="139"/>
      <c r="N71" s="139">
        <f>+(H71/F71)*E71</f>
        <v>0.14444444444444446</v>
      </c>
      <c r="O71" s="139"/>
      <c r="P71" s="134"/>
      <c r="Q71" s="496">
        <v>0</v>
      </c>
      <c r="R71" s="496">
        <v>0</v>
      </c>
      <c r="S71" s="496">
        <v>0</v>
      </c>
      <c r="T71" s="496">
        <v>0</v>
      </c>
      <c r="U71" s="496">
        <v>130</v>
      </c>
      <c r="V71" s="134">
        <f t="shared" si="60"/>
        <v>130</v>
      </c>
      <c r="W71" s="134">
        <f t="shared" si="104"/>
        <v>130</v>
      </c>
      <c r="X71" s="496">
        <v>0</v>
      </c>
      <c r="Y71" s="496">
        <v>0</v>
      </c>
      <c r="Z71" s="134"/>
      <c r="AA71" s="134"/>
      <c r="AB71" s="134">
        <f t="shared" si="75"/>
        <v>0</v>
      </c>
      <c r="AC71" s="139"/>
      <c r="AD71" s="156">
        <f t="shared" si="98"/>
        <v>1</v>
      </c>
      <c r="AE71" s="156">
        <f>+AB71/I71</f>
        <v>0</v>
      </c>
      <c r="AF71" s="156"/>
      <c r="AG71" s="156">
        <f>+AD71*E71</f>
        <v>0.4</v>
      </c>
      <c r="AH71" s="156">
        <f t="shared" si="100"/>
        <v>0</v>
      </c>
      <c r="AI71" s="156"/>
      <c r="AJ71" s="156">
        <v>0.3611111111111111</v>
      </c>
      <c r="AK71" s="156">
        <f t="shared" si="101"/>
        <v>0.3611111111111111</v>
      </c>
      <c r="AL71" s="139"/>
      <c r="AM71" s="156">
        <f t="shared" si="102"/>
        <v>0.14444444444444446</v>
      </c>
      <c r="AN71" s="156">
        <f t="shared" si="103"/>
        <v>0.14444444444444446</v>
      </c>
      <c r="AO71" s="545" t="s">
        <v>1575</v>
      </c>
      <c r="AP71" s="765" t="s">
        <v>1886</v>
      </c>
      <c r="AQ71" s="765" t="s">
        <v>1989</v>
      </c>
      <c r="AR71" s="765" t="s">
        <v>2010</v>
      </c>
      <c r="AS71" s="765" t="s">
        <v>2107</v>
      </c>
      <c r="AT71" s="837" t="s">
        <v>2139</v>
      </c>
      <c r="AU71" s="765" t="s">
        <v>2196</v>
      </c>
      <c r="AV71" s="765" t="s">
        <v>1887</v>
      </c>
      <c r="AW71" s="765" t="s">
        <v>2294</v>
      </c>
      <c r="AX71" s="115"/>
      <c r="AY71" s="115"/>
      <c r="AZ71" s="115"/>
      <c r="BA71" s="115"/>
      <c r="BB71" s="115"/>
      <c r="BC71" s="115"/>
      <c r="BD71" s="115"/>
      <c r="BE71" s="115"/>
      <c r="BF71" s="115"/>
      <c r="BG71" s="115"/>
      <c r="BH71" s="115"/>
      <c r="BI71" s="115"/>
      <c r="BJ71" s="115"/>
      <c r="BK71" s="115"/>
      <c r="BL71" s="115"/>
      <c r="BM71" s="115"/>
      <c r="BN71" s="115"/>
      <c r="BO71" s="115"/>
    </row>
    <row r="72" spans="1:67" ht="83.4" customHeight="1" thickBot="1" x14ac:dyDescent="0.4">
      <c r="A72" s="119"/>
      <c r="B72" s="1378" t="s">
        <v>739</v>
      </c>
      <c r="C72" s="1379" t="s">
        <v>1440</v>
      </c>
      <c r="D72" s="165" t="s">
        <v>736</v>
      </c>
      <c r="E72" s="137">
        <v>0.35</v>
      </c>
      <c r="F72" s="138">
        <v>320</v>
      </c>
      <c r="G72" s="134">
        <v>0</v>
      </c>
      <c r="H72" s="134">
        <v>110</v>
      </c>
      <c r="I72" s="134">
        <v>94</v>
      </c>
      <c r="J72" s="139"/>
      <c r="K72" s="139">
        <f t="shared" si="95"/>
        <v>0.34375</v>
      </c>
      <c r="L72" s="156">
        <f t="shared" si="96"/>
        <v>0.29375000000000001</v>
      </c>
      <c r="M72" s="139"/>
      <c r="N72" s="139">
        <f t="shared" si="97"/>
        <v>0.12031249999999999</v>
      </c>
      <c r="O72" s="139"/>
      <c r="P72" s="134"/>
      <c r="Q72" s="496">
        <v>0</v>
      </c>
      <c r="R72" s="496">
        <v>81</v>
      </c>
      <c r="S72" s="496">
        <v>51</v>
      </c>
      <c r="T72" s="496">
        <v>0</v>
      </c>
      <c r="U72" s="496">
        <v>0</v>
      </c>
      <c r="V72" s="134">
        <f t="shared" si="60"/>
        <v>132</v>
      </c>
      <c r="W72" s="134">
        <f t="shared" si="104"/>
        <v>231</v>
      </c>
      <c r="X72" s="496">
        <v>0</v>
      </c>
      <c r="Y72" s="496">
        <v>99</v>
      </c>
      <c r="Z72" s="134"/>
      <c r="AA72" s="134"/>
      <c r="AB72" s="134">
        <f t="shared" si="75"/>
        <v>99</v>
      </c>
      <c r="AC72" s="139"/>
      <c r="AD72" s="156">
        <v>1</v>
      </c>
      <c r="AE72" s="156">
        <v>1</v>
      </c>
      <c r="AF72" s="156"/>
      <c r="AG72" s="156">
        <f t="shared" si="99"/>
        <v>0.35</v>
      </c>
      <c r="AH72" s="156">
        <f t="shared" si="100"/>
        <v>0.35</v>
      </c>
      <c r="AI72" s="156"/>
      <c r="AJ72" s="156">
        <v>0.41249999999999998</v>
      </c>
      <c r="AK72" s="156">
        <f t="shared" si="101"/>
        <v>0.72187500000000004</v>
      </c>
      <c r="AL72" s="139"/>
      <c r="AM72" s="156">
        <f t="shared" si="102"/>
        <v>0.14437499999999998</v>
      </c>
      <c r="AN72" s="156">
        <f t="shared" si="103"/>
        <v>0.25265625000000003</v>
      </c>
      <c r="AO72" s="545" t="s">
        <v>1575</v>
      </c>
      <c r="AP72" s="765" t="s">
        <v>1886</v>
      </c>
      <c r="AQ72" s="765" t="s">
        <v>1989</v>
      </c>
      <c r="AR72" s="765" t="s">
        <v>2010</v>
      </c>
      <c r="AS72" s="765" t="s">
        <v>2107</v>
      </c>
      <c r="AT72" s="837" t="s">
        <v>2139</v>
      </c>
      <c r="AU72" s="765" t="s">
        <v>2196</v>
      </c>
      <c r="AV72" s="765" t="s">
        <v>1887</v>
      </c>
      <c r="AW72" s="599" t="s">
        <v>1859</v>
      </c>
      <c r="AX72" s="115"/>
      <c r="AY72" s="115"/>
      <c r="AZ72" s="115"/>
      <c r="BA72" s="115"/>
      <c r="BB72" s="115"/>
      <c r="BC72" s="115"/>
      <c r="BD72" s="115"/>
      <c r="BE72" s="115"/>
      <c r="BF72" s="115"/>
      <c r="BG72" s="115"/>
      <c r="BH72" s="115"/>
      <c r="BI72" s="115"/>
      <c r="BJ72" s="115"/>
      <c r="BK72" s="115"/>
      <c r="BL72" s="115"/>
      <c r="BM72" s="115"/>
      <c r="BN72" s="115"/>
      <c r="BO72" s="115"/>
    </row>
    <row r="73" spans="1:67" ht="57" customHeight="1" thickBot="1" x14ac:dyDescent="0.4">
      <c r="A73" s="119"/>
      <c r="B73" s="1376" t="s">
        <v>1794</v>
      </c>
      <c r="C73" s="1377"/>
      <c r="D73" s="147"/>
      <c r="E73" s="130">
        <v>0.2</v>
      </c>
      <c r="F73" s="149"/>
      <c r="G73" s="127"/>
      <c r="H73" s="127"/>
      <c r="I73" s="127"/>
      <c r="J73" s="133"/>
      <c r="K73" s="133">
        <f>+AVERAGE(K74:K85)</f>
        <v>0.53803906843450033</v>
      </c>
      <c r="L73" s="133">
        <f>+AVERAGE(L74:L85)</f>
        <v>0.36383700020716803</v>
      </c>
      <c r="M73" s="133"/>
      <c r="N73" s="133">
        <f>+N74+N75+N76+N77+N78+N79+N80+N81+N82+N83+N84+N85</f>
        <v>0.44564688212140052</v>
      </c>
      <c r="O73" s="133"/>
      <c r="P73" s="132"/>
      <c r="Q73" s="132"/>
      <c r="R73" s="132"/>
      <c r="S73" s="132"/>
      <c r="T73" s="132"/>
      <c r="U73" s="836"/>
      <c r="V73" s="134"/>
      <c r="W73" s="134"/>
      <c r="X73" s="132"/>
      <c r="Y73" s="132"/>
      <c r="Z73" s="132"/>
      <c r="AA73" s="132"/>
      <c r="AB73" s="134"/>
      <c r="AC73" s="154"/>
      <c r="AD73" s="154">
        <f>+AVERAGE(AD74:AD85)</f>
        <v>0.78472222222222221</v>
      </c>
      <c r="AE73" s="154">
        <f>+AVERAGE(AE74:AE85)</f>
        <v>0.44650281242357542</v>
      </c>
      <c r="AF73" s="154"/>
      <c r="AG73" s="154">
        <f>+(AG74+AG75+AG76+AG77+AG78+AG79+AG80+AG81+AG82+AG83+AG84+AG85)*E73</f>
        <v>0.16666666666666671</v>
      </c>
      <c r="AH73" s="154">
        <f>+(AH74+AH75+AH76+AH77+AH78+AH79+AH80+AH81+AH82+AH83+AH84+AH85)*E73</f>
        <v>5.1160674981658105E-2</v>
      </c>
      <c r="AI73" s="133"/>
      <c r="AJ73" s="133">
        <v>0.46258059698915827</v>
      </c>
      <c r="AK73" s="133">
        <f>+AVERAGE(AK74:AK85)</f>
        <v>0.59600542952834756</v>
      </c>
      <c r="AL73" s="133"/>
      <c r="AM73" s="133">
        <f>+(AM74+AM75+AM76+AM77+AM78+AM79+AM80+AM81+AM82+AM83+AM84+AM85)</f>
        <v>0.4207967163869899</v>
      </c>
      <c r="AN73" s="133">
        <f>+(AN74+AN75+AN76+AN77+AN78+AN79+AN80+AN81+AN82+AN83+AN84+AN85)</f>
        <v>0.520906515434017</v>
      </c>
      <c r="AO73" s="545"/>
      <c r="AP73" s="127"/>
      <c r="AQ73" s="127"/>
      <c r="AR73" s="127"/>
      <c r="AS73" s="127"/>
      <c r="AT73" s="564"/>
      <c r="AU73" s="127"/>
      <c r="AV73" s="127"/>
      <c r="AW73" s="121"/>
      <c r="AX73" s="115"/>
      <c r="AY73" s="115"/>
      <c r="AZ73" s="115"/>
      <c r="BA73" s="115"/>
      <c r="BB73" s="115"/>
      <c r="BC73" s="115"/>
      <c r="BD73" s="115"/>
      <c r="BE73" s="115"/>
      <c r="BF73" s="115"/>
      <c r="BG73" s="115"/>
      <c r="BH73" s="115"/>
      <c r="BI73" s="115"/>
      <c r="BJ73" s="115"/>
      <c r="BK73" s="115"/>
      <c r="BL73" s="115"/>
      <c r="BM73" s="115"/>
      <c r="BN73" s="115"/>
      <c r="BO73" s="115"/>
    </row>
    <row r="74" spans="1:67" ht="88.2" customHeight="1" thickBot="1" x14ac:dyDescent="0.4">
      <c r="A74" s="119"/>
      <c r="B74" s="1378" t="s">
        <v>740</v>
      </c>
      <c r="C74" s="1379" t="s">
        <v>1441</v>
      </c>
      <c r="D74" s="147" t="s">
        <v>736</v>
      </c>
      <c r="E74" s="137">
        <v>0.1</v>
      </c>
      <c r="F74" s="138">
        <v>4827</v>
      </c>
      <c r="G74" s="134">
        <v>0</v>
      </c>
      <c r="H74" s="134">
        <v>1600</v>
      </c>
      <c r="I74" s="134">
        <v>1363</v>
      </c>
      <c r="J74" s="139"/>
      <c r="K74" s="156">
        <f t="shared" si="95"/>
        <v>0.33146882121400456</v>
      </c>
      <c r="L74" s="156">
        <f t="shared" si="96"/>
        <v>0.28237000207168012</v>
      </c>
      <c r="M74" s="139"/>
      <c r="N74" s="139">
        <f t="shared" si="97"/>
        <v>3.3146882121400455E-2</v>
      </c>
      <c r="O74" s="139"/>
      <c r="P74" s="134"/>
      <c r="Q74" s="496">
        <v>0</v>
      </c>
      <c r="R74" s="496">
        <v>1131</v>
      </c>
      <c r="S74" s="496">
        <v>575</v>
      </c>
      <c r="T74" s="496">
        <v>218</v>
      </c>
      <c r="U74" s="496">
        <v>178</v>
      </c>
      <c r="V74" s="134">
        <f t="shared" si="60"/>
        <v>2102</v>
      </c>
      <c r="W74" s="134">
        <f t="shared" si="104"/>
        <v>2590</v>
      </c>
      <c r="X74" s="496">
        <v>274</v>
      </c>
      <c r="Y74" s="496">
        <v>214</v>
      </c>
      <c r="Z74" s="134"/>
      <c r="AA74" s="134"/>
      <c r="AB74" s="134">
        <f t="shared" si="75"/>
        <v>488</v>
      </c>
      <c r="AC74" s="139"/>
      <c r="AD74" s="139">
        <v>1</v>
      </c>
      <c r="AE74" s="139">
        <f t="shared" si="105"/>
        <v>0.35803374908290536</v>
      </c>
      <c r="AF74" s="139"/>
      <c r="AG74" s="139">
        <f t="shared" ref="AG74:AG99" si="106">+AD74*E74</f>
        <v>0.1</v>
      </c>
      <c r="AH74" s="139">
        <f t="shared" si="100"/>
        <v>3.5803374908290539E-2</v>
      </c>
      <c r="AI74" s="139"/>
      <c r="AJ74" s="156">
        <v>0.43546716386989848</v>
      </c>
      <c r="AK74" s="156">
        <f>+W74/F74</f>
        <v>0.53656515434016983</v>
      </c>
      <c r="AL74" s="139"/>
      <c r="AM74" s="139">
        <f t="shared" si="102"/>
        <v>4.3546716386989849E-2</v>
      </c>
      <c r="AN74" s="156">
        <f t="shared" si="103"/>
        <v>5.3656515434016984E-2</v>
      </c>
      <c r="AO74" s="545" t="s">
        <v>1575</v>
      </c>
      <c r="AP74" s="765" t="s">
        <v>1886</v>
      </c>
      <c r="AQ74" s="765" t="s">
        <v>1989</v>
      </c>
      <c r="AR74" s="765" t="s">
        <v>2010</v>
      </c>
      <c r="AS74" s="765" t="s">
        <v>2107</v>
      </c>
      <c r="AT74" s="837" t="s">
        <v>2139</v>
      </c>
      <c r="AU74" s="765" t="s">
        <v>2196</v>
      </c>
      <c r="AV74" s="599" t="s">
        <v>1859</v>
      </c>
      <c r="AW74" s="599" t="s">
        <v>1859</v>
      </c>
      <c r="AX74" s="115"/>
      <c r="AY74" s="115"/>
      <c r="AZ74" s="115"/>
      <c r="BA74" s="115"/>
      <c r="BB74" s="115"/>
      <c r="BC74" s="115"/>
      <c r="BD74" s="115"/>
      <c r="BE74" s="115"/>
      <c r="BF74" s="115"/>
      <c r="BG74" s="115"/>
      <c r="BH74" s="115"/>
      <c r="BI74" s="115"/>
      <c r="BJ74" s="115"/>
      <c r="BK74" s="115"/>
      <c r="BL74" s="115"/>
      <c r="BM74" s="115"/>
      <c r="BN74" s="115"/>
      <c r="BO74" s="115"/>
    </row>
    <row r="75" spans="1:67" ht="107.4" customHeight="1" thickBot="1" x14ac:dyDescent="0.4">
      <c r="A75" s="119"/>
      <c r="B75" s="1378" t="s">
        <v>741</v>
      </c>
      <c r="C75" s="1379" t="s">
        <v>1442</v>
      </c>
      <c r="D75" s="147" t="s">
        <v>736</v>
      </c>
      <c r="E75" s="137">
        <v>0.2</v>
      </c>
      <c r="F75" s="138">
        <v>400</v>
      </c>
      <c r="G75" s="134">
        <v>0</v>
      </c>
      <c r="H75" s="134">
        <v>150</v>
      </c>
      <c r="I75" s="134">
        <v>109</v>
      </c>
      <c r="J75" s="139"/>
      <c r="K75" s="156">
        <f t="shared" si="95"/>
        <v>0.375</v>
      </c>
      <c r="L75" s="156">
        <f t="shared" si="96"/>
        <v>0.27250000000000002</v>
      </c>
      <c r="M75" s="139"/>
      <c r="N75" s="139">
        <f t="shared" si="97"/>
        <v>7.5000000000000011E-2</v>
      </c>
      <c r="O75" s="139"/>
      <c r="P75" s="134"/>
      <c r="Q75" s="496">
        <v>0</v>
      </c>
      <c r="R75" s="496">
        <v>6</v>
      </c>
      <c r="S75" s="496">
        <v>25</v>
      </c>
      <c r="T75" s="496">
        <v>31</v>
      </c>
      <c r="U75" s="496">
        <v>121</v>
      </c>
      <c r="V75" s="134">
        <f t="shared" si="60"/>
        <v>183</v>
      </c>
      <c r="W75" s="134">
        <f t="shared" si="104"/>
        <v>183</v>
      </c>
      <c r="X75" s="496">
        <v>0</v>
      </c>
      <c r="Y75" s="496">
        <v>0</v>
      </c>
      <c r="Z75" s="134"/>
      <c r="AA75" s="134"/>
      <c r="AB75" s="134">
        <f t="shared" si="75"/>
        <v>0</v>
      </c>
      <c r="AC75" s="139"/>
      <c r="AD75" s="156">
        <v>1</v>
      </c>
      <c r="AE75" s="156">
        <f t="shared" si="105"/>
        <v>0</v>
      </c>
      <c r="AF75" s="156"/>
      <c r="AG75" s="156">
        <f t="shared" si="106"/>
        <v>0.2</v>
      </c>
      <c r="AH75" s="156">
        <f t="shared" si="100"/>
        <v>0</v>
      </c>
      <c r="AI75" s="156"/>
      <c r="AJ75" s="156">
        <v>0.45750000000000002</v>
      </c>
      <c r="AK75" s="156">
        <f t="shared" si="101"/>
        <v>0.45750000000000002</v>
      </c>
      <c r="AL75" s="139"/>
      <c r="AM75" s="139">
        <f t="shared" si="102"/>
        <v>9.1500000000000012E-2</v>
      </c>
      <c r="AN75" s="156">
        <f t="shared" si="103"/>
        <v>9.1500000000000012E-2</v>
      </c>
      <c r="AO75" s="545" t="s">
        <v>1575</v>
      </c>
      <c r="AP75" s="765" t="s">
        <v>1886</v>
      </c>
      <c r="AQ75" s="765" t="s">
        <v>1989</v>
      </c>
      <c r="AR75" s="765" t="s">
        <v>2010</v>
      </c>
      <c r="AS75" s="765" t="s">
        <v>2107</v>
      </c>
      <c r="AT75" s="837" t="s">
        <v>2139</v>
      </c>
      <c r="AU75" s="765" t="s">
        <v>2196</v>
      </c>
      <c r="AV75" s="765" t="s">
        <v>1887</v>
      </c>
      <c r="AW75" s="765" t="s">
        <v>2294</v>
      </c>
      <c r="AX75" s="115"/>
      <c r="AY75" s="115"/>
      <c r="AZ75" s="115"/>
      <c r="BA75" s="115"/>
      <c r="BB75" s="115"/>
      <c r="BC75" s="115"/>
      <c r="BD75" s="115"/>
      <c r="BE75" s="115"/>
      <c r="BF75" s="115"/>
      <c r="BG75" s="115"/>
      <c r="BH75" s="115"/>
      <c r="BI75" s="115"/>
      <c r="BJ75" s="115"/>
      <c r="BK75" s="115"/>
      <c r="BL75" s="115"/>
      <c r="BM75" s="115"/>
      <c r="BN75" s="115"/>
      <c r="BO75" s="115"/>
    </row>
    <row r="76" spans="1:67" ht="65.400000000000006" customHeight="1" thickBot="1" x14ac:dyDescent="0.4">
      <c r="A76" s="119"/>
      <c r="B76" s="1378" t="s">
        <v>742</v>
      </c>
      <c r="C76" s="1379" t="s">
        <v>1443</v>
      </c>
      <c r="D76" s="147" t="s">
        <v>736</v>
      </c>
      <c r="E76" s="137">
        <v>0.05</v>
      </c>
      <c r="F76" s="138">
        <v>8</v>
      </c>
      <c r="G76" s="134">
        <v>0</v>
      </c>
      <c r="H76" s="134">
        <v>3</v>
      </c>
      <c r="I76" s="134">
        <v>2</v>
      </c>
      <c r="J76" s="139"/>
      <c r="K76" s="156">
        <f t="shared" si="95"/>
        <v>0.375</v>
      </c>
      <c r="L76" s="156">
        <f t="shared" si="96"/>
        <v>0.25</v>
      </c>
      <c r="M76" s="139"/>
      <c r="N76" s="139">
        <f>+(H76/F76)*E76</f>
        <v>1.8750000000000003E-2</v>
      </c>
      <c r="O76" s="139"/>
      <c r="P76" s="134"/>
      <c r="Q76" s="496">
        <v>0</v>
      </c>
      <c r="R76" s="496">
        <v>0.85</v>
      </c>
      <c r="S76" s="496">
        <v>2.15</v>
      </c>
      <c r="T76" s="496">
        <v>0</v>
      </c>
      <c r="U76" s="496">
        <v>1</v>
      </c>
      <c r="V76" s="134">
        <f t="shared" si="60"/>
        <v>4</v>
      </c>
      <c r="W76" s="134">
        <f t="shared" si="104"/>
        <v>4</v>
      </c>
      <c r="X76" s="496">
        <v>0</v>
      </c>
      <c r="Y76" s="496">
        <v>0</v>
      </c>
      <c r="Z76" s="134"/>
      <c r="AA76" s="134"/>
      <c r="AB76" s="134">
        <f t="shared" si="75"/>
        <v>0</v>
      </c>
      <c r="AC76" s="139"/>
      <c r="AD76" s="156">
        <v>1</v>
      </c>
      <c r="AE76" s="156">
        <f t="shared" si="105"/>
        <v>0</v>
      </c>
      <c r="AF76" s="156"/>
      <c r="AG76" s="156">
        <f t="shared" si="106"/>
        <v>0.05</v>
      </c>
      <c r="AH76" s="156">
        <f t="shared" si="100"/>
        <v>0</v>
      </c>
      <c r="AI76" s="156"/>
      <c r="AJ76" s="156">
        <v>0.5</v>
      </c>
      <c r="AK76" s="156">
        <f t="shared" si="101"/>
        <v>0.5</v>
      </c>
      <c r="AL76" s="139"/>
      <c r="AM76" s="139">
        <f t="shared" si="102"/>
        <v>2.5000000000000001E-2</v>
      </c>
      <c r="AN76" s="156">
        <f t="shared" si="103"/>
        <v>2.5000000000000001E-2</v>
      </c>
      <c r="AO76" s="545" t="s">
        <v>1575</v>
      </c>
      <c r="AP76" s="765" t="s">
        <v>1886</v>
      </c>
      <c r="AQ76" s="765" t="s">
        <v>1989</v>
      </c>
      <c r="AR76" s="765" t="s">
        <v>2010</v>
      </c>
      <c r="AS76" s="765" t="s">
        <v>2107</v>
      </c>
      <c r="AT76" s="837" t="s">
        <v>2139</v>
      </c>
      <c r="AU76" s="765" t="s">
        <v>2196</v>
      </c>
      <c r="AV76" s="765" t="s">
        <v>1887</v>
      </c>
      <c r="AW76" s="765" t="s">
        <v>2294</v>
      </c>
      <c r="AX76" s="115"/>
      <c r="AY76" s="115"/>
      <c r="AZ76" s="115"/>
      <c r="BA76" s="115"/>
      <c r="BB76" s="115"/>
      <c r="BC76" s="115"/>
      <c r="BD76" s="115"/>
      <c r="BE76" s="115"/>
      <c r="BF76" s="115"/>
      <c r="BG76" s="115"/>
      <c r="BH76" s="115"/>
      <c r="BI76" s="115"/>
      <c r="BJ76" s="115"/>
      <c r="BK76" s="115"/>
      <c r="BL76" s="115"/>
      <c r="BM76" s="115"/>
      <c r="BN76" s="115"/>
      <c r="BO76" s="115"/>
    </row>
    <row r="77" spans="1:67" ht="75" customHeight="1" thickBot="1" x14ac:dyDescent="0.4">
      <c r="A77" s="119"/>
      <c r="B77" s="1378" t="s">
        <v>743</v>
      </c>
      <c r="C77" s="1379" t="s">
        <v>1444</v>
      </c>
      <c r="D77" s="147" t="s">
        <v>736</v>
      </c>
      <c r="E77" s="137">
        <v>0.05</v>
      </c>
      <c r="F77" s="138">
        <v>80</v>
      </c>
      <c r="G77" s="134">
        <v>0</v>
      </c>
      <c r="H77" s="134">
        <v>30</v>
      </c>
      <c r="I77" s="134">
        <v>25</v>
      </c>
      <c r="J77" s="139"/>
      <c r="K77" s="156">
        <f t="shared" si="95"/>
        <v>0.375</v>
      </c>
      <c r="L77" s="156">
        <f t="shared" si="96"/>
        <v>0.3125</v>
      </c>
      <c r="M77" s="139"/>
      <c r="N77" s="139">
        <f t="shared" si="97"/>
        <v>1.8750000000000003E-2</v>
      </c>
      <c r="O77" s="139"/>
      <c r="P77" s="134"/>
      <c r="Q77" s="496">
        <v>0</v>
      </c>
      <c r="R77" s="496">
        <v>0</v>
      </c>
      <c r="S77" s="496">
        <v>0</v>
      </c>
      <c r="T77" s="496">
        <v>0</v>
      </c>
      <c r="U77" s="496">
        <v>30</v>
      </c>
      <c r="V77" s="134">
        <f t="shared" si="60"/>
        <v>30</v>
      </c>
      <c r="W77" s="134">
        <f t="shared" si="104"/>
        <v>30</v>
      </c>
      <c r="X77" s="496">
        <v>0</v>
      </c>
      <c r="Y77" s="496">
        <v>0</v>
      </c>
      <c r="Z77" s="134"/>
      <c r="AA77" s="134"/>
      <c r="AB77" s="134">
        <f t="shared" si="75"/>
        <v>0</v>
      </c>
      <c r="AC77" s="139"/>
      <c r="AD77" s="156">
        <f t="shared" ref="AD77:AD98" si="107">+V77/H77</f>
        <v>1</v>
      </c>
      <c r="AE77" s="156">
        <f t="shared" si="105"/>
        <v>0</v>
      </c>
      <c r="AF77" s="156"/>
      <c r="AG77" s="156">
        <f>+AD77*E77</f>
        <v>0.05</v>
      </c>
      <c r="AH77" s="156">
        <f t="shared" si="100"/>
        <v>0</v>
      </c>
      <c r="AI77" s="156"/>
      <c r="AJ77" s="156">
        <v>0.375</v>
      </c>
      <c r="AK77" s="156">
        <f t="shared" si="101"/>
        <v>0.375</v>
      </c>
      <c r="AL77" s="139"/>
      <c r="AM77" s="139">
        <f t="shared" si="102"/>
        <v>1.8750000000000003E-2</v>
      </c>
      <c r="AN77" s="156">
        <f t="shared" si="103"/>
        <v>1.8750000000000003E-2</v>
      </c>
      <c r="AO77" s="545" t="s">
        <v>1575</v>
      </c>
      <c r="AP77" s="765" t="s">
        <v>1886</v>
      </c>
      <c r="AQ77" s="765" t="s">
        <v>1989</v>
      </c>
      <c r="AR77" s="765" t="s">
        <v>2010</v>
      </c>
      <c r="AS77" s="765" t="s">
        <v>2107</v>
      </c>
      <c r="AT77" s="837" t="s">
        <v>2139</v>
      </c>
      <c r="AU77" s="765" t="s">
        <v>2196</v>
      </c>
      <c r="AV77" s="765" t="s">
        <v>1887</v>
      </c>
      <c r="AW77" s="765" t="s">
        <v>2294</v>
      </c>
      <c r="AX77" s="115"/>
      <c r="AY77" s="115"/>
      <c r="AZ77" s="115"/>
      <c r="BA77" s="115"/>
      <c r="BB77" s="115"/>
      <c r="BC77" s="115"/>
      <c r="BD77" s="115"/>
      <c r="BE77" s="115"/>
      <c r="BF77" s="115"/>
      <c r="BG77" s="115"/>
      <c r="BH77" s="115"/>
      <c r="BI77" s="115"/>
      <c r="BJ77" s="115"/>
      <c r="BK77" s="115"/>
      <c r="BL77" s="115"/>
      <c r="BM77" s="115"/>
      <c r="BN77" s="115"/>
      <c r="BO77" s="115"/>
    </row>
    <row r="78" spans="1:67" ht="63.6" customHeight="1" thickBot="1" x14ac:dyDescent="0.4">
      <c r="A78" s="119"/>
      <c r="B78" s="1378" t="s">
        <v>744</v>
      </c>
      <c r="C78" s="1379" t="s">
        <v>1445</v>
      </c>
      <c r="D78" s="147" t="s">
        <v>745</v>
      </c>
      <c r="E78" s="137">
        <v>0.25</v>
      </c>
      <c r="F78" s="138">
        <v>500</v>
      </c>
      <c r="G78" s="134">
        <v>0</v>
      </c>
      <c r="H78" s="134">
        <v>200</v>
      </c>
      <c r="I78" s="134">
        <v>123</v>
      </c>
      <c r="J78" s="139"/>
      <c r="K78" s="156">
        <f t="shared" si="95"/>
        <v>0.4</v>
      </c>
      <c r="L78" s="156">
        <f t="shared" si="96"/>
        <v>0.246</v>
      </c>
      <c r="M78" s="139"/>
      <c r="N78" s="139">
        <f t="shared" si="97"/>
        <v>0.1</v>
      </c>
      <c r="O78" s="139"/>
      <c r="P78" s="134"/>
      <c r="Q78" s="496">
        <v>0</v>
      </c>
      <c r="R78" s="496">
        <v>0</v>
      </c>
      <c r="S78" s="496">
        <v>0</v>
      </c>
      <c r="T78" s="496">
        <v>0</v>
      </c>
      <c r="U78" s="496">
        <v>254</v>
      </c>
      <c r="V78" s="134">
        <f t="shared" si="60"/>
        <v>254</v>
      </c>
      <c r="W78" s="134">
        <f t="shared" si="104"/>
        <v>254</v>
      </c>
      <c r="X78" s="496">
        <v>0</v>
      </c>
      <c r="Y78" s="134">
        <v>0</v>
      </c>
      <c r="Z78" s="134"/>
      <c r="AA78" s="134"/>
      <c r="AB78" s="134">
        <f t="shared" si="75"/>
        <v>0</v>
      </c>
      <c r="AC78" s="139"/>
      <c r="AD78" s="156">
        <v>1</v>
      </c>
      <c r="AE78" s="156">
        <f t="shared" si="105"/>
        <v>0</v>
      </c>
      <c r="AF78" s="156"/>
      <c r="AG78" s="156">
        <f t="shared" si="106"/>
        <v>0.25</v>
      </c>
      <c r="AH78" s="156">
        <f t="shared" si="100"/>
        <v>0</v>
      </c>
      <c r="AI78" s="156"/>
      <c r="AJ78" s="156">
        <v>0.50800000000000001</v>
      </c>
      <c r="AK78" s="156">
        <f t="shared" si="101"/>
        <v>0.50800000000000001</v>
      </c>
      <c r="AL78" s="139"/>
      <c r="AM78" s="139">
        <f>+AJ78*E78</f>
        <v>0.127</v>
      </c>
      <c r="AN78" s="156">
        <f t="shared" si="103"/>
        <v>0.127</v>
      </c>
      <c r="AO78" s="545" t="s">
        <v>1575</v>
      </c>
      <c r="AP78" s="765" t="s">
        <v>1886</v>
      </c>
      <c r="AQ78" s="765" t="s">
        <v>1989</v>
      </c>
      <c r="AR78" s="765" t="s">
        <v>2010</v>
      </c>
      <c r="AS78" s="765" t="s">
        <v>2107</v>
      </c>
      <c r="AT78" s="837" t="s">
        <v>2139</v>
      </c>
      <c r="AU78" s="765" t="s">
        <v>2196</v>
      </c>
      <c r="AV78" s="765" t="s">
        <v>1887</v>
      </c>
      <c r="AW78" s="765" t="s">
        <v>2294</v>
      </c>
      <c r="AX78" s="115"/>
      <c r="AY78" s="115"/>
      <c r="AZ78" s="115"/>
      <c r="BA78" s="115"/>
      <c r="BB78" s="115"/>
      <c r="BC78" s="115"/>
      <c r="BD78" s="115"/>
      <c r="BE78" s="115"/>
      <c r="BF78" s="115"/>
      <c r="BG78" s="115"/>
      <c r="BH78" s="115"/>
      <c r="BI78" s="115"/>
      <c r="BJ78" s="115"/>
      <c r="BK78" s="115"/>
      <c r="BL78" s="115"/>
      <c r="BM78" s="115"/>
      <c r="BN78" s="115"/>
      <c r="BO78" s="115"/>
    </row>
    <row r="79" spans="1:67" ht="61.95" customHeight="1" thickBot="1" x14ac:dyDescent="0.4">
      <c r="A79" s="119"/>
      <c r="B79" s="1378" t="s">
        <v>746</v>
      </c>
      <c r="C79" s="1379" t="s">
        <v>1446</v>
      </c>
      <c r="D79" s="147" t="s">
        <v>736</v>
      </c>
      <c r="E79" s="137">
        <v>0.05</v>
      </c>
      <c r="F79" s="138">
        <v>2</v>
      </c>
      <c r="G79" s="134">
        <v>0</v>
      </c>
      <c r="H79" s="134">
        <v>1</v>
      </c>
      <c r="I79" s="134">
        <v>1</v>
      </c>
      <c r="J79" s="139"/>
      <c r="K79" s="156">
        <f t="shared" si="95"/>
        <v>0.5</v>
      </c>
      <c r="L79" s="156">
        <f t="shared" si="96"/>
        <v>0.5</v>
      </c>
      <c r="M79" s="139"/>
      <c r="N79" s="139">
        <f t="shared" si="97"/>
        <v>2.5000000000000001E-2</v>
      </c>
      <c r="O79" s="139"/>
      <c r="P79" s="134"/>
      <c r="Q79" s="496">
        <v>0</v>
      </c>
      <c r="R79" s="496">
        <v>0</v>
      </c>
      <c r="S79" s="496">
        <v>0</v>
      </c>
      <c r="T79" s="496">
        <v>0</v>
      </c>
      <c r="U79" s="496">
        <v>1</v>
      </c>
      <c r="V79" s="134">
        <f t="shared" si="60"/>
        <v>1</v>
      </c>
      <c r="W79" s="134">
        <f t="shared" si="104"/>
        <v>2</v>
      </c>
      <c r="X79" s="496">
        <v>0</v>
      </c>
      <c r="Y79" s="134">
        <v>1</v>
      </c>
      <c r="Z79" s="134"/>
      <c r="AA79" s="134"/>
      <c r="AB79" s="134">
        <f t="shared" si="75"/>
        <v>1</v>
      </c>
      <c r="AC79" s="139"/>
      <c r="AD79" s="156">
        <f t="shared" si="107"/>
        <v>1</v>
      </c>
      <c r="AE79" s="156">
        <f t="shared" si="105"/>
        <v>1</v>
      </c>
      <c r="AF79" s="156"/>
      <c r="AG79" s="156">
        <f t="shared" si="106"/>
        <v>0.05</v>
      </c>
      <c r="AH79" s="156">
        <f t="shared" si="100"/>
        <v>0.05</v>
      </c>
      <c r="AI79" s="156"/>
      <c r="AJ79" s="156">
        <v>0.5</v>
      </c>
      <c r="AK79" s="156">
        <f t="shared" si="101"/>
        <v>1</v>
      </c>
      <c r="AL79" s="139"/>
      <c r="AM79" s="139">
        <f t="shared" si="102"/>
        <v>2.5000000000000001E-2</v>
      </c>
      <c r="AN79" s="156">
        <f t="shared" si="103"/>
        <v>0.05</v>
      </c>
      <c r="AO79" s="545" t="s">
        <v>1575</v>
      </c>
      <c r="AP79" s="765" t="s">
        <v>1886</v>
      </c>
      <c r="AQ79" s="765" t="s">
        <v>1989</v>
      </c>
      <c r="AR79" s="765" t="s">
        <v>2010</v>
      </c>
      <c r="AS79" s="765" t="s">
        <v>2107</v>
      </c>
      <c r="AT79" s="837" t="s">
        <v>2139</v>
      </c>
      <c r="AU79" s="765" t="s">
        <v>2196</v>
      </c>
      <c r="AV79" s="765" t="s">
        <v>1887</v>
      </c>
      <c r="AW79" s="765" t="s">
        <v>2294</v>
      </c>
      <c r="AX79" s="115"/>
      <c r="AY79" s="115"/>
      <c r="AZ79" s="115"/>
      <c r="BA79" s="115"/>
      <c r="BB79" s="115"/>
      <c r="BC79" s="115"/>
      <c r="BD79" s="115"/>
      <c r="BE79" s="115"/>
      <c r="BF79" s="115"/>
      <c r="BG79" s="115"/>
      <c r="BH79" s="115"/>
      <c r="BI79" s="115"/>
      <c r="BJ79" s="115"/>
      <c r="BK79" s="115"/>
      <c r="BL79" s="115"/>
      <c r="BM79" s="115"/>
      <c r="BN79" s="115"/>
      <c r="BO79" s="115"/>
    </row>
    <row r="80" spans="1:67" ht="42" customHeight="1" thickBot="1" x14ac:dyDescent="0.4">
      <c r="A80" s="119"/>
      <c r="B80" s="1378" t="s">
        <v>747</v>
      </c>
      <c r="C80" s="1379" t="s">
        <v>1447</v>
      </c>
      <c r="D80" s="147" t="s">
        <v>736</v>
      </c>
      <c r="E80" s="137">
        <v>0.11</v>
      </c>
      <c r="F80" s="138">
        <v>4</v>
      </c>
      <c r="G80" s="134">
        <v>0</v>
      </c>
      <c r="H80" s="134">
        <v>2</v>
      </c>
      <c r="I80" s="134">
        <v>2</v>
      </c>
      <c r="J80" s="139"/>
      <c r="K80" s="156">
        <f t="shared" si="95"/>
        <v>0.5</v>
      </c>
      <c r="L80" s="156">
        <f t="shared" si="96"/>
        <v>0.5</v>
      </c>
      <c r="M80" s="139"/>
      <c r="N80" s="139">
        <f t="shared" si="97"/>
        <v>5.5E-2</v>
      </c>
      <c r="O80" s="139"/>
      <c r="P80" s="134"/>
      <c r="Q80" s="496">
        <v>0</v>
      </c>
      <c r="R80" s="496">
        <v>0</v>
      </c>
      <c r="S80" s="496">
        <v>0</v>
      </c>
      <c r="T80" s="496">
        <v>0</v>
      </c>
      <c r="U80" s="496">
        <v>0</v>
      </c>
      <c r="V80" s="134">
        <f t="shared" si="60"/>
        <v>0</v>
      </c>
      <c r="W80" s="134">
        <f t="shared" si="104"/>
        <v>2</v>
      </c>
      <c r="X80" s="496">
        <v>2</v>
      </c>
      <c r="Y80" s="134">
        <v>0</v>
      </c>
      <c r="Z80" s="134"/>
      <c r="AA80" s="134"/>
      <c r="AB80" s="134">
        <f t="shared" si="75"/>
        <v>2</v>
      </c>
      <c r="AC80" s="139"/>
      <c r="AD80" s="156">
        <f t="shared" si="107"/>
        <v>0</v>
      </c>
      <c r="AE80" s="156">
        <f t="shared" si="105"/>
        <v>1</v>
      </c>
      <c r="AF80" s="156"/>
      <c r="AG80" s="156">
        <f>+AD80*E80</f>
        <v>0</v>
      </c>
      <c r="AH80" s="156">
        <f t="shared" si="100"/>
        <v>0.11</v>
      </c>
      <c r="AI80" s="156"/>
      <c r="AJ80" s="156">
        <v>0</v>
      </c>
      <c r="AK80" s="156">
        <f t="shared" si="101"/>
        <v>0.5</v>
      </c>
      <c r="AL80" s="139"/>
      <c r="AM80" s="139">
        <f t="shared" si="102"/>
        <v>0</v>
      </c>
      <c r="AN80" s="156">
        <f t="shared" si="103"/>
        <v>5.5E-2</v>
      </c>
      <c r="AO80" s="545" t="s">
        <v>1575</v>
      </c>
      <c r="AP80" s="765" t="s">
        <v>1886</v>
      </c>
      <c r="AQ80" s="765" t="s">
        <v>1989</v>
      </c>
      <c r="AR80" s="765" t="s">
        <v>2010</v>
      </c>
      <c r="AS80" s="765" t="s">
        <v>2107</v>
      </c>
      <c r="AT80" s="837" t="s">
        <v>2139</v>
      </c>
      <c r="AU80" s="765" t="s">
        <v>2196</v>
      </c>
      <c r="AV80" s="599" t="s">
        <v>1859</v>
      </c>
      <c r="AW80" s="599" t="s">
        <v>1859</v>
      </c>
      <c r="AX80" s="115"/>
      <c r="AY80" s="115"/>
      <c r="AZ80" s="115"/>
      <c r="BA80" s="115"/>
      <c r="BB80" s="115"/>
      <c r="BC80" s="115"/>
      <c r="BD80" s="115"/>
      <c r="BE80" s="115"/>
      <c r="BF80" s="115"/>
      <c r="BG80" s="115"/>
      <c r="BH80" s="115"/>
      <c r="BI80" s="115"/>
      <c r="BJ80" s="115"/>
      <c r="BK80" s="115"/>
      <c r="BL80" s="115"/>
      <c r="BM80" s="115"/>
      <c r="BN80" s="115"/>
      <c r="BO80" s="115"/>
    </row>
    <row r="81" spans="1:67" ht="61.95" customHeight="1" thickBot="1" x14ac:dyDescent="0.4">
      <c r="A81" s="119"/>
      <c r="B81" s="1378" t="s">
        <v>748</v>
      </c>
      <c r="C81" s="1379" t="s">
        <v>1448</v>
      </c>
      <c r="D81" s="147" t="s">
        <v>736</v>
      </c>
      <c r="E81" s="137">
        <v>0.02</v>
      </c>
      <c r="F81" s="138">
        <v>2</v>
      </c>
      <c r="G81" s="134">
        <v>0</v>
      </c>
      <c r="H81" s="134">
        <v>1</v>
      </c>
      <c r="I81" s="134">
        <v>1</v>
      </c>
      <c r="J81" s="139"/>
      <c r="K81" s="156">
        <f t="shared" si="95"/>
        <v>0.5</v>
      </c>
      <c r="L81" s="156">
        <f t="shared" si="96"/>
        <v>0.5</v>
      </c>
      <c r="M81" s="139"/>
      <c r="N81" s="139">
        <f t="shared" si="97"/>
        <v>0.01</v>
      </c>
      <c r="O81" s="139"/>
      <c r="P81" s="134"/>
      <c r="Q81" s="496">
        <v>0</v>
      </c>
      <c r="R81" s="496">
        <v>0</v>
      </c>
      <c r="S81" s="496">
        <v>0</v>
      </c>
      <c r="T81" s="496">
        <v>0</v>
      </c>
      <c r="U81" s="496">
        <v>0</v>
      </c>
      <c r="V81" s="134">
        <f t="shared" si="60"/>
        <v>0</v>
      </c>
      <c r="W81" s="134">
        <f t="shared" si="104"/>
        <v>1</v>
      </c>
      <c r="X81" s="496">
        <v>0</v>
      </c>
      <c r="Y81" s="134">
        <v>1</v>
      </c>
      <c r="Z81" s="134"/>
      <c r="AA81" s="134"/>
      <c r="AB81" s="134">
        <f t="shared" si="75"/>
        <v>1</v>
      </c>
      <c r="AC81" s="139"/>
      <c r="AD81" s="156">
        <f t="shared" si="107"/>
        <v>0</v>
      </c>
      <c r="AE81" s="156">
        <f t="shared" si="105"/>
        <v>1</v>
      </c>
      <c r="AF81" s="156"/>
      <c r="AG81" s="156">
        <f t="shared" si="106"/>
        <v>0</v>
      </c>
      <c r="AH81" s="156">
        <f t="shared" si="100"/>
        <v>0.02</v>
      </c>
      <c r="AI81" s="156"/>
      <c r="AJ81" s="156">
        <v>0</v>
      </c>
      <c r="AK81" s="156">
        <f t="shared" si="101"/>
        <v>0.5</v>
      </c>
      <c r="AL81" s="139"/>
      <c r="AM81" s="139">
        <f t="shared" si="102"/>
        <v>0</v>
      </c>
      <c r="AN81" s="156">
        <f t="shared" si="103"/>
        <v>0.01</v>
      </c>
      <c r="AO81" s="545" t="s">
        <v>1575</v>
      </c>
      <c r="AP81" s="765" t="s">
        <v>1886</v>
      </c>
      <c r="AQ81" s="765" t="s">
        <v>1989</v>
      </c>
      <c r="AR81" s="765" t="s">
        <v>2010</v>
      </c>
      <c r="AS81" s="765" t="s">
        <v>2107</v>
      </c>
      <c r="AT81" s="837" t="s">
        <v>2139</v>
      </c>
      <c r="AU81" s="765" t="s">
        <v>2196</v>
      </c>
      <c r="AV81" s="765" t="s">
        <v>1887</v>
      </c>
      <c r="AW81" s="599" t="s">
        <v>1859</v>
      </c>
      <c r="AX81" s="115"/>
      <c r="AY81" s="115"/>
      <c r="AZ81" s="115"/>
      <c r="BA81" s="115"/>
      <c r="BB81" s="115"/>
      <c r="BC81" s="115"/>
      <c r="BD81" s="115"/>
      <c r="BE81" s="115"/>
      <c r="BF81" s="115"/>
      <c r="BG81" s="115"/>
      <c r="BH81" s="115"/>
      <c r="BI81" s="115"/>
      <c r="BJ81" s="115"/>
      <c r="BK81" s="115"/>
      <c r="BL81" s="115"/>
      <c r="BM81" s="115"/>
      <c r="BN81" s="115"/>
      <c r="BO81" s="115"/>
    </row>
    <row r="82" spans="1:67" ht="45.6" customHeight="1" thickBot="1" x14ac:dyDescent="0.4">
      <c r="A82" s="119"/>
      <c r="B82" s="1378" t="s">
        <v>749</v>
      </c>
      <c r="C82" s="1379" t="s">
        <v>1449</v>
      </c>
      <c r="D82" s="147" t="s">
        <v>736</v>
      </c>
      <c r="E82" s="137">
        <v>0.02</v>
      </c>
      <c r="F82" s="138">
        <v>1</v>
      </c>
      <c r="G82" s="134">
        <v>0</v>
      </c>
      <c r="H82" s="134">
        <v>1</v>
      </c>
      <c r="I82" s="134">
        <v>1</v>
      </c>
      <c r="J82" s="139"/>
      <c r="K82" s="156">
        <f t="shared" si="95"/>
        <v>1</v>
      </c>
      <c r="L82" s="156"/>
      <c r="M82" s="139"/>
      <c r="N82" s="139">
        <f t="shared" si="97"/>
        <v>0.02</v>
      </c>
      <c r="O82" s="139"/>
      <c r="P82" s="134"/>
      <c r="Q82" s="496">
        <v>0</v>
      </c>
      <c r="R82" s="496">
        <v>0</v>
      </c>
      <c r="S82" s="496">
        <v>0</v>
      </c>
      <c r="T82" s="496">
        <v>0</v>
      </c>
      <c r="U82" s="496">
        <v>1</v>
      </c>
      <c r="V82" s="134">
        <f t="shared" si="60"/>
        <v>1</v>
      </c>
      <c r="W82" s="134">
        <f t="shared" si="104"/>
        <v>2</v>
      </c>
      <c r="X82" s="496">
        <v>0</v>
      </c>
      <c r="Y82" s="134">
        <v>1</v>
      </c>
      <c r="Z82" s="134"/>
      <c r="AA82" s="134"/>
      <c r="AB82" s="134">
        <f t="shared" si="75"/>
        <v>1</v>
      </c>
      <c r="AC82" s="139"/>
      <c r="AD82" s="156">
        <f t="shared" si="107"/>
        <v>1</v>
      </c>
      <c r="AE82" s="156">
        <f t="shared" si="105"/>
        <v>1</v>
      </c>
      <c r="AF82" s="156"/>
      <c r="AG82" s="156">
        <f t="shared" si="106"/>
        <v>0.02</v>
      </c>
      <c r="AH82" s="156">
        <f t="shared" si="100"/>
        <v>0.02</v>
      </c>
      <c r="AI82" s="156"/>
      <c r="AJ82" s="156">
        <v>1</v>
      </c>
      <c r="AK82" s="156">
        <v>1</v>
      </c>
      <c r="AL82" s="139"/>
      <c r="AM82" s="139">
        <f t="shared" si="102"/>
        <v>0.02</v>
      </c>
      <c r="AN82" s="156">
        <f t="shared" si="103"/>
        <v>0.02</v>
      </c>
      <c r="AO82" s="545" t="s">
        <v>1575</v>
      </c>
      <c r="AP82" s="765" t="s">
        <v>1886</v>
      </c>
      <c r="AQ82" s="765" t="s">
        <v>1989</v>
      </c>
      <c r="AR82" s="765" t="s">
        <v>2010</v>
      </c>
      <c r="AS82" s="765" t="s">
        <v>2107</v>
      </c>
      <c r="AT82" s="837" t="s">
        <v>2139</v>
      </c>
      <c r="AU82" s="765" t="s">
        <v>2196</v>
      </c>
      <c r="AV82" s="765" t="s">
        <v>1887</v>
      </c>
      <c r="AW82" s="765" t="s">
        <v>2294</v>
      </c>
      <c r="AX82" s="115"/>
      <c r="AY82" s="115"/>
      <c r="AZ82" s="115"/>
      <c r="BA82" s="115"/>
      <c r="BB82" s="115"/>
      <c r="BC82" s="115"/>
      <c r="BD82" s="115"/>
      <c r="BE82" s="115"/>
      <c r="BF82" s="115"/>
      <c r="BG82" s="115"/>
      <c r="BH82" s="115"/>
      <c r="BI82" s="115"/>
      <c r="BJ82" s="115"/>
      <c r="BK82" s="115"/>
      <c r="BL82" s="115"/>
      <c r="BM82" s="115"/>
      <c r="BN82" s="115"/>
      <c r="BO82" s="115"/>
    </row>
    <row r="83" spans="1:67" ht="45.6" customHeight="1" thickBot="1" x14ac:dyDescent="0.4">
      <c r="A83" s="119"/>
      <c r="B83" s="1378" t="s">
        <v>750</v>
      </c>
      <c r="C83" s="1379" t="s">
        <v>1450</v>
      </c>
      <c r="D83" s="147" t="s">
        <v>736</v>
      </c>
      <c r="E83" s="137">
        <v>0.02</v>
      </c>
      <c r="F83" s="138">
        <v>1</v>
      </c>
      <c r="G83" s="134">
        <v>0</v>
      </c>
      <c r="H83" s="134">
        <v>1</v>
      </c>
      <c r="I83" s="134">
        <v>1</v>
      </c>
      <c r="J83" s="139"/>
      <c r="K83" s="156">
        <f t="shared" si="95"/>
        <v>1</v>
      </c>
      <c r="L83" s="156"/>
      <c r="M83" s="139"/>
      <c r="N83" s="139">
        <f t="shared" si="97"/>
        <v>0.02</v>
      </c>
      <c r="O83" s="139"/>
      <c r="P83" s="134"/>
      <c r="Q83" s="496">
        <v>0</v>
      </c>
      <c r="R83" s="496">
        <v>0</v>
      </c>
      <c r="S83" s="496">
        <v>0</v>
      </c>
      <c r="T83" s="496">
        <v>0</v>
      </c>
      <c r="U83" s="496">
        <v>1</v>
      </c>
      <c r="V83" s="134">
        <f t="shared" si="60"/>
        <v>1</v>
      </c>
      <c r="W83" s="134">
        <f t="shared" si="104"/>
        <v>2</v>
      </c>
      <c r="X83" s="496">
        <v>0</v>
      </c>
      <c r="Y83" s="134">
        <v>1</v>
      </c>
      <c r="Z83" s="134"/>
      <c r="AA83" s="134"/>
      <c r="AB83" s="134">
        <f t="shared" si="75"/>
        <v>1</v>
      </c>
      <c r="AC83" s="139"/>
      <c r="AD83" s="156">
        <f t="shared" si="107"/>
        <v>1</v>
      </c>
      <c r="AE83" s="156">
        <f t="shared" si="105"/>
        <v>1</v>
      </c>
      <c r="AF83" s="156"/>
      <c r="AG83" s="156">
        <f>+AD83*E83</f>
        <v>0.02</v>
      </c>
      <c r="AH83" s="156">
        <f t="shared" si="100"/>
        <v>0.02</v>
      </c>
      <c r="AI83" s="156"/>
      <c r="AJ83" s="156">
        <v>1</v>
      </c>
      <c r="AK83" s="156">
        <v>1</v>
      </c>
      <c r="AL83" s="139"/>
      <c r="AM83" s="139">
        <f t="shared" si="102"/>
        <v>0.02</v>
      </c>
      <c r="AN83" s="156">
        <f t="shared" si="103"/>
        <v>0.02</v>
      </c>
      <c r="AO83" s="545" t="s">
        <v>1575</v>
      </c>
      <c r="AP83" s="765" t="s">
        <v>1886</v>
      </c>
      <c r="AQ83" s="765" t="s">
        <v>1989</v>
      </c>
      <c r="AR83" s="765" t="s">
        <v>2010</v>
      </c>
      <c r="AS83" s="765" t="s">
        <v>2107</v>
      </c>
      <c r="AT83" s="837" t="s">
        <v>2139</v>
      </c>
      <c r="AU83" s="765" t="s">
        <v>2196</v>
      </c>
      <c r="AV83" s="765" t="s">
        <v>1887</v>
      </c>
      <c r="AW83" s="765" t="s">
        <v>2294</v>
      </c>
      <c r="AX83" s="115"/>
      <c r="AY83" s="115"/>
      <c r="AZ83" s="115"/>
      <c r="BA83" s="115"/>
      <c r="BB83" s="115"/>
      <c r="BC83" s="115"/>
      <c r="BD83" s="115"/>
      <c r="BE83" s="115"/>
      <c r="BF83" s="115"/>
      <c r="BG83" s="115"/>
      <c r="BH83" s="115"/>
      <c r="BI83" s="115"/>
      <c r="BJ83" s="115"/>
      <c r="BK83" s="115"/>
      <c r="BL83" s="115"/>
      <c r="BM83" s="115"/>
      <c r="BN83" s="115"/>
      <c r="BO83" s="115"/>
    </row>
    <row r="84" spans="1:67" ht="70.8" customHeight="1" thickBot="1" x14ac:dyDescent="0.4">
      <c r="A84" s="119"/>
      <c r="B84" s="1378" t="s">
        <v>751</v>
      </c>
      <c r="C84" s="1379" t="s">
        <v>1451</v>
      </c>
      <c r="D84" s="147" t="s">
        <v>736</v>
      </c>
      <c r="E84" s="137">
        <v>0.05</v>
      </c>
      <c r="F84" s="138">
        <v>5</v>
      </c>
      <c r="G84" s="134">
        <v>0</v>
      </c>
      <c r="H84" s="134">
        <v>3</v>
      </c>
      <c r="I84" s="134">
        <v>2</v>
      </c>
      <c r="J84" s="139"/>
      <c r="K84" s="156">
        <f t="shared" si="95"/>
        <v>0.6</v>
      </c>
      <c r="L84" s="156">
        <f t="shared" si="96"/>
        <v>0.4</v>
      </c>
      <c r="M84" s="139"/>
      <c r="N84" s="139">
        <f t="shared" si="97"/>
        <v>0.03</v>
      </c>
      <c r="O84" s="139"/>
      <c r="P84" s="134"/>
      <c r="Q84" s="496">
        <v>0</v>
      </c>
      <c r="R84" s="496">
        <v>1</v>
      </c>
      <c r="S84" s="496">
        <v>1</v>
      </c>
      <c r="T84" s="496">
        <v>0</v>
      </c>
      <c r="U84" s="496">
        <v>0</v>
      </c>
      <c r="V84" s="134">
        <f t="shared" si="60"/>
        <v>2</v>
      </c>
      <c r="W84" s="134">
        <f t="shared" si="104"/>
        <v>2</v>
      </c>
      <c r="X84" s="496">
        <v>0</v>
      </c>
      <c r="Y84" s="134"/>
      <c r="Z84" s="134"/>
      <c r="AA84" s="134"/>
      <c r="AB84" s="134">
        <f t="shared" si="75"/>
        <v>0</v>
      </c>
      <c r="AC84" s="139"/>
      <c r="AD84" s="156">
        <f>+V84/H84</f>
        <v>0.66666666666666663</v>
      </c>
      <c r="AE84" s="156">
        <f t="shared" si="105"/>
        <v>0</v>
      </c>
      <c r="AF84" s="156"/>
      <c r="AG84" s="156">
        <f>+AD84*E84</f>
        <v>3.3333333333333333E-2</v>
      </c>
      <c r="AH84" s="156">
        <f t="shared" si="100"/>
        <v>0</v>
      </c>
      <c r="AI84" s="156"/>
      <c r="AJ84" s="156">
        <v>0.4</v>
      </c>
      <c r="AK84" s="156">
        <f t="shared" si="101"/>
        <v>0.4</v>
      </c>
      <c r="AL84" s="139"/>
      <c r="AM84" s="139">
        <f t="shared" si="102"/>
        <v>2.0000000000000004E-2</v>
      </c>
      <c r="AN84" s="156">
        <f t="shared" si="103"/>
        <v>2.0000000000000004E-2</v>
      </c>
      <c r="AO84" s="545" t="s">
        <v>1575</v>
      </c>
      <c r="AP84" s="765" t="s">
        <v>1886</v>
      </c>
      <c r="AQ84" s="765" t="s">
        <v>1989</v>
      </c>
      <c r="AR84" s="765" t="s">
        <v>2010</v>
      </c>
      <c r="AS84" s="765" t="s">
        <v>2107</v>
      </c>
      <c r="AT84" s="837" t="s">
        <v>2139</v>
      </c>
      <c r="AU84" s="765" t="s">
        <v>2196</v>
      </c>
      <c r="AV84" s="765" t="s">
        <v>1887</v>
      </c>
      <c r="AW84" s="765" t="s">
        <v>2294</v>
      </c>
      <c r="AX84" s="115"/>
      <c r="AY84" s="115"/>
      <c r="AZ84" s="115"/>
      <c r="BA84" s="115"/>
      <c r="BB84" s="115"/>
      <c r="BC84" s="115"/>
      <c r="BD84" s="115"/>
      <c r="BE84" s="115"/>
      <c r="BF84" s="115"/>
      <c r="BG84" s="115"/>
      <c r="BH84" s="115"/>
      <c r="BI84" s="115"/>
      <c r="BJ84" s="115"/>
      <c r="BK84" s="115"/>
      <c r="BL84" s="115"/>
      <c r="BM84" s="115"/>
      <c r="BN84" s="115"/>
      <c r="BO84" s="115"/>
    </row>
    <row r="85" spans="1:67" ht="70.8" customHeight="1" thickBot="1" x14ac:dyDescent="0.4">
      <c r="A85" s="119"/>
      <c r="B85" s="1378" t="s">
        <v>752</v>
      </c>
      <c r="C85" s="1379" t="s">
        <v>1452</v>
      </c>
      <c r="D85" s="147" t="s">
        <v>736</v>
      </c>
      <c r="E85" s="137">
        <v>0.08</v>
      </c>
      <c r="F85" s="138">
        <v>8</v>
      </c>
      <c r="G85" s="134">
        <v>0</v>
      </c>
      <c r="H85" s="134">
        <v>4</v>
      </c>
      <c r="I85" s="134">
        <v>3</v>
      </c>
      <c r="J85" s="139"/>
      <c r="K85" s="156">
        <f t="shared" si="95"/>
        <v>0.5</v>
      </c>
      <c r="L85" s="156">
        <f t="shared" si="96"/>
        <v>0.375</v>
      </c>
      <c r="M85" s="139"/>
      <c r="N85" s="139">
        <f t="shared" si="97"/>
        <v>0.04</v>
      </c>
      <c r="O85" s="139"/>
      <c r="P85" s="134"/>
      <c r="Q85" s="496">
        <v>0</v>
      </c>
      <c r="R85" s="496">
        <v>0</v>
      </c>
      <c r="S85" s="496">
        <v>1</v>
      </c>
      <c r="T85" s="496">
        <v>2</v>
      </c>
      <c r="U85" s="496">
        <v>0</v>
      </c>
      <c r="V85" s="134">
        <f t="shared" si="60"/>
        <v>3</v>
      </c>
      <c r="W85" s="134">
        <f t="shared" si="104"/>
        <v>3</v>
      </c>
      <c r="X85" s="496">
        <v>0</v>
      </c>
      <c r="Y85" s="134"/>
      <c r="Z85" s="134"/>
      <c r="AA85" s="134"/>
      <c r="AB85" s="134">
        <f t="shared" si="75"/>
        <v>0</v>
      </c>
      <c r="AC85" s="139"/>
      <c r="AD85" s="156">
        <f t="shared" si="107"/>
        <v>0.75</v>
      </c>
      <c r="AE85" s="156">
        <f t="shared" si="105"/>
        <v>0</v>
      </c>
      <c r="AF85" s="156"/>
      <c r="AG85" s="156">
        <f t="shared" si="106"/>
        <v>0.06</v>
      </c>
      <c r="AH85" s="156">
        <f t="shared" si="100"/>
        <v>0</v>
      </c>
      <c r="AI85" s="156"/>
      <c r="AJ85" s="156">
        <v>0.375</v>
      </c>
      <c r="AK85" s="156">
        <f t="shared" si="101"/>
        <v>0.375</v>
      </c>
      <c r="AL85" s="139"/>
      <c r="AM85" s="139">
        <f t="shared" si="102"/>
        <v>0.03</v>
      </c>
      <c r="AN85" s="156">
        <f t="shared" si="103"/>
        <v>0.03</v>
      </c>
      <c r="AO85" s="545" t="s">
        <v>1575</v>
      </c>
      <c r="AP85" s="765" t="s">
        <v>1886</v>
      </c>
      <c r="AQ85" s="765" t="s">
        <v>1989</v>
      </c>
      <c r="AR85" s="765" t="s">
        <v>2010</v>
      </c>
      <c r="AS85" s="765" t="s">
        <v>2107</v>
      </c>
      <c r="AT85" s="837" t="s">
        <v>2139</v>
      </c>
      <c r="AU85" s="765" t="s">
        <v>2196</v>
      </c>
      <c r="AV85" s="765" t="s">
        <v>1887</v>
      </c>
      <c r="AW85" s="765" t="s">
        <v>2294</v>
      </c>
      <c r="AX85" s="115"/>
      <c r="AY85" s="115"/>
      <c r="AZ85" s="115"/>
      <c r="BA85" s="115"/>
      <c r="BB85" s="115"/>
      <c r="BC85" s="115"/>
      <c r="BD85" s="115"/>
      <c r="BE85" s="115"/>
      <c r="BF85" s="115"/>
      <c r="BG85" s="115"/>
      <c r="BH85" s="115"/>
      <c r="BI85" s="115"/>
      <c r="BJ85" s="115"/>
      <c r="BK85" s="115"/>
      <c r="BL85" s="115"/>
      <c r="BM85" s="115"/>
      <c r="BN85" s="115"/>
      <c r="BO85" s="115"/>
    </row>
    <row r="86" spans="1:67" ht="28.5" customHeight="1" thickBot="1" x14ac:dyDescent="0.4">
      <c r="A86" s="119"/>
      <c r="B86" s="1376" t="s">
        <v>1795</v>
      </c>
      <c r="C86" s="1377"/>
      <c r="D86" s="147"/>
      <c r="E86" s="130">
        <v>0.1</v>
      </c>
      <c r="F86" s="149"/>
      <c r="G86" s="127"/>
      <c r="H86" s="127"/>
      <c r="I86" s="127"/>
      <c r="J86" s="133">
        <f>+AVERAGE(J87:J90)</f>
        <v>0.23749999999999999</v>
      </c>
      <c r="K86" s="133">
        <f>+AVERAGE(K87:K90)</f>
        <v>0.23749999999999999</v>
      </c>
      <c r="L86" s="133">
        <f>+AVERAGE(L87:L90)</f>
        <v>0.25</v>
      </c>
      <c r="M86" s="133">
        <f>+M87+M88+M89+M90</f>
        <v>0.23749999999999999</v>
      </c>
      <c r="N86" s="133">
        <f>+N87+N88+N89+N90</f>
        <v>0.23749999999999999</v>
      </c>
      <c r="O86" s="133"/>
      <c r="P86" s="132"/>
      <c r="Q86" s="132"/>
      <c r="R86" s="132"/>
      <c r="S86" s="132"/>
      <c r="T86" s="132"/>
      <c r="U86" s="836"/>
      <c r="V86" s="134"/>
      <c r="W86" s="134"/>
      <c r="X86" s="132"/>
      <c r="Y86" s="132"/>
      <c r="Z86" s="132"/>
      <c r="AA86" s="132"/>
      <c r="AB86" s="134"/>
      <c r="AC86" s="154">
        <f>+AVERAGE(AC87:AC90)</f>
        <v>1</v>
      </c>
      <c r="AD86" s="154">
        <f>+AVERAGE(AD87:AD90)</f>
        <v>1</v>
      </c>
      <c r="AE86" s="154">
        <f>+AVERAGE(AE87:AE90)</f>
        <v>0.4</v>
      </c>
      <c r="AF86" s="154">
        <f>+(AF87+AF88+AF89+AF90)*E86</f>
        <v>0.1</v>
      </c>
      <c r="AG86" s="154">
        <f>+(AG87+AG88+AG89+AG90)*E86</f>
        <v>0.1</v>
      </c>
      <c r="AH86" s="154">
        <f>+(AH87+AH88+AH89+AH90)*E86</f>
        <v>5.2000000000000005E-2</v>
      </c>
      <c r="AI86" s="133">
        <f>+AVERAGE(AI87:AI90)</f>
        <v>0.51249999999999996</v>
      </c>
      <c r="AJ86" s="133">
        <v>0.69166666666666665</v>
      </c>
      <c r="AK86" s="133">
        <f>+AVERAGE(AK87:AK90)</f>
        <v>0.79166666666666663</v>
      </c>
      <c r="AL86" s="133">
        <f>+(AL87+AL88+AL89+AL90)*E86</f>
        <v>4.3750000000000004E-2</v>
      </c>
      <c r="AM86" s="133">
        <f>+(AM87+AM88+AM89+AM90)</f>
        <v>0.63250000000000006</v>
      </c>
      <c r="AN86" s="133">
        <f>+(AN87+AN88+AN89+AN90)</f>
        <v>0.75</v>
      </c>
      <c r="AO86" s="545"/>
      <c r="AP86" s="127"/>
      <c r="AQ86" s="127"/>
      <c r="AR86" s="127"/>
      <c r="AS86" s="127"/>
      <c r="AT86" s="564"/>
      <c r="AU86" s="127"/>
      <c r="AV86" s="127"/>
      <c r="AW86" s="121"/>
      <c r="AX86" s="115"/>
      <c r="AY86" s="115"/>
      <c r="AZ86" s="115"/>
      <c r="BA86" s="115"/>
      <c r="BB86" s="115"/>
      <c r="BC86" s="115"/>
      <c r="BD86" s="115"/>
      <c r="BE86" s="115"/>
      <c r="BF86" s="115"/>
      <c r="BG86" s="115"/>
      <c r="BH86" s="115"/>
      <c r="BI86" s="115"/>
      <c r="BJ86" s="115"/>
      <c r="BK86" s="115"/>
      <c r="BL86" s="115"/>
      <c r="BM86" s="115"/>
      <c r="BN86" s="115"/>
      <c r="BO86" s="115"/>
    </row>
    <row r="87" spans="1:67" ht="111" customHeight="1" thickBot="1" x14ac:dyDescent="0.4">
      <c r="A87" s="119"/>
      <c r="B87" s="1378" t="s">
        <v>753</v>
      </c>
      <c r="C87" s="1379" t="s">
        <v>1453</v>
      </c>
      <c r="D87" s="147" t="s">
        <v>754</v>
      </c>
      <c r="E87" s="137">
        <v>0.2</v>
      </c>
      <c r="F87" s="138">
        <v>4</v>
      </c>
      <c r="G87" s="134">
        <v>1</v>
      </c>
      <c r="H87" s="134">
        <v>1</v>
      </c>
      <c r="I87" s="134">
        <v>1</v>
      </c>
      <c r="J87" s="139">
        <f>+G87/F87</f>
        <v>0.25</v>
      </c>
      <c r="K87" s="139">
        <f t="shared" si="95"/>
        <v>0.25</v>
      </c>
      <c r="L87" s="139">
        <f t="shared" si="96"/>
        <v>0.25</v>
      </c>
      <c r="M87" s="139">
        <f>+(G87/F87)*E87</f>
        <v>0.05</v>
      </c>
      <c r="N87" s="139">
        <f t="shared" si="97"/>
        <v>0.05</v>
      </c>
      <c r="O87" s="139"/>
      <c r="P87" s="134">
        <v>1</v>
      </c>
      <c r="Q87" s="496">
        <v>0</v>
      </c>
      <c r="R87" s="496">
        <v>0</v>
      </c>
      <c r="S87" s="496">
        <v>0</v>
      </c>
      <c r="T87" s="496">
        <v>0</v>
      </c>
      <c r="U87" s="496">
        <v>1</v>
      </c>
      <c r="V87" s="134">
        <f t="shared" si="60"/>
        <v>1</v>
      </c>
      <c r="W87" s="134">
        <f t="shared" si="104"/>
        <v>2</v>
      </c>
      <c r="X87" s="496">
        <v>0</v>
      </c>
      <c r="Y87" s="496">
        <v>0</v>
      </c>
      <c r="Z87" s="134"/>
      <c r="AA87" s="134"/>
      <c r="AB87" s="134">
        <f t="shared" si="75"/>
        <v>0</v>
      </c>
      <c r="AC87" s="156">
        <f>+(P87/G87)</f>
        <v>1</v>
      </c>
      <c r="AD87" s="156">
        <f t="shared" si="107"/>
        <v>1</v>
      </c>
      <c r="AE87" s="156">
        <f t="shared" si="105"/>
        <v>0</v>
      </c>
      <c r="AF87" s="156">
        <f>+AC87*E87</f>
        <v>0.2</v>
      </c>
      <c r="AG87" s="156">
        <f t="shared" si="106"/>
        <v>0.2</v>
      </c>
      <c r="AH87" s="156">
        <f t="shared" si="100"/>
        <v>0</v>
      </c>
      <c r="AI87" s="156">
        <f>+P87/F87</f>
        <v>0.25</v>
      </c>
      <c r="AJ87" s="156">
        <v>0.25</v>
      </c>
      <c r="AK87" s="156">
        <f t="shared" si="101"/>
        <v>0.5</v>
      </c>
      <c r="AL87" s="156">
        <f>+AI87*E87</f>
        <v>0.05</v>
      </c>
      <c r="AM87" s="156">
        <f>+AJ87*E87</f>
        <v>0.05</v>
      </c>
      <c r="AN87" s="156">
        <f t="shared" si="103"/>
        <v>0.1</v>
      </c>
      <c r="AO87" s="545"/>
      <c r="AP87" s="506" t="s">
        <v>1935</v>
      </c>
      <c r="AQ87" s="765" t="s">
        <v>1994</v>
      </c>
      <c r="AR87" s="765" t="s">
        <v>2010</v>
      </c>
      <c r="AS87" s="765" t="s">
        <v>2107</v>
      </c>
      <c r="AT87" s="837" t="s">
        <v>2139</v>
      </c>
      <c r="AU87" s="127"/>
      <c r="AV87" s="599" t="s">
        <v>1859</v>
      </c>
      <c r="AW87" s="599" t="s">
        <v>1859</v>
      </c>
      <c r="AX87" s="115"/>
      <c r="AY87" s="115"/>
      <c r="AZ87" s="115"/>
      <c r="BA87" s="115"/>
      <c r="BB87" s="115"/>
      <c r="BC87" s="115"/>
      <c r="BD87" s="115"/>
      <c r="BE87" s="115"/>
      <c r="BF87" s="115"/>
      <c r="BG87" s="115"/>
      <c r="BH87" s="115"/>
      <c r="BI87" s="115"/>
      <c r="BJ87" s="115"/>
      <c r="BK87" s="115"/>
      <c r="BL87" s="115"/>
      <c r="BM87" s="115"/>
      <c r="BN87" s="115"/>
      <c r="BO87" s="115"/>
    </row>
    <row r="88" spans="1:67" ht="117.6" customHeight="1" thickBot="1" x14ac:dyDescent="0.4">
      <c r="A88" s="119"/>
      <c r="B88" s="1378" t="s">
        <v>755</v>
      </c>
      <c r="C88" s="1379" t="s">
        <v>1454</v>
      </c>
      <c r="D88" s="147" t="s">
        <v>754</v>
      </c>
      <c r="E88" s="137">
        <v>0.45</v>
      </c>
      <c r="F88" s="138">
        <v>60</v>
      </c>
      <c r="G88" s="134">
        <v>15</v>
      </c>
      <c r="H88" s="134">
        <v>15</v>
      </c>
      <c r="I88" s="134">
        <v>15</v>
      </c>
      <c r="J88" s="139">
        <f>+G88/F88</f>
        <v>0.25</v>
      </c>
      <c r="K88" s="139">
        <f t="shared" si="95"/>
        <v>0.25</v>
      </c>
      <c r="L88" s="139">
        <f t="shared" si="96"/>
        <v>0.25</v>
      </c>
      <c r="M88" s="139">
        <f>+(G88/F88)*E88</f>
        <v>0.1125</v>
      </c>
      <c r="N88" s="139">
        <f t="shared" si="97"/>
        <v>0.1125</v>
      </c>
      <c r="O88" s="139"/>
      <c r="P88" s="134">
        <v>15</v>
      </c>
      <c r="Q88" s="496">
        <v>0</v>
      </c>
      <c r="R88" s="496">
        <v>15</v>
      </c>
      <c r="S88" s="496">
        <v>0</v>
      </c>
      <c r="T88" s="496">
        <v>0</v>
      </c>
      <c r="U88" s="496">
        <v>1</v>
      </c>
      <c r="V88" s="134">
        <f t="shared" si="60"/>
        <v>16</v>
      </c>
      <c r="W88" s="134">
        <f>+V88+P88+AB88</f>
        <v>40</v>
      </c>
      <c r="X88" s="496">
        <v>8</v>
      </c>
      <c r="Y88" s="496">
        <v>1</v>
      </c>
      <c r="Z88" s="134"/>
      <c r="AA88" s="134"/>
      <c r="AB88" s="134">
        <f t="shared" si="75"/>
        <v>9</v>
      </c>
      <c r="AC88" s="156">
        <f>+(P88/G88)</f>
        <v>1</v>
      </c>
      <c r="AD88" s="156">
        <v>1</v>
      </c>
      <c r="AE88" s="156">
        <f t="shared" si="105"/>
        <v>0.6</v>
      </c>
      <c r="AF88" s="156">
        <f>+AC88*E88</f>
        <v>0.45</v>
      </c>
      <c r="AG88" s="156">
        <f t="shared" si="106"/>
        <v>0.45</v>
      </c>
      <c r="AH88" s="156">
        <f t="shared" si="100"/>
        <v>0.27</v>
      </c>
      <c r="AI88" s="156">
        <f>+P88/F88</f>
        <v>0.25</v>
      </c>
      <c r="AJ88" s="156">
        <v>0.51666666666666672</v>
      </c>
      <c r="AK88" s="156">
        <f t="shared" si="101"/>
        <v>0.66666666666666663</v>
      </c>
      <c r="AL88" s="156">
        <f>+AI88*E88</f>
        <v>0.1125</v>
      </c>
      <c r="AM88" s="156">
        <f>+AJ88*E88</f>
        <v>0.23250000000000004</v>
      </c>
      <c r="AN88" s="156">
        <f t="shared" si="103"/>
        <v>0.3</v>
      </c>
      <c r="AO88" s="545"/>
      <c r="AP88" s="506" t="s">
        <v>1935</v>
      </c>
      <c r="AQ88" s="765" t="s">
        <v>1995</v>
      </c>
      <c r="AR88" s="765" t="s">
        <v>2010</v>
      </c>
      <c r="AS88" s="765" t="s">
        <v>2107</v>
      </c>
      <c r="AT88" s="837" t="s">
        <v>2139</v>
      </c>
      <c r="AU88" s="127"/>
      <c r="AV88" s="765" t="s">
        <v>1887</v>
      </c>
      <c r="AW88" s="599" t="s">
        <v>1859</v>
      </c>
      <c r="AX88" s="115"/>
      <c r="AY88" s="115"/>
      <c r="AZ88" s="115"/>
      <c r="BA88" s="115"/>
      <c r="BB88" s="115"/>
      <c r="BC88" s="115"/>
      <c r="BD88" s="115"/>
      <c r="BE88" s="115"/>
      <c r="BF88" s="115"/>
      <c r="BG88" s="115"/>
      <c r="BH88" s="115"/>
      <c r="BI88" s="115"/>
      <c r="BJ88" s="115"/>
      <c r="BK88" s="115"/>
      <c r="BL88" s="115"/>
      <c r="BM88" s="115"/>
      <c r="BN88" s="115"/>
      <c r="BO88" s="115"/>
    </row>
    <row r="89" spans="1:67" ht="108.6" customHeight="1" thickBot="1" x14ac:dyDescent="0.4">
      <c r="A89" s="119"/>
      <c r="B89" s="1378" t="s">
        <v>756</v>
      </c>
      <c r="C89" s="1379" t="s">
        <v>1455</v>
      </c>
      <c r="D89" s="147" t="s">
        <v>754</v>
      </c>
      <c r="E89" s="137">
        <v>0.1</v>
      </c>
      <c r="F89" s="138">
        <v>4</v>
      </c>
      <c r="G89" s="134">
        <v>1</v>
      </c>
      <c r="H89" s="134">
        <v>1</v>
      </c>
      <c r="I89" s="134">
        <v>1</v>
      </c>
      <c r="J89" s="139">
        <f>+G89/F89</f>
        <v>0.25</v>
      </c>
      <c r="K89" s="139">
        <f t="shared" si="95"/>
        <v>0.25</v>
      </c>
      <c r="L89" s="139"/>
      <c r="M89" s="139">
        <f>+(G89/F89)*E89</f>
        <v>2.5000000000000001E-2</v>
      </c>
      <c r="N89" s="139">
        <f>+(H89/F89)*E89</f>
        <v>2.5000000000000001E-2</v>
      </c>
      <c r="O89" s="139"/>
      <c r="P89" s="134">
        <v>3</v>
      </c>
      <c r="Q89" s="496">
        <v>0</v>
      </c>
      <c r="R89" s="496">
        <v>1</v>
      </c>
      <c r="S89" s="496">
        <v>0</v>
      </c>
      <c r="T89" s="496">
        <v>0</v>
      </c>
      <c r="U89" s="496">
        <v>0</v>
      </c>
      <c r="V89" s="134">
        <f t="shared" si="60"/>
        <v>1</v>
      </c>
      <c r="W89" s="134">
        <f t="shared" si="104"/>
        <v>4</v>
      </c>
      <c r="X89" s="496">
        <v>0</v>
      </c>
      <c r="Y89" s="496">
        <v>0</v>
      </c>
      <c r="Z89" s="134"/>
      <c r="AA89" s="134"/>
      <c r="AB89" s="134">
        <f t="shared" si="75"/>
        <v>0</v>
      </c>
      <c r="AC89" s="156">
        <v>1</v>
      </c>
      <c r="AD89" s="156">
        <f t="shared" si="107"/>
        <v>1</v>
      </c>
      <c r="AE89" s="156">
        <f t="shared" si="105"/>
        <v>0</v>
      </c>
      <c r="AF89" s="156">
        <f>+AC89*E89</f>
        <v>0.1</v>
      </c>
      <c r="AG89" s="156">
        <f t="shared" si="106"/>
        <v>0.1</v>
      </c>
      <c r="AH89" s="156">
        <f t="shared" si="100"/>
        <v>0</v>
      </c>
      <c r="AI89" s="156">
        <f>+P89/F89</f>
        <v>0.75</v>
      </c>
      <c r="AJ89" s="156">
        <v>1</v>
      </c>
      <c r="AK89" s="156">
        <f t="shared" si="101"/>
        <v>1</v>
      </c>
      <c r="AL89" s="156">
        <f>+AI89*E89</f>
        <v>7.5000000000000011E-2</v>
      </c>
      <c r="AM89" s="156">
        <f>+AJ89*E89</f>
        <v>0.1</v>
      </c>
      <c r="AN89" s="156">
        <f t="shared" si="103"/>
        <v>0.1</v>
      </c>
      <c r="AO89" s="545"/>
      <c r="AP89" s="765" t="s">
        <v>1886</v>
      </c>
      <c r="AQ89" s="765" t="s">
        <v>1588</v>
      </c>
      <c r="AR89" s="506" t="s">
        <v>2025</v>
      </c>
      <c r="AS89" s="765" t="s">
        <v>2107</v>
      </c>
      <c r="AT89" s="837" t="s">
        <v>2139</v>
      </c>
      <c r="AU89" s="127"/>
      <c r="AV89" s="765" t="s">
        <v>1887</v>
      </c>
      <c r="AW89" s="765" t="s">
        <v>2294</v>
      </c>
      <c r="AX89" s="115"/>
      <c r="AY89" s="115"/>
      <c r="AZ89" s="115"/>
      <c r="BA89" s="115"/>
      <c r="BB89" s="115"/>
      <c r="BC89" s="115"/>
      <c r="BD89" s="115"/>
      <c r="BE89" s="115"/>
      <c r="BF89" s="115"/>
      <c r="BG89" s="115"/>
      <c r="BH89" s="115"/>
      <c r="BI89" s="115"/>
      <c r="BJ89" s="115"/>
      <c r="BK89" s="115"/>
      <c r="BL89" s="115"/>
      <c r="BM89" s="115"/>
      <c r="BN89" s="115"/>
      <c r="BO89" s="115"/>
    </row>
    <row r="90" spans="1:67" ht="66.599999999999994" customHeight="1" thickBot="1" x14ac:dyDescent="0.4">
      <c r="A90" s="119"/>
      <c r="B90" s="1378" t="s">
        <v>757</v>
      </c>
      <c r="C90" s="1379" t="s">
        <v>1456</v>
      </c>
      <c r="D90" s="147" t="s">
        <v>754</v>
      </c>
      <c r="E90" s="137">
        <v>0.25</v>
      </c>
      <c r="F90" s="138">
        <v>5</v>
      </c>
      <c r="G90" s="134">
        <v>1</v>
      </c>
      <c r="H90" s="134">
        <v>1</v>
      </c>
      <c r="I90" s="134">
        <v>1</v>
      </c>
      <c r="J90" s="139">
        <f>+G90/F90</f>
        <v>0.2</v>
      </c>
      <c r="K90" s="139">
        <f t="shared" si="95"/>
        <v>0.2</v>
      </c>
      <c r="L90" s="139"/>
      <c r="M90" s="139">
        <f>+(G90/F90)*E90</f>
        <v>0.05</v>
      </c>
      <c r="N90" s="139">
        <f t="shared" si="97"/>
        <v>0.05</v>
      </c>
      <c r="O90" s="139"/>
      <c r="P90" s="134">
        <v>4</v>
      </c>
      <c r="Q90" s="496">
        <v>0</v>
      </c>
      <c r="R90" s="496">
        <v>1</v>
      </c>
      <c r="S90" s="496">
        <v>0</v>
      </c>
      <c r="T90" s="496">
        <v>0</v>
      </c>
      <c r="U90" s="496">
        <v>0</v>
      </c>
      <c r="V90" s="134">
        <f t="shared" si="60"/>
        <v>1</v>
      </c>
      <c r="W90" s="134">
        <f t="shared" si="104"/>
        <v>6</v>
      </c>
      <c r="X90" s="496">
        <v>0</v>
      </c>
      <c r="Y90" s="496">
        <v>1</v>
      </c>
      <c r="Z90" s="134"/>
      <c r="AA90" s="134"/>
      <c r="AB90" s="134">
        <f t="shared" si="75"/>
        <v>1</v>
      </c>
      <c r="AC90" s="156">
        <v>1</v>
      </c>
      <c r="AD90" s="156">
        <f t="shared" si="107"/>
        <v>1</v>
      </c>
      <c r="AE90" s="156">
        <f t="shared" si="105"/>
        <v>1</v>
      </c>
      <c r="AF90" s="156">
        <f>+AC90*E90</f>
        <v>0.25</v>
      </c>
      <c r="AG90" s="156">
        <f t="shared" si="106"/>
        <v>0.25</v>
      </c>
      <c r="AH90" s="156">
        <f t="shared" si="100"/>
        <v>0.25</v>
      </c>
      <c r="AI90" s="156">
        <f>+P90/F90</f>
        <v>0.8</v>
      </c>
      <c r="AJ90" s="156">
        <v>1</v>
      </c>
      <c r="AK90" s="156">
        <v>1</v>
      </c>
      <c r="AL90" s="156">
        <f>+AI90*E90</f>
        <v>0.2</v>
      </c>
      <c r="AM90" s="156">
        <f>+AJ90*E90</f>
        <v>0.25</v>
      </c>
      <c r="AN90" s="156">
        <f t="shared" si="103"/>
        <v>0.25</v>
      </c>
      <c r="AO90" s="545"/>
      <c r="AP90" s="765" t="s">
        <v>1886</v>
      </c>
      <c r="AQ90" s="765" t="s">
        <v>1588</v>
      </c>
      <c r="AR90" s="506" t="s">
        <v>2025</v>
      </c>
      <c r="AS90" s="506" t="s">
        <v>2025</v>
      </c>
      <c r="AT90" s="837" t="s">
        <v>2139</v>
      </c>
      <c r="AU90" s="127"/>
      <c r="AV90" s="506" t="s">
        <v>2025</v>
      </c>
      <c r="AW90" s="765" t="s">
        <v>2294</v>
      </c>
      <c r="AX90" s="115"/>
      <c r="AY90" s="115"/>
      <c r="AZ90" s="115"/>
      <c r="BA90" s="115"/>
      <c r="BB90" s="115"/>
      <c r="BC90" s="115"/>
      <c r="BD90" s="115"/>
      <c r="BE90" s="115"/>
      <c r="BF90" s="115"/>
      <c r="BG90" s="115"/>
      <c r="BH90" s="115"/>
      <c r="BI90" s="115"/>
      <c r="BJ90" s="115"/>
      <c r="BK90" s="115"/>
      <c r="BL90" s="115"/>
      <c r="BM90" s="115"/>
      <c r="BN90" s="115"/>
      <c r="BO90" s="115"/>
    </row>
    <row r="91" spans="1:67" ht="57" customHeight="1" thickBot="1" x14ac:dyDescent="0.4">
      <c r="A91" s="119"/>
      <c r="B91" s="1376" t="s">
        <v>1713</v>
      </c>
      <c r="C91" s="1377"/>
      <c r="D91" s="147"/>
      <c r="E91" s="130">
        <v>0.3</v>
      </c>
      <c r="F91" s="149"/>
      <c r="G91" s="127"/>
      <c r="H91" s="127"/>
      <c r="I91" s="127"/>
      <c r="J91" s="133"/>
      <c r="K91" s="133">
        <f>+AVERAGE(K92:K95)</f>
        <v>0.36958333333333332</v>
      </c>
      <c r="L91" s="133">
        <f>+AVERAGE(L92:L95)</f>
        <v>0.37270833333333336</v>
      </c>
      <c r="M91" s="133"/>
      <c r="N91" s="133">
        <f>+N92+N93+N94+N95</f>
        <v>0.33691666666666664</v>
      </c>
      <c r="O91" s="133"/>
      <c r="P91" s="132"/>
      <c r="Q91" s="132"/>
      <c r="R91" s="132"/>
      <c r="S91" s="132"/>
      <c r="T91" s="132"/>
      <c r="U91" s="836"/>
      <c r="V91" s="134"/>
      <c r="W91" s="134"/>
      <c r="X91" s="132"/>
      <c r="Y91" s="132"/>
      <c r="Z91" s="132"/>
      <c r="AA91" s="132"/>
      <c r="AB91" s="134"/>
      <c r="AC91" s="154"/>
      <c r="AD91" s="154">
        <f>+AVERAGE(AD92:AD95)</f>
        <v>0.9458333333333333</v>
      </c>
      <c r="AE91" s="154">
        <f>+AVERAGE(AE92:AE95)</f>
        <v>0.25</v>
      </c>
      <c r="AF91" s="154"/>
      <c r="AG91" s="154">
        <f>+(AG92+AG93+AG94+AG95)*E91</f>
        <v>0.26749999999999996</v>
      </c>
      <c r="AH91" s="154">
        <f>+(AH92+AH93+AH94+AH95)*E91</f>
        <v>1.4999999999999999E-2</v>
      </c>
      <c r="AI91" s="133"/>
      <c r="AJ91" s="133">
        <v>0.35152777777777777</v>
      </c>
      <c r="AK91" s="133">
        <f>+AVERAGE(AK92:AK95)</f>
        <v>0.47652777777777777</v>
      </c>
      <c r="AL91" s="133"/>
      <c r="AM91" s="133">
        <f>+(AM92+AM93+AM94+AM95)</f>
        <v>0.30080555555555555</v>
      </c>
      <c r="AN91" s="133">
        <f>+(AN92+AN93+AN94+AN95)</f>
        <v>0.32580555555555557</v>
      </c>
      <c r="AO91" s="545"/>
      <c r="AP91" s="127"/>
      <c r="AQ91" s="127"/>
      <c r="AR91" s="127"/>
      <c r="AS91" s="127"/>
      <c r="AT91" s="564"/>
      <c r="AU91" s="127"/>
      <c r="AV91" s="127"/>
      <c r="AW91" s="121"/>
      <c r="AX91" s="115"/>
      <c r="AY91" s="115"/>
      <c r="AZ91" s="115"/>
      <c r="BA91" s="115"/>
      <c r="BB91" s="115"/>
      <c r="BC91" s="115"/>
      <c r="BD91" s="115"/>
      <c r="BE91" s="115"/>
      <c r="BF91" s="115"/>
      <c r="BG91" s="115"/>
      <c r="BH91" s="115"/>
      <c r="BI91" s="115"/>
      <c r="BJ91" s="115"/>
      <c r="BK91" s="115"/>
      <c r="BL91" s="115"/>
      <c r="BM91" s="115"/>
      <c r="BN91" s="115"/>
      <c r="BO91" s="115"/>
    </row>
    <row r="92" spans="1:67" ht="106.8" customHeight="1" thickBot="1" x14ac:dyDescent="0.4">
      <c r="A92" s="119"/>
      <c r="B92" s="1378" t="s">
        <v>758</v>
      </c>
      <c r="C92" s="1379" t="s">
        <v>1457</v>
      </c>
      <c r="D92" s="167" t="s">
        <v>759</v>
      </c>
      <c r="E92" s="137">
        <v>0.5</v>
      </c>
      <c r="F92" s="138">
        <v>9</v>
      </c>
      <c r="G92" s="134">
        <v>0</v>
      </c>
      <c r="H92" s="134">
        <v>3</v>
      </c>
      <c r="I92" s="134">
        <v>3</v>
      </c>
      <c r="J92" s="139"/>
      <c r="K92" s="139">
        <f t="shared" si="95"/>
        <v>0.33333333333333331</v>
      </c>
      <c r="L92" s="139">
        <f>+I92/F92</f>
        <v>0.33333333333333331</v>
      </c>
      <c r="M92" s="139"/>
      <c r="N92" s="139">
        <f t="shared" si="97"/>
        <v>0.16666666666666666</v>
      </c>
      <c r="O92" s="139"/>
      <c r="P92" s="134"/>
      <c r="Q92" s="496">
        <v>0</v>
      </c>
      <c r="R92" s="496">
        <v>0.35</v>
      </c>
      <c r="S92" s="496">
        <v>0</v>
      </c>
      <c r="T92" s="496">
        <v>0</v>
      </c>
      <c r="U92" s="496">
        <v>2</v>
      </c>
      <c r="V92" s="134">
        <f t="shared" si="60"/>
        <v>2.35</v>
      </c>
      <c r="W92" s="134">
        <f t="shared" si="104"/>
        <v>2.35</v>
      </c>
      <c r="X92" s="496">
        <v>0</v>
      </c>
      <c r="Y92" s="496">
        <v>0</v>
      </c>
      <c r="Z92" s="134"/>
      <c r="AA92" s="134"/>
      <c r="AB92" s="134">
        <f t="shared" si="75"/>
        <v>0</v>
      </c>
      <c r="AC92" s="156"/>
      <c r="AD92" s="156">
        <f t="shared" si="107"/>
        <v>0.78333333333333333</v>
      </c>
      <c r="AE92" s="156">
        <f t="shared" si="105"/>
        <v>0</v>
      </c>
      <c r="AF92" s="156"/>
      <c r="AG92" s="156">
        <f t="shared" si="106"/>
        <v>0.39166666666666666</v>
      </c>
      <c r="AH92" s="156">
        <f t="shared" si="100"/>
        <v>0</v>
      </c>
      <c r="AI92" s="156"/>
      <c r="AJ92" s="156">
        <v>0.26111111111111113</v>
      </c>
      <c r="AK92" s="156">
        <f t="shared" si="101"/>
        <v>0.26111111111111113</v>
      </c>
      <c r="AL92" s="156"/>
      <c r="AM92" s="156">
        <f>+AJ92*E92</f>
        <v>0.13055555555555556</v>
      </c>
      <c r="AN92" s="156">
        <f t="shared" si="103"/>
        <v>0.13055555555555556</v>
      </c>
      <c r="AO92" s="545" t="s">
        <v>1576</v>
      </c>
      <c r="AP92" s="127"/>
      <c r="AQ92" s="765" t="s">
        <v>1989</v>
      </c>
      <c r="AR92" s="765" t="s">
        <v>2010</v>
      </c>
      <c r="AS92" s="765" t="s">
        <v>2107</v>
      </c>
      <c r="AT92" s="837" t="s">
        <v>2157</v>
      </c>
      <c r="AU92" s="765" t="s">
        <v>2196</v>
      </c>
      <c r="AV92" s="765" t="s">
        <v>1887</v>
      </c>
      <c r="AW92" s="765" t="s">
        <v>2294</v>
      </c>
      <c r="AX92" s="115"/>
      <c r="AY92" s="115"/>
      <c r="AZ92" s="115"/>
      <c r="BA92" s="115"/>
      <c r="BB92" s="115"/>
      <c r="BC92" s="115"/>
      <c r="BD92" s="115"/>
      <c r="BE92" s="115"/>
      <c r="BF92" s="115"/>
      <c r="BG92" s="115"/>
      <c r="BH92" s="115"/>
      <c r="BI92" s="115"/>
      <c r="BJ92" s="115"/>
      <c r="BK92" s="115"/>
      <c r="BL92" s="115"/>
      <c r="BM92" s="115"/>
      <c r="BN92" s="115"/>
      <c r="BO92" s="115"/>
    </row>
    <row r="93" spans="1:67" ht="85.2" customHeight="1" thickBot="1" x14ac:dyDescent="0.4">
      <c r="A93" s="119"/>
      <c r="B93" s="1378" t="s">
        <v>760</v>
      </c>
      <c r="C93" s="1379" t="s">
        <v>1458</v>
      </c>
      <c r="D93" s="146" t="s">
        <v>736</v>
      </c>
      <c r="E93" s="137">
        <v>0.05</v>
      </c>
      <c r="F93" s="138">
        <v>2</v>
      </c>
      <c r="G93" s="134">
        <v>0</v>
      </c>
      <c r="H93" s="134">
        <v>1</v>
      </c>
      <c r="I93" s="134">
        <v>1</v>
      </c>
      <c r="J93" s="139"/>
      <c r="K93" s="139">
        <f t="shared" si="95"/>
        <v>0.5</v>
      </c>
      <c r="L93" s="139">
        <f t="shared" si="96"/>
        <v>0.5</v>
      </c>
      <c r="M93" s="139"/>
      <c r="N93" s="139">
        <f>+(H93/F93)*E93</f>
        <v>2.5000000000000001E-2</v>
      </c>
      <c r="O93" s="139"/>
      <c r="P93" s="134"/>
      <c r="Q93" s="496">
        <v>0</v>
      </c>
      <c r="R93" s="496">
        <v>0.27</v>
      </c>
      <c r="S93" s="496">
        <v>0.73</v>
      </c>
      <c r="T93" s="496">
        <v>0</v>
      </c>
      <c r="U93" s="496">
        <v>0</v>
      </c>
      <c r="V93" s="134">
        <f t="shared" si="60"/>
        <v>1</v>
      </c>
      <c r="W93" s="134">
        <f t="shared" si="104"/>
        <v>3</v>
      </c>
      <c r="X93" s="496">
        <v>0</v>
      </c>
      <c r="Y93" s="496">
        <v>2</v>
      </c>
      <c r="Z93" s="134"/>
      <c r="AA93" s="134"/>
      <c r="AB93" s="134">
        <f t="shared" si="75"/>
        <v>2</v>
      </c>
      <c r="AC93" s="156"/>
      <c r="AD93" s="156">
        <f t="shared" si="107"/>
        <v>1</v>
      </c>
      <c r="AE93" s="156">
        <v>1</v>
      </c>
      <c r="AF93" s="156"/>
      <c r="AG93" s="156">
        <f t="shared" si="106"/>
        <v>0.05</v>
      </c>
      <c r="AH93" s="156">
        <f t="shared" si="100"/>
        <v>0.05</v>
      </c>
      <c r="AI93" s="156"/>
      <c r="AJ93" s="156">
        <v>0.5</v>
      </c>
      <c r="AK93" s="156">
        <v>1</v>
      </c>
      <c r="AL93" s="156"/>
      <c r="AM93" s="156">
        <f>+AJ93*E93</f>
        <v>2.5000000000000001E-2</v>
      </c>
      <c r="AN93" s="156">
        <f t="shared" si="103"/>
        <v>0.05</v>
      </c>
      <c r="AO93" s="545" t="s">
        <v>1575</v>
      </c>
      <c r="AP93" s="766" t="s">
        <v>1886</v>
      </c>
      <c r="AQ93" s="765" t="s">
        <v>1989</v>
      </c>
      <c r="AR93" s="765" t="s">
        <v>2010</v>
      </c>
      <c r="AS93" s="765" t="s">
        <v>2107</v>
      </c>
      <c r="AT93" s="837" t="s">
        <v>2139</v>
      </c>
      <c r="AU93" s="765" t="s">
        <v>2196</v>
      </c>
      <c r="AV93" s="765" t="s">
        <v>1887</v>
      </c>
      <c r="AW93" s="765" t="s">
        <v>2294</v>
      </c>
      <c r="AX93" s="115"/>
      <c r="AY93" s="115"/>
      <c r="AZ93" s="115"/>
      <c r="BA93" s="115"/>
      <c r="BB93" s="115"/>
      <c r="BC93" s="115"/>
      <c r="BD93" s="115"/>
      <c r="BE93" s="115"/>
      <c r="BF93" s="115"/>
      <c r="BG93" s="115"/>
      <c r="BH93" s="115"/>
      <c r="BI93" s="115"/>
      <c r="BJ93" s="115"/>
      <c r="BK93" s="115"/>
      <c r="BL93" s="115"/>
      <c r="BM93" s="115"/>
      <c r="BN93" s="115"/>
      <c r="BO93" s="115"/>
    </row>
    <row r="94" spans="1:67" ht="76.95" customHeight="1" thickBot="1" x14ac:dyDescent="0.4">
      <c r="A94" s="119"/>
      <c r="B94" s="1378" t="s">
        <v>761</v>
      </c>
      <c r="C94" s="1379" t="s">
        <v>1459</v>
      </c>
      <c r="D94" s="147" t="s">
        <v>736</v>
      </c>
      <c r="E94" s="137">
        <v>0.25</v>
      </c>
      <c r="F94" s="138">
        <v>80</v>
      </c>
      <c r="G94" s="134">
        <v>0</v>
      </c>
      <c r="H94" s="134">
        <v>26</v>
      </c>
      <c r="I94" s="134">
        <v>27</v>
      </c>
      <c r="J94" s="139"/>
      <c r="K94" s="139">
        <f t="shared" si="95"/>
        <v>0.32500000000000001</v>
      </c>
      <c r="L94" s="139">
        <f t="shared" si="96"/>
        <v>0.33750000000000002</v>
      </c>
      <c r="M94" s="139"/>
      <c r="N94" s="139">
        <f>+(H94/F94)*E94</f>
        <v>8.1250000000000003E-2</v>
      </c>
      <c r="O94" s="139"/>
      <c r="P94" s="134"/>
      <c r="Q94" s="496">
        <v>0</v>
      </c>
      <c r="R94" s="496">
        <v>0</v>
      </c>
      <c r="S94" s="496">
        <v>0</v>
      </c>
      <c r="T94" s="496">
        <v>0</v>
      </c>
      <c r="U94" s="496">
        <v>26</v>
      </c>
      <c r="V94" s="134">
        <f t="shared" si="60"/>
        <v>26</v>
      </c>
      <c r="W94" s="134">
        <f t="shared" si="104"/>
        <v>26</v>
      </c>
      <c r="X94" s="496">
        <v>0</v>
      </c>
      <c r="Y94" s="496">
        <v>0</v>
      </c>
      <c r="Z94" s="134"/>
      <c r="AA94" s="134"/>
      <c r="AB94" s="134">
        <f t="shared" si="75"/>
        <v>0</v>
      </c>
      <c r="AC94" s="156"/>
      <c r="AD94" s="156">
        <f t="shared" si="107"/>
        <v>1</v>
      </c>
      <c r="AE94" s="156">
        <f t="shared" si="105"/>
        <v>0</v>
      </c>
      <c r="AF94" s="156"/>
      <c r="AG94" s="156">
        <f t="shared" si="106"/>
        <v>0.25</v>
      </c>
      <c r="AH94" s="156">
        <f t="shared" si="100"/>
        <v>0</v>
      </c>
      <c r="AI94" s="156"/>
      <c r="AJ94" s="156">
        <v>0.32500000000000001</v>
      </c>
      <c r="AK94" s="156">
        <f t="shared" si="101"/>
        <v>0.32500000000000001</v>
      </c>
      <c r="AL94" s="156"/>
      <c r="AM94" s="156">
        <f>+AJ94*E94</f>
        <v>8.1250000000000003E-2</v>
      </c>
      <c r="AN94" s="156">
        <f t="shared" si="103"/>
        <v>8.1250000000000003E-2</v>
      </c>
      <c r="AO94" s="545" t="s">
        <v>1575</v>
      </c>
      <c r="AP94" s="766" t="s">
        <v>1886</v>
      </c>
      <c r="AQ94" s="765" t="s">
        <v>1989</v>
      </c>
      <c r="AR94" s="765" t="s">
        <v>2010</v>
      </c>
      <c r="AS94" s="765" t="s">
        <v>2107</v>
      </c>
      <c r="AT94" s="837" t="s">
        <v>2139</v>
      </c>
      <c r="AU94" s="765" t="s">
        <v>2196</v>
      </c>
      <c r="AV94" s="765" t="s">
        <v>1887</v>
      </c>
      <c r="AW94" s="765" t="s">
        <v>2294</v>
      </c>
      <c r="AX94" s="115"/>
      <c r="AY94" s="115"/>
      <c r="AZ94" s="115"/>
      <c r="BA94" s="115"/>
      <c r="BB94" s="115"/>
      <c r="BC94" s="115"/>
      <c r="BD94" s="115"/>
      <c r="BE94" s="115"/>
      <c r="BF94" s="115"/>
      <c r="BG94" s="115"/>
      <c r="BH94" s="115"/>
      <c r="BI94" s="115"/>
      <c r="BJ94" s="115"/>
      <c r="BK94" s="115"/>
      <c r="BL94" s="115"/>
      <c r="BM94" s="115"/>
      <c r="BN94" s="115"/>
      <c r="BO94" s="115"/>
    </row>
    <row r="95" spans="1:67" ht="87.6" customHeight="1" thickBot="1" x14ac:dyDescent="0.4">
      <c r="A95" s="119"/>
      <c r="B95" s="1378" t="s">
        <v>762</v>
      </c>
      <c r="C95" s="1379" t="s">
        <v>1460</v>
      </c>
      <c r="D95" s="157" t="s">
        <v>736</v>
      </c>
      <c r="E95" s="137">
        <v>0.2</v>
      </c>
      <c r="F95" s="138">
        <v>25</v>
      </c>
      <c r="G95" s="134">
        <v>0</v>
      </c>
      <c r="H95" s="134">
        <v>8</v>
      </c>
      <c r="I95" s="134">
        <v>8</v>
      </c>
      <c r="J95" s="139"/>
      <c r="K95" s="139">
        <f t="shared" si="95"/>
        <v>0.32</v>
      </c>
      <c r="L95" s="139">
        <f t="shared" si="96"/>
        <v>0.32</v>
      </c>
      <c r="M95" s="139"/>
      <c r="N95" s="139">
        <f t="shared" si="97"/>
        <v>6.4000000000000001E-2</v>
      </c>
      <c r="O95" s="139"/>
      <c r="P95" s="134"/>
      <c r="Q95" s="496">
        <v>0</v>
      </c>
      <c r="R95" s="496">
        <v>0</v>
      </c>
      <c r="S95" s="496">
        <v>0</v>
      </c>
      <c r="T95" s="496">
        <v>0</v>
      </c>
      <c r="U95" s="496">
        <v>8</v>
      </c>
      <c r="V95" s="134">
        <f t="shared" si="60"/>
        <v>8</v>
      </c>
      <c r="W95" s="134">
        <f t="shared" si="104"/>
        <v>8</v>
      </c>
      <c r="X95" s="496">
        <v>0</v>
      </c>
      <c r="Y95" s="496">
        <v>0</v>
      </c>
      <c r="Z95" s="134"/>
      <c r="AA95" s="134"/>
      <c r="AB95" s="134">
        <f t="shared" si="75"/>
        <v>0</v>
      </c>
      <c r="AC95" s="156"/>
      <c r="AD95" s="156">
        <f>+V95/H95</f>
        <v>1</v>
      </c>
      <c r="AE95" s="156">
        <f t="shared" si="105"/>
        <v>0</v>
      </c>
      <c r="AF95" s="156"/>
      <c r="AG95" s="156">
        <f t="shared" si="106"/>
        <v>0.2</v>
      </c>
      <c r="AH95" s="156">
        <f t="shared" si="100"/>
        <v>0</v>
      </c>
      <c r="AI95" s="156"/>
      <c r="AJ95" s="156">
        <v>0.32</v>
      </c>
      <c r="AK95" s="156">
        <f t="shared" si="101"/>
        <v>0.32</v>
      </c>
      <c r="AL95" s="156"/>
      <c r="AM95" s="156">
        <f>+AJ95*E95</f>
        <v>6.4000000000000001E-2</v>
      </c>
      <c r="AN95" s="156">
        <f t="shared" si="103"/>
        <v>6.4000000000000001E-2</v>
      </c>
      <c r="AO95" s="545" t="s">
        <v>1575</v>
      </c>
      <c r="AP95" s="766" t="s">
        <v>1886</v>
      </c>
      <c r="AQ95" s="765" t="s">
        <v>1989</v>
      </c>
      <c r="AR95" s="765" t="s">
        <v>2010</v>
      </c>
      <c r="AS95" s="765" t="s">
        <v>2107</v>
      </c>
      <c r="AT95" s="837" t="s">
        <v>2139</v>
      </c>
      <c r="AU95" s="765" t="s">
        <v>2196</v>
      </c>
      <c r="AV95" s="765" t="s">
        <v>1887</v>
      </c>
      <c r="AW95" s="765" t="s">
        <v>2294</v>
      </c>
      <c r="AX95" s="115"/>
      <c r="AY95" s="115"/>
      <c r="AZ95" s="115"/>
      <c r="BA95" s="115"/>
      <c r="BB95" s="115"/>
      <c r="BC95" s="115"/>
      <c r="BD95" s="115"/>
      <c r="BE95" s="115"/>
      <c r="BF95" s="115"/>
      <c r="BG95" s="115"/>
      <c r="BH95" s="115"/>
      <c r="BI95" s="115"/>
      <c r="BJ95" s="115"/>
      <c r="BK95" s="115"/>
      <c r="BL95" s="115"/>
      <c r="BM95" s="115"/>
      <c r="BN95" s="115"/>
      <c r="BO95" s="115"/>
    </row>
    <row r="96" spans="1:67" ht="100.5" customHeight="1" thickBot="1" x14ac:dyDescent="0.4">
      <c r="A96" s="119"/>
      <c r="B96" s="1386" t="s">
        <v>1714</v>
      </c>
      <c r="C96" s="1383"/>
      <c r="D96" s="158"/>
      <c r="E96" s="130">
        <v>0.15</v>
      </c>
      <c r="F96" s="149"/>
      <c r="G96" s="127"/>
      <c r="H96" s="127"/>
      <c r="I96" s="127"/>
      <c r="J96" s="133">
        <f>+AVERAGE(J97:J99)*0.33</f>
        <v>0.33</v>
      </c>
      <c r="K96" s="133">
        <f>+AVERAGE(K97:K99)</f>
        <v>1</v>
      </c>
      <c r="L96" s="133">
        <f>+AVERAGE(L97:L99)/3</f>
        <v>0.33333333333333331</v>
      </c>
      <c r="M96" s="133">
        <f>+M97+M98+M99</f>
        <v>0.8</v>
      </c>
      <c r="N96" s="133">
        <f>+N97+N98+N99</f>
        <v>1</v>
      </c>
      <c r="O96" s="133"/>
      <c r="P96" s="132"/>
      <c r="Q96" s="132"/>
      <c r="R96" s="132"/>
      <c r="S96" s="132"/>
      <c r="T96" s="132"/>
      <c r="U96" s="836"/>
      <c r="V96" s="134"/>
      <c r="W96" s="134"/>
      <c r="X96" s="132"/>
      <c r="Y96" s="132"/>
      <c r="Z96" s="132"/>
      <c r="AA96" s="132"/>
      <c r="AB96" s="134"/>
      <c r="AC96" s="154">
        <f>+AVERAGE(AC97:AC99)</f>
        <v>1</v>
      </c>
      <c r="AD96" s="154">
        <f>+AVERAGE(AD97:AD99)</f>
        <v>0.60666666666666669</v>
      </c>
      <c r="AE96" s="154">
        <f>+AVERAGE(AE97:AE99)</f>
        <v>0.16666666666666666</v>
      </c>
      <c r="AF96" s="154">
        <f>+(AF97+AF98+AF99)*E96</f>
        <v>0.12</v>
      </c>
      <c r="AG96" s="154">
        <f>+(AG97+AG98+AG99)*E96</f>
        <v>0.10590000000000002</v>
      </c>
      <c r="AH96" s="154">
        <f>+(AH97+AH98+AH99)*E96</f>
        <v>0.06</v>
      </c>
      <c r="AI96" s="133">
        <f>+AVERAGE(AI97:AI99)</f>
        <v>0.33</v>
      </c>
      <c r="AJ96" s="133">
        <v>0.66666666666666663</v>
      </c>
      <c r="AK96" s="133">
        <f>+AVERAGE(AK97:AK99)</f>
        <v>0.66666666666666663</v>
      </c>
      <c r="AL96" s="133">
        <f>+(AL97+AL98+AL99)*E96</f>
        <v>3.9600000000000003E-2</v>
      </c>
      <c r="AM96" s="133">
        <f>+(AM97+AM98+AM99)</f>
        <v>0.85000000000000009</v>
      </c>
      <c r="AN96" s="133">
        <f>+(AN97+AN98+AN99)</f>
        <v>0.85000000000000009</v>
      </c>
      <c r="AO96" s="545"/>
      <c r="AP96" s="127"/>
      <c r="AQ96" s="127"/>
      <c r="AR96" s="127"/>
      <c r="AS96" s="127"/>
      <c r="AT96" s="564"/>
      <c r="AU96" s="127"/>
      <c r="AV96" s="127"/>
      <c r="AW96" s="121"/>
      <c r="AX96" s="115"/>
      <c r="AY96" s="115"/>
      <c r="AZ96" s="115"/>
      <c r="BA96" s="115"/>
      <c r="BB96" s="115"/>
      <c r="BC96" s="115"/>
      <c r="BD96" s="115"/>
      <c r="BE96" s="115"/>
      <c r="BF96" s="115"/>
      <c r="BG96" s="115"/>
      <c r="BH96" s="115"/>
      <c r="BI96" s="115"/>
      <c r="BJ96" s="115"/>
      <c r="BK96" s="115"/>
      <c r="BL96" s="115"/>
      <c r="BM96" s="115"/>
      <c r="BN96" s="115"/>
      <c r="BO96" s="115"/>
    </row>
    <row r="97" spans="1:67" ht="91.2" customHeight="1" thickBot="1" x14ac:dyDescent="0.4">
      <c r="A97" s="119"/>
      <c r="B97" s="1391" t="s">
        <v>763</v>
      </c>
      <c r="C97" s="1392" t="s">
        <v>1461</v>
      </c>
      <c r="D97" s="164" t="s">
        <v>736</v>
      </c>
      <c r="E97" s="137">
        <v>0.8</v>
      </c>
      <c r="F97" s="138">
        <v>1</v>
      </c>
      <c r="G97" s="134">
        <v>1</v>
      </c>
      <c r="H97" s="134">
        <v>1</v>
      </c>
      <c r="I97" s="134">
        <v>1</v>
      </c>
      <c r="J97" s="139">
        <f>+G97/F97</f>
        <v>1</v>
      </c>
      <c r="K97" s="139">
        <f t="shared" ref="K97:K99" si="108">+H97/F97</f>
        <v>1</v>
      </c>
      <c r="L97" s="139"/>
      <c r="M97" s="139">
        <f>+(G97/F97)*E97</f>
        <v>0.8</v>
      </c>
      <c r="N97" s="139">
        <f t="shared" si="97"/>
        <v>0.8</v>
      </c>
      <c r="O97" s="139"/>
      <c r="P97" s="168">
        <v>1</v>
      </c>
      <c r="Q97" s="497">
        <v>0</v>
      </c>
      <c r="R97" s="497">
        <v>0.47</v>
      </c>
      <c r="S97" s="497">
        <v>0.33</v>
      </c>
      <c r="T97" s="497">
        <v>0.02</v>
      </c>
      <c r="U97" s="497"/>
      <c r="V97" s="168">
        <f t="shared" si="60"/>
        <v>0.82000000000000006</v>
      </c>
      <c r="W97" s="168">
        <f>+V97+P97+AB97</f>
        <v>2.3200000000000003</v>
      </c>
      <c r="X97" s="496">
        <v>0.25</v>
      </c>
      <c r="Y97" s="497">
        <v>0.25</v>
      </c>
      <c r="Z97" s="168"/>
      <c r="AA97" s="168"/>
      <c r="AB97" s="168">
        <f t="shared" si="75"/>
        <v>0.5</v>
      </c>
      <c r="AC97" s="139">
        <f>+(P97/G97)</f>
        <v>1</v>
      </c>
      <c r="AD97" s="139">
        <f t="shared" si="107"/>
        <v>0.82000000000000006</v>
      </c>
      <c r="AE97" s="139">
        <f t="shared" si="105"/>
        <v>0.5</v>
      </c>
      <c r="AF97" s="141">
        <f>+AC97*E97</f>
        <v>0.8</v>
      </c>
      <c r="AG97" s="141">
        <f t="shared" si="106"/>
        <v>0.65600000000000014</v>
      </c>
      <c r="AH97" s="141">
        <f t="shared" si="100"/>
        <v>0.4</v>
      </c>
      <c r="AI97" s="139">
        <f>+(P97/F97)*0.33</f>
        <v>0.33</v>
      </c>
      <c r="AJ97" s="139">
        <v>1</v>
      </c>
      <c r="AK97" s="139">
        <v>1</v>
      </c>
      <c r="AL97" s="139">
        <f>+AI97*E97</f>
        <v>0.26400000000000001</v>
      </c>
      <c r="AM97" s="139">
        <f>+AJ97*E97</f>
        <v>0.8</v>
      </c>
      <c r="AN97" s="156">
        <f t="shared" si="103"/>
        <v>0.8</v>
      </c>
      <c r="AO97" s="521" t="s">
        <v>1844</v>
      </c>
      <c r="AP97" s="506" t="s">
        <v>1934</v>
      </c>
      <c r="AQ97" s="765" t="s">
        <v>1989</v>
      </c>
      <c r="AR97" s="506" t="s">
        <v>2024</v>
      </c>
      <c r="AS97" s="506" t="s">
        <v>2127</v>
      </c>
      <c r="AT97" s="837" t="s">
        <v>2139</v>
      </c>
      <c r="AU97" s="765" t="s">
        <v>2196</v>
      </c>
      <c r="AV97" s="765" t="s">
        <v>1887</v>
      </c>
      <c r="AW97" s="765" t="s">
        <v>2294</v>
      </c>
      <c r="AX97" s="115"/>
      <c r="AY97" s="115"/>
      <c r="AZ97" s="115"/>
      <c r="BA97" s="115"/>
      <c r="BB97" s="115"/>
      <c r="BC97" s="115"/>
      <c r="BD97" s="115"/>
      <c r="BE97" s="115"/>
      <c r="BF97" s="115"/>
      <c r="BG97" s="115"/>
      <c r="BH97" s="115"/>
      <c r="BI97" s="115"/>
      <c r="BJ97" s="115"/>
      <c r="BK97" s="115"/>
      <c r="BL97" s="115"/>
      <c r="BM97" s="115"/>
      <c r="BN97" s="115"/>
      <c r="BO97" s="115"/>
    </row>
    <row r="98" spans="1:67" ht="60.6" customHeight="1" thickBot="1" x14ac:dyDescent="0.4">
      <c r="A98" s="119"/>
      <c r="B98" s="1393" t="s">
        <v>764</v>
      </c>
      <c r="C98" s="1397" t="s">
        <v>1462</v>
      </c>
      <c r="D98" s="158" t="s">
        <v>736</v>
      </c>
      <c r="E98" s="137">
        <v>0.15</v>
      </c>
      <c r="F98" s="138">
        <v>1</v>
      </c>
      <c r="G98" s="134">
        <v>0</v>
      </c>
      <c r="H98" s="134">
        <v>1</v>
      </c>
      <c r="I98" s="134">
        <v>1</v>
      </c>
      <c r="J98" s="139"/>
      <c r="K98" s="139">
        <f t="shared" si="108"/>
        <v>1</v>
      </c>
      <c r="L98" s="139">
        <f t="shared" si="96"/>
        <v>1</v>
      </c>
      <c r="M98" s="139"/>
      <c r="N98" s="139">
        <f>+(H98/F98)*E98</f>
        <v>0.15</v>
      </c>
      <c r="O98" s="139"/>
      <c r="P98" s="134"/>
      <c r="Q98" s="496">
        <v>0</v>
      </c>
      <c r="R98" s="496">
        <v>0</v>
      </c>
      <c r="S98" s="496">
        <v>0</v>
      </c>
      <c r="T98" s="496">
        <v>0</v>
      </c>
      <c r="U98" s="496">
        <v>0</v>
      </c>
      <c r="V98" s="134">
        <f t="shared" si="60"/>
        <v>0</v>
      </c>
      <c r="W98" s="134">
        <f t="shared" si="104"/>
        <v>0</v>
      </c>
      <c r="X98" s="496">
        <v>0</v>
      </c>
      <c r="Y98" s="496">
        <v>0</v>
      </c>
      <c r="Z98" s="134"/>
      <c r="AA98" s="134"/>
      <c r="AB98" s="134">
        <f t="shared" si="75"/>
        <v>0</v>
      </c>
      <c r="AC98" s="139"/>
      <c r="AD98" s="139">
        <f t="shared" si="107"/>
        <v>0</v>
      </c>
      <c r="AE98" s="139">
        <f t="shared" si="105"/>
        <v>0</v>
      </c>
      <c r="AF98" s="141"/>
      <c r="AG98" s="141">
        <f>+AD98*E98</f>
        <v>0</v>
      </c>
      <c r="AH98" s="141">
        <f t="shared" si="100"/>
        <v>0</v>
      </c>
      <c r="AI98" s="139"/>
      <c r="AJ98" s="139">
        <v>0</v>
      </c>
      <c r="AK98" s="139">
        <f t="shared" si="101"/>
        <v>0</v>
      </c>
      <c r="AL98" s="139"/>
      <c r="AM98" s="139">
        <f t="shared" ref="AM98:AM99" si="109">+AJ98*E98</f>
        <v>0</v>
      </c>
      <c r="AN98" s="156">
        <f t="shared" si="103"/>
        <v>0</v>
      </c>
      <c r="AO98" s="521" t="s">
        <v>1844</v>
      </c>
      <c r="AP98" s="766" t="s">
        <v>1886</v>
      </c>
      <c r="AQ98" s="765" t="s">
        <v>1989</v>
      </c>
      <c r="AR98" s="765" t="s">
        <v>2010</v>
      </c>
      <c r="AS98" s="765" t="s">
        <v>2107</v>
      </c>
      <c r="AT98" s="837" t="s">
        <v>2139</v>
      </c>
      <c r="AU98" s="765" t="s">
        <v>2196</v>
      </c>
      <c r="AV98" s="765" t="s">
        <v>1887</v>
      </c>
      <c r="AW98" s="765" t="s">
        <v>2294</v>
      </c>
      <c r="AX98" s="115"/>
      <c r="AY98" s="115"/>
      <c r="AZ98" s="115"/>
      <c r="BA98" s="115"/>
      <c r="BB98" s="115"/>
      <c r="BC98" s="115"/>
      <c r="BD98" s="115"/>
      <c r="BE98" s="115"/>
      <c r="BF98" s="115"/>
      <c r="BG98" s="115"/>
      <c r="BH98" s="115"/>
      <c r="BI98" s="115"/>
      <c r="BJ98" s="115"/>
      <c r="BK98" s="115"/>
      <c r="BL98" s="115"/>
      <c r="BM98" s="115"/>
      <c r="BN98" s="115"/>
      <c r="BO98" s="115"/>
    </row>
    <row r="99" spans="1:67" ht="53.4" customHeight="1" thickBot="1" x14ac:dyDescent="0.4">
      <c r="A99" s="119"/>
      <c r="B99" s="1398" t="s">
        <v>765</v>
      </c>
      <c r="C99" s="1399" t="s">
        <v>1463</v>
      </c>
      <c r="D99" s="164" t="s">
        <v>736</v>
      </c>
      <c r="E99" s="137">
        <v>0.05</v>
      </c>
      <c r="F99" s="138">
        <v>1</v>
      </c>
      <c r="G99" s="134">
        <v>0</v>
      </c>
      <c r="H99" s="134">
        <v>1</v>
      </c>
      <c r="I99" s="134">
        <v>1</v>
      </c>
      <c r="J99" s="139"/>
      <c r="K99" s="139">
        <f t="shared" si="108"/>
        <v>1</v>
      </c>
      <c r="L99" s="139">
        <f>+I99/F99</f>
        <v>1</v>
      </c>
      <c r="M99" s="139"/>
      <c r="N99" s="139">
        <f t="shared" si="97"/>
        <v>0.05</v>
      </c>
      <c r="O99" s="139"/>
      <c r="P99" s="134"/>
      <c r="Q99" s="496">
        <v>0</v>
      </c>
      <c r="R99" s="496">
        <v>0.4</v>
      </c>
      <c r="S99" s="496">
        <v>0.5</v>
      </c>
      <c r="T99" s="496">
        <v>0.1</v>
      </c>
      <c r="U99" s="496">
        <v>0</v>
      </c>
      <c r="V99" s="134">
        <f t="shared" ref="V99:V132" si="110">+Q99+R99+S99+T99+U99</f>
        <v>1</v>
      </c>
      <c r="W99" s="134">
        <f t="shared" si="104"/>
        <v>1</v>
      </c>
      <c r="X99" s="496">
        <v>0</v>
      </c>
      <c r="Y99" s="496">
        <v>0</v>
      </c>
      <c r="Z99" s="134"/>
      <c r="AA99" s="134"/>
      <c r="AB99" s="134">
        <f t="shared" si="75"/>
        <v>0</v>
      </c>
      <c r="AC99" s="139"/>
      <c r="AD99" s="139">
        <v>1</v>
      </c>
      <c r="AE99" s="139">
        <f t="shared" si="105"/>
        <v>0</v>
      </c>
      <c r="AF99" s="141"/>
      <c r="AG99" s="141">
        <f t="shared" si="106"/>
        <v>0.05</v>
      </c>
      <c r="AH99" s="141">
        <f t="shared" si="100"/>
        <v>0</v>
      </c>
      <c r="AI99" s="139"/>
      <c r="AJ99" s="139">
        <v>1</v>
      </c>
      <c r="AK99" s="139">
        <f t="shared" si="101"/>
        <v>1</v>
      </c>
      <c r="AL99" s="139"/>
      <c r="AM99" s="139">
        <f t="shared" si="109"/>
        <v>0.05</v>
      </c>
      <c r="AN99" s="156">
        <f t="shared" si="103"/>
        <v>0.05</v>
      </c>
      <c r="AO99" s="521" t="s">
        <v>1844</v>
      </c>
      <c r="AP99" s="766" t="s">
        <v>1886</v>
      </c>
      <c r="AQ99" s="765" t="s">
        <v>1989</v>
      </c>
      <c r="AR99" s="765" t="s">
        <v>2010</v>
      </c>
      <c r="AS99" s="127"/>
      <c r="AT99" s="837" t="s">
        <v>2158</v>
      </c>
      <c r="AU99" s="765" t="s">
        <v>2196</v>
      </c>
      <c r="AV99" s="765" t="s">
        <v>1887</v>
      </c>
      <c r="AW99" s="765" t="s">
        <v>2294</v>
      </c>
      <c r="AX99" s="115"/>
      <c r="AY99" s="115"/>
      <c r="AZ99" s="115"/>
      <c r="BA99" s="115"/>
      <c r="BB99" s="115"/>
      <c r="BC99" s="115"/>
      <c r="BD99" s="115"/>
      <c r="BE99" s="115"/>
      <c r="BF99" s="115"/>
      <c r="BG99" s="115"/>
      <c r="BH99" s="115"/>
      <c r="BI99" s="115"/>
      <c r="BJ99" s="115"/>
      <c r="BK99" s="115"/>
      <c r="BL99" s="115"/>
      <c r="BM99" s="115"/>
      <c r="BN99" s="115"/>
      <c r="BO99" s="115"/>
    </row>
    <row r="100" spans="1:67" ht="78" customHeight="1" thickBot="1" x14ac:dyDescent="0.4">
      <c r="A100" s="119"/>
      <c r="B100" s="1382" t="s">
        <v>1796</v>
      </c>
      <c r="C100" s="1383"/>
      <c r="D100" s="158"/>
      <c r="E100" s="122">
        <v>0.1</v>
      </c>
      <c r="F100" s="123">
        <f>+E100*AF100</f>
        <v>5.6500000000000009E-2</v>
      </c>
      <c r="G100" s="127"/>
      <c r="H100" s="123">
        <f>+E100*AG100</f>
        <v>7.1039293361884373E-2</v>
      </c>
      <c r="I100" s="123">
        <f>+E100*AH100</f>
        <v>3.059654545454546E-2</v>
      </c>
      <c r="J100" s="125">
        <f>+(J101+J107+J117)/3</f>
        <v>0.17360979649420338</v>
      </c>
      <c r="K100" s="125">
        <f>+(K101+K107+K117)/3</f>
        <v>0.38970610582327403</v>
      </c>
      <c r="L100" s="125">
        <f>+(L101+L107+L117)/3</f>
        <v>0.30707770114258542</v>
      </c>
      <c r="M100" s="126">
        <f>+(M101+M107+M117)/3</f>
        <v>9.382477763087127E-2</v>
      </c>
      <c r="N100" s="126">
        <f>+(N101+N107+N117)/3</f>
        <v>0.32245386743248144</v>
      </c>
      <c r="O100" s="126"/>
      <c r="P100" s="127"/>
      <c r="Q100" s="127"/>
      <c r="R100" s="127"/>
      <c r="S100" s="127"/>
      <c r="T100" s="127"/>
      <c r="U100" s="835"/>
      <c r="V100" s="819"/>
      <c r="W100" s="127"/>
      <c r="X100" s="127"/>
      <c r="Y100" s="127"/>
      <c r="Z100" s="127"/>
      <c r="AA100" s="127"/>
      <c r="AB100" s="127"/>
      <c r="AC100" s="125">
        <f>+(AC101+AC107+AC117)/3</f>
        <v>1</v>
      </c>
      <c r="AD100" s="125">
        <f>+(AD101+AD107+AD117)/3</f>
        <v>0.78319057815845816</v>
      </c>
      <c r="AE100" s="125">
        <f>+(AE101+AE107+AE117)/3</f>
        <v>0.35661616161616166</v>
      </c>
      <c r="AF100" s="126">
        <f>AF101+AF107+AF117</f>
        <v>0.56500000000000006</v>
      </c>
      <c r="AG100" s="126">
        <f>AG101+AG107+AG117</f>
        <v>0.7103929336188437</v>
      </c>
      <c r="AH100" s="126">
        <f>AH101+AH107+AH117</f>
        <v>0.3059654545454546</v>
      </c>
      <c r="AI100" s="125">
        <f>(AI101+AI107+AI117)/3</f>
        <v>0.19428158691255218</v>
      </c>
      <c r="AJ100" s="125">
        <v>0.40940952229628164</v>
      </c>
      <c r="AK100" s="125">
        <f>(AK101+AK107+AK117)/3</f>
        <v>0.63463013316148098</v>
      </c>
      <c r="AL100" s="126">
        <f>AL101+AL107+AL117</f>
        <v>0.10879627598215055</v>
      </c>
      <c r="AM100" s="126">
        <f>AM101*E101+AM107*E107+AM117*AJ117</f>
        <v>0.45634263977502848</v>
      </c>
      <c r="AN100" s="126">
        <f>AN101*E101+AN107*E107+AN117*E117</f>
        <v>0.50565623745173627</v>
      </c>
      <c r="AO100" s="545"/>
      <c r="AP100" s="127"/>
      <c r="AQ100" s="127"/>
      <c r="AR100" s="127"/>
      <c r="AS100" s="127"/>
      <c r="AT100" s="564"/>
      <c r="AU100" s="127"/>
      <c r="AV100" s="127"/>
      <c r="AW100" s="121"/>
      <c r="AX100" s="115"/>
      <c r="AY100" s="115"/>
      <c r="AZ100" s="115"/>
      <c r="BA100" s="115"/>
      <c r="BB100" s="115"/>
      <c r="BC100" s="115"/>
      <c r="BD100" s="115"/>
      <c r="BE100" s="115"/>
      <c r="BF100" s="115"/>
      <c r="BG100" s="115"/>
      <c r="BH100" s="115"/>
      <c r="BI100" s="115"/>
      <c r="BJ100" s="115"/>
      <c r="BK100" s="115"/>
      <c r="BL100" s="115"/>
      <c r="BM100" s="115"/>
      <c r="BN100" s="115"/>
      <c r="BO100" s="115"/>
    </row>
    <row r="101" spans="1:67" ht="72" customHeight="1" thickBot="1" x14ac:dyDescent="0.4">
      <c r="A101" s="119"/>
      <c r="B101" s="1384" t="s">
        <v>1715</v>
      </c>
      <c r="C101" s="1385"/>
      <c r="D101" s="159"/>
      <c r="E101" s="130">
        <v>0.25</v>
      </c>
      <c r="F101" s="149"/>
      <c r="G101" s="134"/>
      <c r="H101" s="134"/>
      <c r="I101" s="134"/>
      <c r="J101" s="133">
        <f>+AVERAGE(J102:J106)</f>
        <v>0.17798528579513301</v>
      </c>
      <c r="K101" s="133">
        <f>+AVERAGE(K102:K106)</f>
        <v>0.28952461799660439</v>
      </c>
      <c r="L101" s="133">
        <f>+AVERAGE(L102:L106)</f>
        <v>0.25646859083191847</v>
      </c>
      <c r="M101" s="133">
        <f>+M102+M103+M104+M105+M106</f>
        <v>0.17798528579513301</v>
      </c>
      <c r="N101" s="133">
        <f>+N102+N103+N104+N105+N106</f>
        <v>0.28952461799660439</v>
      </c>
      <c r="O101" s="133"/>
      <c r="P101" s="134"/>
      <c r="Q101" s="134"/>
      <c r="R101" s="134"/>
      <c r="S101" s="134"/>
      <c r="T101" s="134"/>
      <c r="U101" s="690"/>
      <c r="V101" s="134"/>
      <c r="W101" s="134"/>
      <c r="X101" s="134"/>
      <c r="Y101" s="134"/>
      <c r="Z101" s="134"/>
      <c r="AA101" s="134"/>
      <c r="AB101" s="134"/>
      <c r="AC101" s="154">
        <f>+AVERAGE(AC102:AC106)</f>
        <v>1</v>
      </c>
      <c r="AD101" s="154">
        <f>+AVERAGE(AD102:AD106)</f>
        <v>0.99957173447537462</v>
      </c>
      <c r="AE101" s="154">
        <f>+AVERAGE(AE102:AE106)</f>
        <v>0.50818181818181818</v>
      </c>
      <c r="AF101" s="154">
        <f>+(AF102+AF103+AF104+AF105+AF106)*E101</f>
        <v>0.25</v>
      </c>
      <c r="AG101" s="154">
        <f>+(AG102+AG103+AG104+AG105+AG106)*E101</f>
        <v>0.24989293361884368</v>
      </c>
      <c r="AH101" s="154">
        <f>+(AH102+AH103+AH104+AH105+AH106)*E101</f>
        <v>0.12704545454545454</v>
      </c>
      <c r="AI101" s="133">
        <f>+AVERAGE(AI102:AI106)</f>
        <v>0.17866440294284094</v>
      </c>
      <c r="AJ101" s="133">
        <v>0.46807583474816078</v>
      </c>
      <c r="AK101" s="133">
        <f>+AVERAGE(AK102:AK106)</f>
        <v>0.61125014148273915</v>
      </c>
      <c r="AL101" s="133">
        <f>+(AL102+AL103+AL104+AL105+AL106)*E101</f>
        <v>4.4666100735710243E-2</v>
      </c>
      <c r="AM101" s="133">
        <f>+(AM102+AM103+AM104+AM105+AM106)</f>
        <v>0.46807583474816072</v>
      </c>
      <c r="AN101" s="133">
        <f>+(AN102+AN103+AN104+AN105+AN106)</f>
        <v>0.61125014148273915</v>
      </c>
      <c r="AO101" s="545"/>
      <c r="AP101" s="127"/>
      <c r="AQ101" s="127"/>
      <c r="AR101" s="127"/>
      <c r="AS101" s="127"/>
      <c r="AT101" s="564"/>
      <c r="AU101" s="127"/>
      <c r="AV101" s="127"/>
      <c r="AW101" s="121"/>
      <c r="AX101" s="115"/>
      <c r="AY101" s="115"/>
      <c r="AZ101" s="115"/>
      <c r="BA101" s="115"/>
      <c r="BB101" s="115"/>
      <c r="BC101" s="115"/>
      <c r="BD101" s="115"/>
      <c r="BE101" s="115"/>
      <c r="BF101" s="115"/>
      <c r="BG101" s="115"/>
      <c r="BH101" s="115"/>
      <c r="BI101" s="115"/>
      <c r="BJ101" s="115"/>
      <c r="BK101" s="115"/>
      <c r="BL101" s="115"/>
      <c r="BM101" s="115"/>
      <c r="BN101" s="115"/>
      <c r="BO101" s="115"/>
    </row>
    <row r="102" spans="1:67" ht="58.8" customHeight="1" thickBot="1" x14ac:dyDescent="0.4">
      <c r="A102" s="119"/>
      <c r="B102" s="1391" t="s">
        <v>766</v>
      </c>
      <c r="C102" s="1392" t="s">
        <v>1464</v>
      </c>
      <c r="D102" s="161" t="s">
        <v>767</v>
      </c>
      <c r="E102" s="137">
        <v>0.2</v>
      </c>
      <c r="F102" s="138">
        <v>10</v>
      </c>
      <c r="G102" s="134">
        <v>1</v>
      </c>
      <c r="H102" s="134">
        <v>3</v>
      </c>
      <c r="I102" s="134">
        <v>2</v>
      </c>
      <c r="J102" s="139">
        <f>+G102/F102</f>
        <v>0.1</v>
      </c>
      <c r="K102" s="139">
        <f t="shared" ref="K102:K106" si="111">+H102/F102</f>
        <v>0.3</v>
      </c>
      <c r="L102" s="139">
        <f t="shared" ref="L102:L123" si="112">+I102/F102</f>
        <v>0.2</v>
      </c>
      <c r="M102" s="139">
        <f>+(G102/F102)*E102</f>
        <v>2.0000000000000004E-2</v>
      </c>
      <c r="N102" s="139">
        <f t="shared" ref="N102:N106" si="113">+(H102/F102)*E102</f>
        <v>0.06</v>
      </c>
      <c r="O102" s="139"/>
      <c r="P102" s="134">
        <v>1</v>
      </c>
      <c r="Q102" s="496">
        <v>0</v>
      </c>
      <c r="R102" s="496">
        <v>1</v>
      </c>
      <c r="S102" s="496">
        <v>0</v>
      </c>
      <c r="T102" s="496">
        <v>2</v>
      </c>
      <c r="U102" s="496">
        <v>0</v>
      </c>
      <c r="V102" s="134">
        <f t="shared" si="110"/>
        <v>3</v>
      </c>
      <c r="W102" s="134">
        <f>+V102+P102+AB102</f>
        <v>4</v>
      </c>
      <c r="X102" s="496">
        <v>0</v>
      </c>
      <c r="Y102" s="496">
        <v>0</v>
      </c>
      <c r="Z102" s="134"/>
      <c r="AA102" s="134"/>
      <c r="AB102" s="134">
        <f t="shared" ref="AB102:AB123" si="114">+X102+Y102+Z102+AA102</f>
        <v>0</v>
      </c>
      <c r="AC102" s="156">
        <f>+(P102/G102)</f>
        <v>1</v>
      </c>
      <c r="AD102" s="156">
        <f t="shared" ref="AD102:AD104" si="115">+V102/H102</f>
        <v>1</v>
      </c>
      <c r="AE102" s="156">
        <f t="shared" ref="AE102:AE123" si="116">+AB102/I102</f>
        <v>0</v>
      </c>
      <c r="AF102" s="156">
        <f>+AC102*E102</f>
        <v>0.2</v>
      </c>
      <c r="AG102" s="156">
        <f t="shared" ref="AG102:AG106" si="117">+AD102*E102</f>
        <v>0.2</v>
      </c>
      <c r="AH102" s="156">
        <f t="shared" ref="AH102:AH123" si="118">+AE102*E102</f>
        <v>0</v>
      </c>
      <c r="AI102" s="156">
        <f>+P102/F102</f>
        <v>0.1</v>
      </c>
      <c r="AJ102" s="156">
        <v>0.4</v>
      </c>
      <c r="AK102" s="156">
        <f t="shared" ref="AK102:AK123" si="119">+W102/F102</f>
        <v>0.4</v>
      </c>
      <c r="AL102" s="156">
        <f>+AI102*E102</f>
        <v>2.0000000000000004E-2</v>
      </c>
      <c r="AM102" s="156">
        <f>+AJ102*E102</f>
        <v>8.0000000000000016E-2</v>
      </c>
      <c r="AN102" s="156">
        <f t="shared" ref="AN102:AN123" si="120">+AK102*E102</f>
        <v>8.0000000000000016E-2</v>
      </c>
      <c r="AO102" s="521" t="s">
        <v>1844</v>
      </c>
      <c r="AP102" s="766" t="s">
        <v>1886</v>
      </c>
      <c r="AQ102" s="765" t="s">
        <v>1989</v>
      </c>
      <c r="AR102" s="765" t="s">
        <v>2010</v>
      </c>
      <c r="AS102" s="765" t="s">
        <v>2107</v>
      </c>
      <c r="AT102" s="837" t="s">
        <v>2139</v>
      </c>
      <c r="AU102" s="765" t="s">
        <v>2196</v>
      </c>
      <c r="AV102" s="765" t="s">
        <v>1887</v>
      </c>
      <c r="AW102" s="765" t="s">
        <v>2294</v>
      </c>
      <c r="AX102" s="115"/>
      <c r="AY102" s="115"/>
      <c r="AZ102" s="115"/>
      <c r="BA102" s="115"/>
      <c r="BB102" s="115"/>
      <c r="BC102" s="115"/>
      <c r="BD102" s="115"/>
      <c r="BE102" s="115"/>
      <c r="BF102" s="115"/>
      <c r="BG102" s="115"/>
      <c r="BH102" s="115"/>
      <c r="BI102" s="115"/>
      <c r="BJ102" s="115"/>
      <c r="BK102" s="115"/>
      <c r="BL102" s="115"/>
      <c r="BM102" s="115"/>
      <c r="BN102" s="115"/>
      <c r="BO102" s="115"/>
    </row>
    <row r="103" spans="1:67" ht="66.599999999999994" customHeight="1" thickBot="1" x14ac:dyDescent="0.4">
      <c r="A103" s="119"/>
      <c r="B103" s="1393" t="s">
        <v>768</v>
      </c>
      <c r="C103" s="1397" t="s">
        <v>1465</v>
      </c>
      <c r="D103" s="158" t="s">
        <v>767</v>
      </c>
      <c r="E103" s="137">
        <v>0.2</v>
      </c>
      <c r="F103" s="138">
        <v>1767</v>
      </c>
      <c r="G103" s="134">
        <v>100</v>
      </c>
      <c r="H103" s="134">
        <v>467</v>
      </c>
      <c r="I103" s="134">
        <v>440</v>
      </c>
      <c r="J103" s="139">
        <f>+G103/F103</f>
        <v>5.6593095642331635E-2</v>
      </c>
      <c r="K103" s="139">
        <f t="shared" si="111"/>
        <v>0.26428975664968873</v>
      </c>
      <c r="L103" s="139">
        <f t="shared" si="112"/>
        <v>0.24900962082625919</v>
      </c>
      <c r="M103" s="139">
        <f>+(G103/F103)*E103</f>
        <v>1.1318619128466328E-2</v>
      </c>
      <c r="N103" s="139">
        <f t="shared" si="113"/>
        <v>5.2857951329937751E-2</v>
      </c>
      <c r="O103" s="139"/>
      <c r="P103" s="134">
        <v>106</v>
      </c>
      <c r="Q103" s="496">
        <v>78</v>
      </c>
      <c r="R103" s="496">
        <v>140</v>
      </c>
      <c r="S103" s="496">
        <v>0</v>
      </c>
      <c r="T103" s="496">
        <v>184</v>
      </c>
      <c r="U103" s="496">
        <v>64</v>
      </c>
      <c r="V103" s="134">
        <f t="shared" si="110"/>
        <v>466</v>
      </c>
      <c r="W103" s="134">
        <f t="shared" ref="W103:W123" si="121">+V103+P103+AB103</f>
        <v>656</v>
      </c>
      <c r="X103" s="496">
        <v>0</v>
      </c>
      <c r="Y103" s="496">
        <v>84</v>
      </c>
      <c r="Z103" s="134"/>
      <c r="AA103" s="134"/>
      <c r="AB103" s="134">
        <f t="shared" si="114"/>
        <v>84</v>
      </c>
      <c r="AC103" s="156">
        <v>1</v>
      </c>
      <c r="AD103" s="156">
        <f t="shared" si="115"/>
        <v>0.99785867237687365</v>
      </c>
      <c r="AE103" s="156">
        <f t="shared" si="116"/>
        <v>0.19090909090909092</v>
      </c>
      <c r="AF103" s="156">
        <f>+AC103*E103</f>
        <v>0.2</v>
      </c>
      <c r="AG103" s="156">
        <f t="shared" si="117"/>
        <v>0.19957173447537474</v>
      </c>
      <c r="AH103" s="156">
        <f t="shared" si="118"/>
        <v>3.8181818181818185E-2</v>
      </c>
      <c r="AI103" s="156">
        <f>+P103/F103</f>
        <v>5.9988681380871531E-2</v>
      </c>
      <c r="AJ103" s="156">
        <v>0.32371250707413696</v>
      </c>
      <c r="AK103" s="156">
        <f t="shared" si="119"/>
        <v>0.37125070741369554</v>
      </c>
      <c r="AL103" s="156">
        <f>+AI103*E103</f>
        <v>1.1997736276174308E-2</v>
      </c>
      <c r="AM103" s="156">
        <f>+AJ103*E103</f>
        <v>6.4742501414827389E-2</v>
      </c>
      <c r="AN103" s="156">
        <f t="shared" si="120"/>
        <v>7.4250141482739104E-2</v>
      </c>
      <c r="AO103" s="521" t="s">
        <v>1844</v>
      </c>
      <c r="AP103" s="766" t="s">
        <v>1886</v>
      </c>
      <c r="AQ103" s="765" t="s">
        <v>1989</v>
      </c>
      <c r="AR103" s="765" t="s">
        <v>2010</v>
      </c>
      <c r="AS103" s="765" t="s">
        <v>2107</v>
      </c>
      <c r="AT103" s="837" t="s">
        <v>2139</v>
      </c>
      <c r="AU103" s="765" t="s">
        <v>2196</v>
      </c>
      <c r="AV103" s="765" t="s">
        <v>1887</v>
      </c>
      <c r="AW103" s="765" t="s">
        <v>2294</v>
      </c>
      <c r="AX103" s="115"/>
      <c r="AY103" s="115"/>
      <c r="AZ103" s="115"/>
      <c r="BA103" s="115"/>
      <c r="BB103" s="115"/>
      <c r="BC103" s="115"/>
      <c r="BD103" s="115"/>
      <c r="BE103" s="115"/>
      <c r="BF103" s="115"/>
      <c r="BG103" s="115"/>
      <c r="BH103" s="115"/>
      <c r="BI103" s="115"/>
      <c r="BJ103" s="115"/>
      <c r="BK103" s="115"/>
      <c r="BL103" s="115"/>
      <c r="BM103" s="115"/>
      <c r="BN103" s="115"/>
      <c r="BO103" s="115"/>
    </row>
    <row r="104" spans="1:67" ht="65.400000000000006" customHeight="1" thickBot="1" x14ac:dyDescent="0.4">
      <c r="A104" s="119"/>
      <c r="B104" s="1393" t="s">
        <v>769</v>
      </c>
      <c r="C104" s="1397" t="s">
        <v>1466</v>
      </c>
      <c r="D104" s="158" t="s">
        <v>767</v>
      </c>
      <c r="E104" s="137">
        <v>0.2</v>
      </c>
      <c r="F104" s="138">
        <v>200</v>
      </c>
      <c r="G104" s="134">
        <v>20</v>
      </c>
      <c r="H104" s="134">
        <v>60</v>
      </c>
      <c r="I104" s="134">
        <v>60</v>
      </c>
      <c r="J104" s="139">
        <f>+G104/F104</f>
        <v>0.1</v>
      </c>
      <c r="K104" s="139">
        <f t="shared" si="111"/>
        <v>0.3</v>
      </c>
      <c r="L104" s="139">
        <f t="shared" si="112"/>
        <v>0.3</v>
      </c>
      <c r="M104" s="139">
        <f>+(G104/F104)*E104</f>
        <v>2.0000000000000004E-2</v>
      </c>
      <c r="N104" s="139">
        <f t="shared" si="113"/>
        <v>0.06</v>
      </c>
      <c r="O104" s="139"/>
      <c r="P104" s="134">
        <v>20</v>
      </c>
      <c r="Q104" s="496">
        <v>33</v>
      </c>
      <c r="R104" s="496">
        <v>27</v>
      </c>
      <c r="S104" s="496">
        <v>0</v>
      </c>
      <c r="T104" s="496">
        <v>0</v>
      </c>
      <c r="U104" s="496">
        <v>0</v>
      </c>
      <c r="V104" s="134">
        <f t="shared" si="110"/>
        <v>60</v>
      </c>
      <c r="W104" s="134">
        <f t="shared" si="121"/>
        <v>119</v>
      </c>
      <c r="X104" s="496">
        <v>0</v>
      </c>
      <c r="Y104" s="496">
        <v>39</v>
      </c>
      <c r="Z104" s="134"/>
      <c r="AA104" s="134"/>
      <c r="AB104" s="134">
        <f t="shared" si="114"/>
        <v>39</v>
      </c>
      <c r="AC104" s="156">
        <f>+(P104/G104)</f>
        <v>1</v>
      </c>
      <c r="AD104" s="156">
        <f t="shared" si="115"/>
        <v>1</v>
      </c>
      <c r="AE104" s="156">
        <f t="shared" si="116"/>
        <v>0.65</v>
      </c>
      <c r="AF104" s="156">
        <f>+AC104*E104</f>
        <v>0.2</v>
      </c>
      <c r="AG104" s="156">
        <f t="shared" si="117"/>
        <v>0.2</v>
      </c>
      <c r="AH104" s="156">
        <f t="shared" si="118"/>
        <v>0.13</v>
      </c>
      <c r="AI104" s="156">
        <f>+P104/F104</f>
        <v>0.1</v>
      </c>
      <c r="AJ104" s="156">
        <v>0.4</v>
      </c>
      <c r="AK104" s="156">
        <f t="shared" si="119"/>
        <v>0.59499999999999997</v>
      </c>
      <c r="AL104" s="156">
        <f>+AI104*E104</f>
        <v>2.0000000000000004E-2</v>
      </c>
      <c r="AM104" s="156">
        <f>+AJ104*E104</f>
        <v>8.0000000000000016E-2</v>
      </c>
      <c r="AN104" s="156">
        <f t="shared" si="120"/>
        <v>0.11899999999999999</v>
      </c>
      <c r="AO104" s="521" t="s">
        <v>1844</v>
      </c>
      <c r="AP104" s="766" t="s">
        <v>1886</v>
      </c>
      <c r="AQ104" s="765" t="s">
        <v>1989</v>
      </c>
      <c r="AR104" s="765" t="s">
        <v>2010</v>
      </c>
      <c r="AS104" s="765" t="s">
        <v>2107</v>
      </c>
      <c r="AT104" s="837" t="s">
        <v>2139</v>
      </c>
      <c r="AU104" s="765" t="s">
        <v>2196</v>
      </c>
      <c r="AV104" s="765" t="s">
        <v>1887</v>
      </c>
      <c r="AW104" s="765" t="s">
        <v>2294</v>
      </c>
      <c r="AX104" s="115"/>
      <c r="AY104" s="115"/>
      <c r="AZ104" s="115"/>
      <c r="BA104" s="115"/>
      <c r="BB104" s="115"/>
      <c r="BC104" s="115"/>
      <c r="BD104" s="115"/>
      <c r="BE104" s="115"/>
      <c r="BF104" s="115"/>
      <c r="BG104" s="115"/>
      <c r="BH104" s="115"/>
      <c r="BI104" s="115"/>
      <c r="BJ104" s="115"/>
      <c r="BK104" s="115"/>
      <c r="BL104" s="115"/>
      <c r="BM104" s="115"/>
      <c r="BN104" s="115"/>
      <c r="BO104" s="115"/>
    </row>
    <row r="105" spans="1:67" ht="51" customHeight="1" thickBot="1" x14ac:dyDescent="0.4">
      <c r="A105" s="119"/>
      <c r="B105" s="1400" t="s">
        <v>770</v>
      </c>
      <c r="C105" s="1401" t="s">
        <v>1467</v>
      </c>
      <c r="D105" s="159" t="s">
        <v>767</v>
      </c>
      <c r="E105" s="137">
        <v>0.2</v>
      </c>
      <c r="F105" s="138">
        <v>100</v>
      </c>
      <c r="G105" s="134">
        <v>30</v>
      </c>
      <c r="H105" s="134">
        <v>25</v>
      </c>
      <c r="I105" s="134">
        <v>20</v>
      </c>
      <c r="J105" s="139">
        <f>+G105/F105</f>
        <v>0.3</v>
      </c>
      <c r="K105" s="139">
        <f t="shared" si="111"/>
        <v>0.25</v>
      </c>
      <c r="L105" s="139">
        <f t="shared" si="112"/>
        <v>0.2</v>
      </c>
      <c r="M105" s="139">
        <f>+(G105/F105)*E105</f>
        <v>0.06</v>
      </c>
      <c r="N105" s="139">
        <f t="shared" si="113"/>
        <v>0.05</v>
      </c>
      <c r="O105" s="139"/>
      <c r="P105" s="134">
        <v>30</v>
      </c>
      <c r="Q105" s="496">
        <v>10</v>
      </c>
      <c r="R105" s="496">
        <v>15</v>
      </c>
      <c r="S105" s="496">
        <v>0</v>
      </c>
      <c r="T105" s="496">
        <v>0</v>
      </c>
      <c r="U105" s="496">
        <v>0</v>
      </c>
      <c r="V105" s="134">
        <f t="shared" si="110"/>
        <v>25</v>
      </c>
      <c r="W105" s="134">
        <f t="shared" si="121"/>
        <v>69</v>
      </c>
      <c r="X105" s="496">
        <v>0</v>
      </c>
      <c r="Y105" s="496">
        <v>14</v>
      </c>
      <c r="Z105" s="134"/>
      <c r="AA105" s="134"/>
      <c r="AB105" s="134">
        <f t="shared" si="114"/>
        <v>14</v>
      </c>
      <c r="AC105" s="156">
        <f>+(P105/G105)</f>
        <v>1</v>
      </c>
      <c r="AD105" s="156">
        <v>1</v>
      </c>
      <c r="AE105" s="156">
        <f>+AB105/I105</f>
        <v>0.7</v>
      </c>
      <c r="AF105" s="156">
        <f>+AC105*E105</f>
        <v>0.2</v>
      </c>
      <c r="AG105" s="156">
        <f>+AD105*E105</f>
        <v>0.2</v>
      </c>
      <c r="AH105" s="156">
        <f>+AE105*E105</f>
        <v>0.13999999999999999</v>
      </c>
      <c r="AI105" s="156">
        <f>+P105/F105</f>
        <v>0.3</v>
      </c>
      <c r="AJ105" s="156">
        <v>0.55000000000000004</v>
      </c>
      <c r="AK105" s="156">
        <f t="shared" si="119"/>
        <v>0.69</v>
      </c>
      <c r="AL105" s="156">
        <f>+AI105*E105</f>
        <v>0.06</v>
      </c>
      <c r="AM105" s="156">
        <f>+AJ105*E105</f>
        <v>0.11000000000000001</v>
      </c>
      <c r="AN105" s="156">
        <f t="shared" si="120"/>
        <v>0.13799999999999998</v>
      </c>
      <c r="AO105" s="521" t="s">
        <v>1844</v>
      </c>
      <c r="AP105" s="766" t="s">
        <v>1886</v>
      </c>
      <c r="AQ105" s="765" t="s">
        <v>1989</v>
      </c>
      <c r="AR105" s="765" t="s">
        <v>2010</v>
      </c>
      <c r="AS105" s="765" t="s">
        <v>2107</v>
      </c>
      <c r="AT105" s="837" t="s">
        <v>2139</v>
      </c>
      <c r="AU105" s="765" t="s">
        <v>2196</v>
      </c>
      <c r="AV105" s="765" t="s">
        <v>1887</v>
      </c>
      <c r="AW105" s="765" t="s">
        <v>2294</v>
      </c>
      <c r="AX105" s="115"/>
      <c r="AY105" s="115"/>
      <c r="AZ105" s="115"/>
      <c r="BA105" s="115"/>
      <c r="BB105" s="115"/>
      <c r="BC105" s="115"/>
      <c r="BD105" s="115"/>
      <c r="BE105" s="115"/>
      <c r="BF105" s="115"/>
      <c r="BG105" s="115"/>
      <c r="BH105" s="115"/>
      <c r="BI105" s="115"/>
      <c r="BJ105" s="115"/>
      <c r="BK105" s="115"/>
      <c r="BL105" s="115"/>
      <c r="BM105" s="115"/>
      <c r="BN105" s="115"/>
      <c r="BO105" s="115"/>
    </row>
    <row r="106" spans="1:67" ht="78" customHeight="1" thickBot="1" x14ac:dyDescent="0.4">
      <c r="A106" s="119"/>
      <c r="B106" s="1391" t="s">
        <v>771</v>
      </c>
      <c r="C106" s="1392" t="s">
        <v>1468</v>
      </c>
      <c r="D106" s="161" t="s">
        <v>767</v>
      </c>
      <c r="E106" s="137">
        <v>0.2</v>
      </c>
      <c r="F106" s="138">
        <v>3</v>
      </c>
      <c r="G106" s="134">
        <v>1</v>
      </c>
      <c r="H106" s="134">
        <v>1</v>
      </c>
      <c r="I106" s="134">
        <v>1</v>
      </c>
      <c r="J106" s="139">
        <f>+G106/F106</f>
        <v>0.33333333333333331</v>
      </c>
      <c r="K106" s="139">
        <f t="shared" si="111"/>
        <v>0.33333333333333331</v>
      </c>
      <c r="L106" s="139">
        <f t="shared" si="112"/>
        <v>0.33333333333333331</v>
      </c>
      <c r="M106" s="139">
        <f>+(G106/F106)*E106</f>
        <v>6.6666666666666666E-2</v>
      </c>
      <c r="N106" s="139">
        <f t="shared" si="113"/>
        <v>6.6666666666666666E-2</v>
      </c>
      <c r="O106" s="139"/>
      <c r="P106" s="134">
        <v>1</v>
      </c>
      <c r="Q106" s="496">
        <v>1</v>
      </c>
      <c r="R106" s="496">
        <v>0</v>
      </c>
      <c r="S106" s="496">
        <v>0</v>
      </c>
      <c r="T106" s="496">
        <v>0</v>
      </c>
      <c r="U106" s="496">
        <v>0</v>
      </c>
      <c r="V106" s="134">
        <f t="shared" si="110"/>
        <v>1</v>
      </c>
      <c r="W106" s="134">
        <f t="shared" si="121"/>
        <v>3</v>
      </c>
      <c r="X106" s="496">
        <v>1</v>
      </c>
      <c r="Y106" s="496">
        <v>0</v>
      </c>
      <c r="Z106" s="134"/>
      <c r="AA106" s="134"/>
      <c r="AB106" s="134">
        <f t="shared" si="114"/>
        <v>1</v>
      </c>
      <c r="AC106" s="156">
        <f>+(P106/G106)</f>
        <v>1</v>
      </c>
      <c r="AD106" s="156">
        <v>1</v>
      </c>
      <c r="AE106" s="156">
        <f t="shared" si="116"/>
        <v>1</v>
      </c>
      <c r="AF106" s="156">
        <f>+AC106*E106</f>
        <v>0.2</v>
      </c>
      <c r="AG106" s="156">
        <f t="shared" si="117"/>
        <v>0.2</v>
      </c>
      <c r="AH106" s="156">
        <f t="shared" si="118"/>
        <v>0.2</v>
      </c>
      <c r="AI106" s="156">
        <f>+P106/F106</f>
        <v>0.33333333333333331</v>
      </c>
      <c r="AJ106" s="156">
        <v>0.66666666666666663</v>
      </c>
      <c r="AK106" s="156">
        <f t="shared" si="119"/>
        <v>1</v>
      </c>
      <c r="AL106" s="156">
        <f>+AI106*E106</f>
        <v>6.6666666666666666E-2</v>
      </c>
      <c r="AM106" s="156">
        <f>+AJ106*E106</f>
        <v>0.13333333333333333</v>
      </c>
      <c r="AN106" s="156">
        <f t="shared" si="120"/>
        <v>0.2</v>
      </c>
      <c r="AO106" s="521" t="s">
        <v>1844</v>
      </c>
      <c r="AP106" s="766" t="s">
        <v>1886</v>
      </c>
      <c r="AQ106" s="765" t="s">
        <v>1989</v>
      </c>
      <c r="AR106" s="765" t="s">
        <v>2010</v>
      </c>
      <c r="AS106" s="765" t="s">
        <v>2107</v>
      </c>
      <c r="AT106" s="837" t="s">
        <v>2139</v>
      </c>
      <c r="AU106" s="765" t="s">
        <v>2196</v>
      </c>
      <c r="AV106" s="765" t="s">
        <v>1887</v>
      </c>
      <c r="AW106" s="765" t="s">
        <v>2294</v>
      </c>
      <c r="AX106" s="115"/>
      <c r="AY106" s="115"/>
      <c r="AZ106" s="115"/>
      <c r="BA106" s="115"/>
      <c r="BB106" s="115"/>
      <c r="BC106" s="115"/>
      <c r="BD106" s="115"/>
      <c r="BE106" s="115"/>
      <c r="BF106" s="115"/>
      <c r="BG106" s="115"/>
      <c r="BH106" s="115"/>
      <c r="BI106" s="115"/>
      <c r="BJ106" s="115"/>
      <c r="BK106" s="115"/>
      <c r="BL106" s="115"/>
      <c r="BM106" s="115"/>
      <c r="BN106" s="115"/>
      <c r="BO106" s="115"/>
    </row>
    <row r="107" spans="1:67" ht="129" customHeight="1" thickBot="1" x14ac:dyDescent="0.4">
      <c r="A107" s="119"/>
      <c r="B107" s="1386" t="s">
        <v>1716</v>
      </c>
      <c r="C107" s="1383"/>
      <c r="D107" s="158"/>
      <c r="E107" s="130">
        <v>0.45</v>
      </c>
      <c r="F107" s="149"/>
      <c r="G107" s="134"/>
      <c r="H107" s="134"/>
      <c r="I107" s="134"/>
      <c r="J107" s="133">
        <f>+AVERAGE(J108:J116)</f>
        <v>9.2844103687477184E-2</v>
      </c>
      <c r="K107" s="133">
        <f>+AVERAGE(K108:K116)</f>
        <v>0.32959369947321754</v>
      </c>
      <c r="L107" s="133">
        <f>+AVERAGE(L108:L116)</f>
        <v>0.35476451259583791</v>
      </c>
      <c r="M107" s="133">
        <f>+M108+M109+M110+M111+M112+M113+M114+M115+M116</f>
        <v>6.5989047097480838E-2</v>
      </c>
      <c r="N107" s="133">
        <f>+N108+N109+N110+N111+N112+N113+N114+N115+N116</f>
        <v>0.26533698430083974</v>
      </c>
      <c r="O107" s="133"/>
      <c r="P107" s="134"/>
      <c r="Q107" s="134"/>
      <c r="R107" s="134"/>
      <c r="S107" s="134"/>
      <c r="T107" s="134"/>
      <c r="U107" s="690"/>
      <c r="V107" s="134"/>
      <c r="W107" s="134"/>
      <c r="X107" s="134"/>
      <c r="Y107" s="134"/>
      <c r="Z107" s="134"/>
      <c r="AA107" s="134"/>
      <c r="AB107" s="134"/>
      <c r="AC107" s="154">
        <f>+AVERAGE(AC108:AC116)</f>
        <v>1</v>
      </c>
      <c r="AD107" s="154">
        <f>+AVERAGE(AD108:AD116)</f>
        <v>0.8</v>
      </c>
      <c r="AE107" s="154">
        <f>+AVERAGE(AE108:AE116)</f>
        <v>0.52</v>
      </c>
      <c r="AF107" s="154">
        <f>+(AF108+AF109+AF110+AF111+AF112+AF113+AF114+AF115+AF116)*E107</f>
        <v>0.27000000000000007</v>
      </c>
      <c r="AG107" s="154">
        <f>+(AG108+AG109+AG110+AG111+AG112+AG113+AG114+AG115+AG116)*E107</f>
        <v>0.30600000000000005</v>
      </c>
      <c r="AH107" s="154">
        <f>+(AH108+AH109+AH110+AH111+AH112+AH113+AH114+AH115+AH116)*E107</f>
        <v>0.15642</v>
      </c>
      <c r="AI107" s="133">
        <f>+AVERAGE(AI108:AI116)</f>
        <v>0.15418035779481562</v>
      </c>
      <c r="AJ107" s="133">
        <v>0.40181939880735063</v>
      </c>
      <c r="AK107" s="133">
        <f>+AJ107+((AK109-AJ109)/9)+((AK111-AJ111)/9)+((AK114-AJ114)/9)+((AK112-AJ112)/9)+((AK108-AJ108/9))+((AK110-AJ110/9))+((AK113-AJ113/9))+((AK115-AJ115/9))+((AK116-AJ116/9))</f>
        <v>0.9343069246683704</v>
      </c>
      <c r="AL107" s="133">
        <f>+(AL108+AL109+AL110+AL111+AL112+AL113+AL114+AL115+AL116)*E107</f>
        <v>5.2880175246440314E-2</v>
      </c>
      <c r="AM107" s="133">
        <f>+(AM108+AM109+AM110+AM111+AM112+AM113+AM114+AM115+AM116)</f>
        <v>0.42956188389923333</v>
      </c>
      <c r="AN107" s="133">
        <f>+(AN108+AN109+AN110+AN111+AN112+AN113+AN114+AN115+AN116)</f>
        <v>0.51243044906900337</v>
      </c>
      <c r="AO107" s="545"/>
      <c r="AP107" s="127"/>
      <c r="AQ107" s="127"/>
      <c r="AR107" s="127"/>
      <c r="AS107" s="127"/>
      <c r="AT107" s="564"/>
      <c r="AU107" s="127"/>
      <c r="AV107" s="127"/>
      <c r="AW107" s="121"/>
      <c r="AX107" s="115"/>
      <c r="AY107" s="115"/>
      <c r="AZ107" s="115"/>
      <c r="BA107" s="115"/>
      <c r="BB107" s="115"/>
      <c r="BC107" s="115"/>
      <c r="BD107" s="115"/>
      <c r="BE107" s="115"/>
      <c r="BF107" s="115"/>
      <c r="BG107" s="115"/>
      <c r="BH107" s="115"/>
      <c r="BI107" s="115"/>
      <c r="BJ107" s="115"/>
      <c r="BK107" s="115"/>
      <c r="BL107" s="115"/>
      <c r="BM107" s="115"/>
      <c r="BN107" s="115"/>
      <c r="BO107" s="115"/>
    </row>
    <row r="108" spans="1:67" ht="92.4" customHeight="1" thickBot="1" x14ac:dyDescent="0.4">
      <c r="A108" s="119"/>
      <c r="B108" s="1400" t="s">
        <v>772</v>
      </c>
      <c r="C108" s="1401" t="s">
        <v>1469</v>
      </c>
      <c r="D108" s="166" t="s">
        <v>767</v>
      </c>
      <c r="E108" s="137">
        <v>0.05</v>
      </c>
      <c r="F108" s="138">
        <v>1</v>
      </c>
      <c r="G108" s="134">
        <v>0</v>
      </c>
      <c r="H108" s="134">
        <v>1</v>
      </c>
      <c r="I108" s="134">
        <v>0</v>
      </c>
      <c r="J108" s="139"/>
      <c r="K108" s="139">
        <f t="shared" ref="K108:K116" si="122">+H108/F108</f>
        <v>1</v>
      </c>
      <c r="L108" s="139"/>
      <c r="M108" s="139"/>
      <c r="N108" s="139">
        <f t="shared" ref="N108:N116" si="123">+(H108/F108)*E108</f>
        <v>0.05</v>
      </c>
      <c r="O108" s="139"/>
      <c r="P108" s="134"/>
      <c r="Q108" s="496">
        <v>0</v>
      </c>
      <c r="R108" s="496">
        <v>0</v>
      </c>
      <c r="S108" s="496">
        <v>0</v>
      </c>
      <c r="T108" s="496">
        <v>0</v>
      </c>
      <c r="U108" s="496">
        <v>0</v>
      </c>
      <c r="V108" s="195">
        <f t="shared" si="110"/>
        <v>0</v>
      </c>
      <c r="W108" s="134">
        <f t="shared" si="121"/>
        <v>0</v>
      </c>
      <c r="X108" s="496">
        <v>0</v>
      </c>
      <c r="Y108" s="496">
        <v>0</v>
      </c>
      <c r="Z108" s="134"/>
      <c r="AA108" s="134"/>
      <c r="AB108" s="134">
        <f t="shared" si="114"/>
        <v>0</v>
      </c>
      <c r="AC108" s="156"/>
      <c r="AD108" s="156">
        <f t="shared" ref="AD108" si="124">+V108/H108</f>
        <v>0</v>
      </c>
      <c r="AE108" s="156"/>
      <c r="AF108" s="156"/>
      <c r="AG108" s="156">
        <f t="shared" ref="AG108:AG116" si="125">+AD108*E108</f>
        <v>0</v>
      </c>
      <c r="AH108" s="156">
        <f>+AE108*E108</f>
        <v>0</v>
      </c>
      <c r="AI108" s="156"/>
      <c r="AJ108" s="156">
        <v>0</v>
      </c>
      <c r="AK108" s="697">
        <f t="shared" si="119"/>
        <v>0</v>
      </c>
      <c r="AL108" s="139"/>
      <c r="AM108" s="139">
        <f t="shared" ref="AM108:AM123" si="126">+AJ108*E108</f>
        <v>0</v>
      </c>
      <c r="AN108" s="139">
        <f t="shared" si="120"/>
        <v>0</v>
      </c>
      <c r="AO108" s="521" t="s">
        <v>1844</v>
      </c>
      <c r="AP108" s="599" t="s">
        <v>1913</v>
      </c>
      <c r="AQ108" s="765" t="s">
        <v>1989</v>
      </c>
      <c r="AR108" s="765" t="s">
        <v>2010</v>
      </c>
      <c r="AS108" s="765" t="s">
        <v>2107</v>
      </c>
      <c r="AT108" s="837" t="s">
        <v>2139</v>
      </c>
      <c r="AU108" s="765" t="s">
        <v>2196</v>
      </c>
      <c r="AV108" s="765" t="s">
        <v>1887</v>
      </c>
      <c r="AW108" s="765" t="s">
        <v>2294</v>
      </c>
      <c r="AX108" s="115"/>
      <c r="AY108" s="115"/>
      <c r="AZ108" s="115"/>
      <c r="BA108" s="115"/>
      <c r="BB108" s="115"/>
      <c r="BC108" s="115"/>
      <c r="BD108" s="115"/>
      <c r="BE108" s="115"/>
      <c r="BF108" s="115"/>
      <c r="BG108" s="115"/>
      <c r="BH108" s="115"/>
      <c r="BI108" s="115"/>
      <c r="BJ108" s="115"/>
      <c r="BK108" s="115"/>
      <c r="BL108" s="115"/>
      <c r="BM108" s="115"/>
      <c r="BN108" s="115"/>
      <c r="BO108" s="115"/>
    </row>
    <row r="109" spans="1:67" ht="57.6" customHeight="1" thickBot="1" x14ac:dyDescent="0.4">
      <c r="A109" s="119"/>
      <c r="B109" s="1378" t="s">
        <v>773</v>
      </c>
      <c r="C109" s="1379" t="s">
        <v>1470</v>
      </c>
      <c r="D109" s="166" t="s">
        <v>767</v>
      </c>
      <c r="E109" s="137">
        <v>0.28000000000000003</v>
      </c>
      <c r="F109" s="138">
        <v>3652</v>
      </c>
      <c r="G109" s="134">
        <v>652</v>
      </c>
      <c r="H109" s="134">
        <v>1000</v>
      </c>
      <c r="I109" s="134">
        <v>1000</v>
      </c>
      <c r="J109" s="139">
        <f t="shared" ref="J109:J114" si="127">+G109/F109</f>
        <v>0.17853231106243153</v>
      </c>
      <c r="K109" s="139">
        <f t="shared" si="122"/>
        <v>0.2738225629791895</v>
      </c>
      <c r="L109" s="139">
        <f t="shared" si="112"/>
        <v>0.2738225629791895</v>
      </c>
      <c r="M109" s="139">
        <f t="shared" ref="M109:M114" si="128">+(G109/F109)*E109</f>
        <v>4.9989047097480831E-2</v>
      </c>
      <c r="N109" s="139">
        <f t="shared" si="123"/>
        <v>7.6670317634173063E-2</v>
      </c>
      <c r="O109" s="139"/>
      <c r="P109" s="134">
        <v>1324</v>
      </c>
      <c r="Q109" s="496">
        <v>35</v>
      </c>
      <c r="R109" s="496">
        <v>434</v>
      </c>
      <c r="S109" s="496">
        <v>130</v>
      </c>
      <c r="T109" s="496">
        <v>375</v>
      </c>
      <c r="U109" s="496">
        <v>44</v>
      </c>
      <c r="V109" s="195">
        <f t="shared" si="110"/>
        <v>1018</v>
      </c>
      <c r="W109" s="134">
        <f>+V109+P109+AB109</f>
        <v>2862</v>
      </c>
      <c r="X109" s="496">
        <v>188</v>
      </c>
      <c r="Y109" s="496">
        <v>332</v>
      </c>
      <c r="Z109" s="134"/>
      <c r="AA109" s="134"/>
      <c r="AB109" s="134">
        <f t="shared" si="114"/>
        <v>520</v>
      </c>
      <c r="AC109" s="156">
        <v>1</v>
      </c>
      <c r="AD109" s="156">
        <v>1</v>
      </c>
      <c r="AE109" s="156">
        <f t="shared" si="116"/>
        <v>0.52</v>
      </c>
      <c r="AF109" s="156">
        <f t="shared" ref="AF109:AF114" si="129">+AC109*E109</f>
        <v>0.28000000000000003</v>
      </c>
      <c r="AG109" s="156">
        <f t="shared" si="125"/>
        <v>0.28000000000000003</v>
      </c>
      <c r="AH109" s="156">
        <f t="shared" si="118"/>
        <v>0.14560000000000001</v>
      </c>
      <c r="AI109" s="156">
        <f t="shared" ref="AI109:AI114" si="130">+P109/F109</f>
        <v>0.36254107338444685</v>
      </c>
      <c r="AJ109" s="156">
        <v>0.64129244249726181</v>
      </c>
      <c r="AK109" s="697">
        <f t="shared" si="119"/>
        <v>0.78368017524644029</v>
      </c>
      <c r="AL109" s="139">
        <f t="shared" ref="AL109:AL114" si="131">+AI109*E109</f>
        <v>0.10151150054764513</v>
      </c>
      <c r="AM109" s="139">
        <f t="shared" si="126"/>
        <v>0.17956188389923333</v>
      </c>
      <c r="AN109" s="139">
        <f t="shared" si="120"/>
        <v>0.2194304490690033</v>
      </c>
      <c r="AO109" s="521" t="s">
        <v>1844</v>
      </c>
      <c r="AP109" s="766" t="s">
        <v>1886</v>
      </c>
      <c r="AQ109" s="765" t="s">
        <v>1989</v>
      </c>
      <c r="AR109" s="765" t="s">
        <v>2010</v>
      </c>
      <c r="AS109" s="765" t="s">
        <v>2107</v>
      </c>
      <c r="AT109" s="837" t="s">
        <v>2139</v>
      </c>
      <c r="AU109" s="765" t="s">
        <v>2196</v>
      </c>
      <c r="AV109" s="765" t="s">
        <v>1887</v>
      </c>
      <c r="AW109" s="765" t="s">
        <v>2294</v>
      </c>
      <c r="AX109" s="115"/>
      <c r="AY109" s="115"/>
      <c r="AZ109" s="115"/>
      <c r="BA109" s="115"/>
      <c r="BB109" s="115"/>
      <c r="BC109" s="115"/>
      <c r="BD109" s="115"/>
      <c r="BE109" s="115"/>
      <c r="BF109" s="115"/>
      <c r="BG109" s="115"/>
      <c r="BH109" s="115"/>
      <c r="BI109" s="115"/>
      <c r="BJ109" s="115"/>
      <c r="BK109" s="115"/>
      <c r="BL109" s="115"/>
      <c r="BM109" s="115"/>
      <c r="BN109" s="115"/>
      <c r="BO109" s="115"/>
    </row>
    <row r="110" spans="1:67" ht="90" customHeight="1" thickBot="1" x14ac:dyDescent="0.4">
      <c r="A110" s="119"/>
      <c r="B110" s="1378" t="s">
        <v>774</v>
      </c>
      <c r="C110" s="1379" t="s">
        <v>1471</v>
      </c>
      <c r="D110" s="165" t="s">
        <v>767</v>
      </c>
      <c r="E110" s="137">
        <v>0.05</v>
      </c>
      <c r="F110" s="138">
        <v>2</v>
      </c>
      <c r="G110" s="134">
        <v>0</v>
      </c>
      <c r="H110" s="134">
        <v>0</v>
      </c>
      <c r="I110" s="134">
        <v>1</v>
      </c>
      <c r="J110" s="139"/>
      <c r="K110" s="139"/>
      <c r="L110" s="139">
        <f t="shared" si="112"/>
        <v>0.5</v>
      </c>
      <c r="M110" s="139"/>
      <c r="N110" s="139"/>
      <c r="O110" s="139"/>
      <c r="P110" s="134"/>
      <c r="Q110" s="496"/>
      <c r="R110" s="496"/>
      <c r="S110" s="496">
        <v>0</v>
      </c>
      <c r="T110" s="496">
        <v>0</v>
      </c>
      <c r="U110" s="496">
        <v>0</v>
      </c>
      <c r="V110" s="195">
        <f t="shared" si="110"/>
        <v>0</v>
      </c>
      <c r="W110" s="134">
        <f t="shared" si="121"/>
        <v>1</v>
      </c>
      <c r="X110" s="496">
        <v>0</v>
      </c>
      <c r="Y110" s="496">
        <v>1</v>
      </c>
      <c r="Z110" s="134"/>
      <c r="AA110" s="134"/>
      <c r="AB110" s="134">
        <f t="shared" si="114"/>
        <v>1</v>
      </c>
      <c r="AC110" s="156"/>
      <c r="AD110" s="156"/>
      <c r="AE110" s="156">
        <f>+AB110/I110</f>
        <v>1</v>
      </c>
      <c r="AF110" s="156"/>
      <c r="AG110" s="156"/>
      <c r="AH110" s="156">
        <f t="shared" si="118"/>
        <v>0.05</v>
      </c>
      <c r="AI110" s="156"/>
      <c r="AJ110" s="156">
        <v>0</v>
      </c>
      <c r="AK110" s="697">
        <f t="shared" si="119"/>
        <v>0.5</v>
      </c>
      <c r="AL110" s="139"/>
      <c r="AM110" s="139">
        <f t="shared" si="126"/>
        <v>0</v>
      </c>
      <c r="AN110" s="139">
        <f t="shared" si="120"/>
        <v>2.5000000000000001E-2</v>
      </c>
      <c r="AO110" s="521" t="s">
        <v>1844</v>
      </c>
      <c r="AP110" s="766" t="s">
        <v>1886</v>
      </c>
      <c r="AQ110" s="765" t="s">
        <v>1989</v>
      </c>
      <c r="AR110" s="765" t="s">
        <v>2010</v>
      </c>
      <c r="AS110" s="765" t="s">
        <v>2107</v>
      </c>
      <c r="AT110" s="837" t="s">
        <v>2139</v>
      </c>
      <c r="AU110" s="765" t="s">
        <v>2196</v>
      </c>
      <c r="AV110" s="765" t="s">
        <v>1887</v>
      </c>
      <c r="AW110" s="765" t="s">
        <v>2294</v>
      </c>
      <c r="AX110" s="115"/>
      <c r="AY110" s="115"/>
      <c r="AZ110" s="115"/>
      <c r="BA110" s="115"/>
      <c r="BB110" s="115"/>
      <c r="BC110" s="115"/>
      <c r="BD110" s="115"/>
      <c r="BE110" s="115"/>
      <c r="BF110" s="115"/>
      <c r="BG110" s="115"/>
      <c r="BH110" s="115"/>
      <c r="BI110" s="115"/>
      <c r="BJ110" s="115"/>
      <c r="BK110" s="115"/>
      <c r="BL110" s="115"/>
      <c r="BM110" s="115"/>
      <c r="BN110" s="115"/>
      <c r="BO110" s="115"/>
    </row>
    <row r="111" spans="1:67" ht="85.2" customHeight="1" thickBot="1" x14ac:dyDescent="0.4">
      <c r="A111" s="119"/>
      <c r="B111" s="1378" t="s">
        <v>775</v>
      </c>
      <c r="C111" s="1379" t="s">
        <v>2255</v>
      </c>
      <c r="D111" s="147" t="s">
        <v>767</v>
      </c>
      <c r="E111" s="137">
        <v>0.2</v>
      </c>
      <c r="F111" s="138">
        <v>20</v>
      </c>
      <c r="G111" s="134">
        <v>1</v>
      </c>
      <c r="H111" s="134">
        <v>7</v>
      </c>
      <c r="I111" s="134">
        <v>5</v>
      </c>
      <c r="J111" s="139">
        <f t="shared" si="127"/>
        <v>0.05</v>
      </c>
      <c r="K111" s="139">
        <f t="shared" si="122"/>
        <v>0.35</v>
      </c>
      <c r="L111" s="139">
        <f t="shared" si="112"/>
        <v>0.25</v>
      </c>
      <c r="M111" s="139">
        <f t="shared" si="128"/>
        <v>1.0000000000000002E-2</v>
      </c>
      <c r="N111" s="139">
        <f t="shared" si="123"/>
        <v>6.9999999999999993E-2</v>
      </c>
      <c r="O111" s="139"/>
      <c r="P111" s="134">
        <v>1</v>
      </c>
      <c r="Q111" s="496">
        <v>0</v>
      </c>
      <c r="R111" s="496">
        <v>0</v>
      </c>
      <c r="S111" s="496">
        <v>0</v>
      </c>
      <c r="T111" s="496">
        <v>0</v>
      </c>
      <c r="U111" s="496">
        <v>10</v>
      </c>
      <c r="V111" s="195">
        <f t="shared" si="110"/>
        <v>10</v>
      </c>
      <c r="W111" s="134">
        <f t="shared" si="121"/>
        <v>11</v>
      </c>
      <c r="X111" s="496">
        <v>0</v>
      </c>
      <c r="Y111" s="496">
        <v>0</v>
      </c>
      <c r="Z111" s="134"/>
      <c r="AA111" s="134"/>
      <c r="AB111" s="134">
        <f t="shared" si="114"/>
        <v>0</v>
      </c>
      <c r="AC111" s="156">
        <f t="shared" ref="AC111:AC114" si="132">+(P111/G111)</f>
        <v>1</v>
      </c>
      <c r="AD111" s="156">
        <v>1</v>
      </c>
      <c r="AE111" s="156">
        <f t="shared" si="116"/>
        <v>0</v>
      </c>
      <c r="AF111" s="156">
        <f t="shared" si="129"/>
        <v>0.2</v>
      </c>
      <c r="AG111" s="156">
        <f t="shared" si="125"/>
        <v>0.2</v>
      </c>
      <c r="AH111" s="156">
        <f t="shared" si="118"/>
        <v>0</v>
      </c>
      <c r="AI111" s="156">
        <f t="shared" si="130"/>
        <v>0.05</v>
      </c>
      <c r="AJ111" s="156">
        <v>0.55000000000000004</v>
      </c>
      <c r="AK111" s="697">
        <f t="shared" si="119"/>
        <v>0.55000000000000004</v>
      </c>
      <c r="AL111" s="139">
        <f t="shared" si="131"/>
        <v>1.0000000000000002E-2</v>
      </c>
      <c r="AM111" s="139">
        <f t="shared" si="126"/>
        <v>0.11000000000000001</v>
      </c>
      <c r="AN111" s="139">
        <f t="shared" si="120"/>
        <v>0.11000000000000001</v>
      </c>
      <c r="AO111" s="521" t="s">
        <v>1844</v>
      </c>
      <c r="AP111" s="766" t="s">
        <v>1886</v>
      </c>
      <c r="AQ111" s="765" t="s">
        <v>1989</v>
      </c>
      <c r="AR111" s="765" t="s">
        <v>2010</v>
      </c>
      <c r="AS111" s="765" t="s">
        <v>2107</v>
      </c>
      <c r="AT111" s="837" t="s">
        <v>2139</v>
      </c>
      <c r="AU111" s="765" t="s">
        <v>2196</v>
      </c>
      <c r="AV111" s="765" t="s">
        <v>1887</v>
      </c>
      <c r="AW111" s="765" t="s">
        <v>2294</v>
      </c>
      <c r="AX111" s="115"/>
      <c r="AY111" s="115"/>
      <c r="AZ111" s="115"/>
      <c r="BA111" s="115"/>
      <c r="BB111" s="115"/>
      <c r="BC111" s="115"/>
      <c r="BD111" s="115"/>
      <c r="BE111" s="115"/>
      <c r="BF111" s="115"/>
      <c r="BG111" s="115"/>
      <c r="BH111" s="115"/>
      <c r="BI111" s="115"/>
      <c r="BJ111" s="115"/>
      <c r="BK111" s="115"/>
      <c r="BL111" s="115"/>
      <c r="BM111" s="115"/>
      <c r="BN111" s="115"/>
      <c r="BO111" s="115"/>
    </row>
    <row r="112" spans="1:67" ht="90.6" customHeight="1" thickBot="1" x14ac:dyDescent="0.4">
      <c r="A112" s="119"/>
      <c r="B112" s="1378" t="s">
        <v>776</v>
      </c>
      <c r="C112" s="1379" t="s">
        <v>1472</v>
      </c>
      <c r="D112" s="147" t="s">
        <v>767</v>
      </c>
      <c r="E112" s="137">
        <v>0.08</v>
      </c>
      <c r="F112" s="138">
        <v>3</v>
      </c>
      <c r="G112" s="134">
        <v>0</v>
      </c>
      <c r="H112" s="134">
        <v>1</v>
      </c>
      <c r="I112" s="134">
        <v>1</v>
      </c>
      <c r="J112" s="139"/>
      <c r="K112" s="139">
        <f t="shared" si="122"/>
        <v>0.33333333333333331</v>
      </c>
      <c r="L112" s="139"/>
      <c r="M112" s="139"/>
      <c r="N112" s="139">
        <f t="shared" si="123"/>
        <v>2.6666666666666665E-2</v>
      </c>
      <c r="O112" s="139"/>
      <c r="P112" s="134"/>
      <c r="Q112" s="496">
        <v>0</v>
      </c>
      <c r="R112" s="496">
        <v>1</v>
      </c>
      <c r="S112" s="496">
        <v>0</v>
      </c>
      <c r="T112" s="496">
        <v>0</v>
      </c>
      <c r="U112" s="496">
        <v>2</v>
      </c>
      <c r="V112" s="195">
        <f t="shared" si="110"/>
        <v>3</v>
      </c>
      <c r="W112" s="134">
        <f t="shared" si="121"/>
        <v>4</v>
      </c>
      <c r="X112" s="496">
        <v>0</v>
      </c>
      <c r="Y112" s="496">
        <v>1</v>
      </c>
      <c r="Z112" s="134"/>
      <c r="AA112" s="134"/>
      <c r="AB112" s="134">
        <f t="shared" si="114"/>
        <v>1</v>
      </c>
      <c r="AC112" s="156"/>
      <c r="AD112" s="156">
        <v>1</v>
      </c>
      <c r="AE112" s="156">
        <f t="shared" si="116"/>
        <v>1</v>
      </c>
      <c r="AF112" s="156"/>
      <c r="AG112" s="156">
        <f t="shared" si="125"/>
        <v>0.08</v>
      </c>
      <c r="AH112" s="156">
        <f t="shared" si="118"/>
        <v>0.08</v>
      </c>
      <c r="AI112" s="156"/>
      <c r="AJ112" s="156">
        <v>1</v>
      </c>
      <c r="AK112" s="697">
        <v>1</v>
      </c>
      <c r="AL112" s="139"/>
      <c r="AM112" s="139">
        <f t="shared" si="126"/>
        <v>0.08</v>
      </c>
      <c r="AN112" s="139">
        <f t="shared" si="120"/>
        <v>0.08</v>
      </c>
      <c r="AO112" s="521" t="s">
        <v>1844</v>
      </c>
      <c r="AP112" s="599" t="s">
        <v>1913</v>
      </c>
      <c r="AQ112" s="765" t="s">
        <v>1989</v>
      </c>
      <c r="AR112" s="765" t="s">
        <v>2010</v>
      </c>
      <c r="AS112" s="765" t="s">
        <v>2107</v>
      </c>
      <c r="AT112" s="837" t="s">
        <v>2139</v>
      </c>
      <c r="AU112" s="765" t="s">
        <v>2198</v>
      </c>
      <c r="AV112" s="765" t="s">
        <v>1887</v>
      </c>
      <c r="AW112" s="765" t="s">
        <v>2294</v>
      </c>
      <c r="AX112" s="115"/>
      <c r="AY112" s="115"/>
      <c r="AZ112" s="115"/>
      <c r="BA112" s="115"/>
      <c r="BB112" s="115"/>
      <c r="BC112" s="115"/>
      <c r="BD112" s="115"/>
      <c r="BE112" s="115"/>
      <c r="BF112" s="115"/>
      <c r="BG112" s="115"/>
      <c r="BH112" s="115"/>
      <c r="BI112" s="115"/>
      <c r="BJ112" s="115"/>
      <c r="BK112" s="115"/>
      <c r="BL112" s="115"/>
      <c r="BM112" s="115"/>
      <c r="BN112" s="115"/>
      <c r="BO112" s="115"/>
    </row>
    <row r="113" spans="1:67" ht="87" customHeight="1" thickBot="1" x14ac:dyDescent="0.4">
      <c r="A113" s="119"/>
      <c r="B113" s="1378" t="s">
        <v>777</v>
      </c>
      <c r="C113" s="1379" t="s">
        <v>1473</v>
      </c>
      <c r="D113" s="147" t="s">
        <v>767</v>
      </c>
      <c r="E113" s="137">
        <v>0.05</v>
      </c>
      <c r="F113" s="138">
        <v>4</v>
      </c>
      <c r="G113" s="134">
        <v>0</v>
      </c>
      <c r="H113" s="134">
        <v>0</v>
      </c>
      <c r="I113" s="134">
        <v>2</v>
      </c>
      <c r="J113" s="139"/>
      <c r="K113" s="139"/>
      <c r="L113" s="139">
        <f t="shared" si="112"/>
        <v>0.5</v>
      </c>
      <c r="M113" s="139"/>
      <c r="N113" s="139"/>
      <c r="O113" s="139"/>
      <c r="P113" s="134"/>
      <c r="Q113" s="496"/>
      <c r="R113" s="496"/>
      <c r="S113" s="496">
        <v>0</v>
      </c>
      <c r="T113" s="496">
        <v>0</v>
      </c>
      <c r="U113" s="496">
        <v>0</v>
      </c>
      <c r="V113" s="195">
        <f t="shared" si="110"/>
        <v>0</v>
      </c>
      <c r="W113" s="134">
        <f t="shared" si="121"/>
        <v>0</v>
      </c>
      <c r="X113" s="496">
        <v>0</v>
      </c>
      <c r="Y113" s="496">
        <v>0</v>
      </c>
      <c r="Z113" s="134"/>
      <c r="AA113" s="134"/>
      <c r="AB113" s="134">
        <f t="shared" si="114"/>
        <v>0</v>
      </c>
      <c r="AC113" s="156"/>
      <c r="AD113" s="156"/>
      <c r="AE113" s="156">
        <f t="shared" si="116"/>
        <v>0</v>
      </c>
      <c r="AF113" s="156"/>
      <c r="AG113" s="156"/>
      <c r="AH113" s="156">
        <f t="shared" si="118"/>
        <v>0</v>
      </c>
      <c r="AI113" s="156"/>
      <c r="AJ113" s="156">
        <v>0</v>
      </c>
      <c r="AK113" s="697">
        <f t="shared" si="119"/>
        <v>0</v>
      </c>
      <c r="AL113" s="139"/>
      <c r="AM113" s="139">
        <f t="shared" si="126"/>
        <v>0</v>
      </c>
      <c r="AN113" s="139">
        <f t="shared" si="120"/>
        <v>0</v>
      </c>
      <c r="AO113" s="521" t="s">
        <v>1844</v>
      </c>
      <c r="AP113" s="766" t="s">
        <v>1886</v>
      </c>
      <c r="AQ113" s="765" t="s">
        <v>1989</v>
      </c>
      <c r="AR113" s="765" t="s">
        <v>2010</v>
      </c>
      <c r="AS113" s="765" t="s">
        <v>2107</v>
      </c>
      <c r="AT113" s="837" t="s">
        <v>2139</v>
      </c>
      <c r="AU113" s="765" t="s">
        <v>2196</v>
      </c>
      <c r="AV113" s="765" t="s">
        <v>1887</v>
      </c>
      <c r="AW113" s="765" t="s">
        <v>2294</v>
      </c>
      <c r="AX113" s="115"/>
      <c r="AY113" s="115"/>
      <c r="AZ113" s="115"/>
      <c r="BA113" s="115"/>
      <c r="BB113" s="115"/>
      <c r="BC113" s="115"/>
      <c r="BD113" s="115"/>
      <c r="BE113" s="115"/>
      <c r="BF113" s="115"/>
      <c r="BG113" s="115"/>
      <c r="BH113" s="115"/>
      <c r="BI113" s="115"/>
      <c r="BJ113" s="115"/>
      <c r="BK113" s="115"/>
      <c r="BL113" s="115"/>
      <c r="BM113" s="115"/>
      <c r="BN113" s="115"/>
      <c r="BO113" s="115"/>
    </row>
    <row r="114" spans="1:67" ht="54" customHeight="1" thickBot="1" x14ac:dyDescent="0.4">
      <c r="A114" s="119"/>
      <c r="B114" s="1378" t="s">
        <v>778</v>
      </c>
      <c r="C114" s="1379" t="s">
        <v>1474</v>
      </c>
      <c r="D114" s="147" t="s">
        <v>767</v>
      </c>
      <c r="E114" s="137">
        <v>0.12</v>
      </c>
      <c r="F114" s="138">
        <v>20</v>
      </c>
      <c r="G114" s="134">
        <v>1</v>
      </c>
      <c r="H114" s="134">
        <v>7</v>
      </c>
      <c r="I114" s="134">
        <v>5</v>
      </c>
      <c r="J114" s="139">
        <f t="shared" si="127"/>
        <v>0.05</v>
      </c>
      <c r="K114" s="139">
        <f t="shared" si="122"/>
        <v>0.35</v>
      </c>
      <c r="L114" s="139">
        <f t="shared" si="112"/>
        <v>0.25</v>
      </c>
      <c r="M114" s="139">
        <f t="shared" si="128"/>
        <v>6.0000000000000001E-3</v>
      </c>
      <c r="N114" s="139">
        <f t="shared" si="123"/>
        <v>4.1999999999999996E-2</v>
      </c>
      <c r="O114" s="139"/>
      <c r="P114" s="134">
        <v>1</v>
      </c>
      <c r="Q114" s="496">
        <v>0</v>
      </c>
      <c r="R114" s="496">
        <v>2</v>
      </c>
      <c r="S114" s="496">
        <v>0</v>
      </c>
      <c r="T114" s="496">
        <v>5</v>
      </c>
      <c r="U114" s="496">
        <v>2</v>
      </c>
      <c r="V114" s="195">
        <f t="shared" si="110"/>
        <v>9</v>
      </c>
      <c r="W114" s="134">
        <f t="shared" si="121"/>
        <v>13</v>
      </c>
      <c r="X114" s="496">
        <v>2</v>
      </c>
      <c r="Y114" s="496">
        <v>1</v>
      </c>
      <c r="Z114" s="134"/>
      <c r="AA114" s="134"/>
      <c r="AB114" s="134">
        <f t="shared" si="114"/>
        <v>3</v>
      </c>
      <c r="AC114" s="156">
        <f t="shared" si="132"/>
        <v>1</v>
      </c>
      <c r="AD114" s="156">
        <v>1</v>
      </c>
      <c r="AE114" s="156">
        <f t="shared" si="116"/>
        <v>0.6</v>
      </c>
      <c r="AF114" s="156">
        <f t="shared" si="129"/>
        <v>0.12</v>
      </c>
      <c r="AG114" s="156">
        <f t="shared" si="125"/>
        <v>0.12</v>
      </c>
      <c r="AH114" s="156">
        <f t="shared" si="118"/>
        <v>7.1999999999999995E-2</v>
      </c>
      <c r="AI114" s="156">
        <f t="shared" si="130"/>
        <v>0.05</v>
      </c>
      <c r="AJ114" s="156">
        <v>0.5</v>
      </c>
      <c r="AK114" s="697">
        <f t="shared" si="119"/>
        <v>0.65</v>
      </c>
      <c r="AL114" s="139">
        <f t="shared" si="131"/>
        <v>6.0000000000000001E-3</v>
      </c>
      <c r="AM114" s="139">
        <f t="shared" si="126"/>
        <v>0.06</v>
      </c>
      <c r="AN114" s="139">
        <f t="shared" si="120"/>
        <v>7.8E-2</v>
      </c>
      <c r="AO114" s="521" t="s">
        <v>1844</v>
      </c>
      <c r="AP114" s="766" t="s">
        <v>1886</v>
      </c>
      <c r="AQ114" s="765" t="s">
        <v>1989</v>
      </c>
      <c r="AR114" s="765" t="s">
        <v>2010</v>
      </c>
      <c r="AS114" s="765" t="s">
        <v>2107</v>
      </c>
      <c r="AT114" s="837" t="s">
        <v>2139</v>
      </c>
      <c r="AU114" s="765" t="s">
        <v>2196</v>
      </c>
      <c r="AV114" s="765" t="s">
        <v>1887</v>
      </c>
      <c r="AW114" s="765" t="s">
        <v>2294</v>
      </c>
      <c r="AX114" s="115"/>
      <c r="AY114" s="115"/>
      <c r="AZ114" s="115"/>
      <c r="BA114" s="115"/>
      <c r="BB114" s="115"/>
      <c r="BC114" s="115"/>
      <c r="BD114" s="115"/>
      <c r="BE114" s="115"/>
      <c r="BF114" s="115"/>
      <c r="BG114" s="115"/>
      <c r="BH114" s="115"/>
      <c r="BI114" s="115"/>
      <c r="BJ114" s="115"/>
      <c r="BK114" s="115"/>
      <c r="BL114" s="115"/>
      <c r="BM114" s="115"/>
      <c r="BN114" s="115"/>
      <c r="BO114" s="115"/>
    </row>
    <row r="115" spans="1:67" ht="104.4" customHeight="1" thickBot="1" x14ac:dyDescent="0.4">
      <c r="A115" s="119"/>
      <c r="B115" s="1378" t="s">
        <v>779</v>
      </c>
      <c r="C115" s="1379" t="s">
        <v>1475</v>
      </c>
      <c r="D115" s="155" t="s">
        <v>780</v>
      </c>
      <c r="E115" s="137">
        <v>0.02</v>
      </c>
      <c r="F115" s="138">
        <v>4</v>
      </c>
      <c r="G115" s="134">
        <v>0</v>
      </c>
      <c r="H115" s="134">
        <v>0</v>
      </c>
      <c r="I115" s="134"/>
      <c r="J115" s="139"/>
      <c r="K115" s="139">
        <f t="shared" si="122"/>
        <v>0</v>
      </c>
      <c r="L115" s="139"/>
      <c r="M115" s="139"/>
      <c r="N115" s="139">
        <f t="shared" si="123"/>
        <v>0</v>
      </c>
      <c r="O115" s="139"/>
      <c r="P115" s="134"/>
      <c r="Q115" s="195"/>
      <c r="R115" s="195"/>
      <c r="S115" s="195"/>
      <c r="T115" s="134"/>
      <c r="U115" s="690"/>
      <c r="V115" s="134">
        <f>+Q115+R115+S115+T115+U115</f>
        <v>0</v>
      </c>
      <c r="W115" s="134">
        <f t="shared" si="121"/>
        <v>0</v>
      </c>
      <c r="X115" s="134"/>
      <c r="Y115" s="134"/>
      <c r="Z115" s="134"/>
      <c r="AA115" s="134"/>
      <c r="AB115" s="134">
        <f t="shared" si="114"/>
        <v>0</v>
      </c>
      <c r="AC115" s="156"/>
      <c r="AD115" s="156"/>
      <c r="AE115" s="156"/>
      <c r="AF115" s="156"/>
      <c r="AG115" s="156">
        <f t="shared" si="125"/>
        <v>0</v>
      </c>
      <c r="AH115" s="156">
        <f t="shared" si="118"/>
        <v>0</v>
      </c>
      <c r="AI115" s="156"/>
      <c r="AJ115" s="156"/>
      <c r="AK115" s="697">
        <f t="shared" si="119"/>
        <v>0</v>
      </c>
      <c r="AL115" s="139"/>
      <c r="AM115" s="139">
        <f t="shared" si="126"/>
        <v>0</v>
      </c>
      <c r="AN115" s="139">
        <f t="shared" si="120"/>
        <v>0</v>
      </c>
      <c r="AO115" s="764" t="s">
        <v>1568</v>
      </c>
      <c r="AP115" s="599" t="s">
        <v>1859</v>
      </c>
      <c r="AQ115" s="765" t="s">
        <v>1989</v>
      </c>
      <c r="AR115" s="765" t="s">
        <v>2010</v>
      </c>
      <c r="AS115" s="127"/>
      <c r="AT115" s="564"/>
      <c r="AU115" s="506" t="s">
        <v>2222</v>
      </c>
      <c r="AV115" s="506" t="s">
        <v>2222</v>
      </c>
      <c r="AW115" s="121"/>
      <c r="AX115" s="115"/>
      <c r="AY115" s="115"/>
      <c r="AZ115" s="115"/>
      <c r="BA115" s="115"/>
      <c r="BB115" s="115"/>
      <c r="BC115" s="115"/>
      <c r="BD115" s="115"/>
      <c r="BE115" s="115"/>
      <c r="BF115" s="115"/>
      <c r="BG115" s="115"/>
      <c r="BH115" s="115"/>
      <c r="BI115" s="115"/>
      <c r="BJ115" s="115"/>
      <c r="BK115" s="115"/>
      <c r="BL115" s="115"/>
      <c r="BM115" s="115"/>
      <c r="BN115" s="115"/>
      <c r="BO115" s="115"/>
    </row>
    <row r="116" spans="1:67" ht="64.95" customHeight="1" thickBot="1" x14ac:dyDescent="0.4">
      <c r="A116" s="119"/>
      <c r="B116" s="1378" t="s">
        <v>781</v>
      </c>
      <c r="C116" s="1379" t="s">
        <v>1476</v>
      </c>
      <c r="D116" s="157" t="s">
        <v>782</v>
      </c>
      <c r="E116" s="137">
        <v>0.15</v>
      </c>
      <c r="F116" s="138">
        <v>1</v>
      </c>
      <c r="G116" s="134">
        <v>0</v>
      </c>
      <c r="H116" s="134">
        <v>0</v>
      </c>
      <c r="I116" s="134"/>
      <c r="J116" s="139"/>
      <c r="K116" s="139">
        <f t="shared" si="122"/>
        <v>0</v>
      </c>
      <c r="L116" s="139"/>
      <c r="M116" s="139"/>
      <c r="N116" s="139">
        <f t="shared" si="123"/>
        <v>0</v>
      </c>
      <c r="O116" s="139"/>
      <c r="P116" s="134"/>
      <c r="Q116" s="195"/>
      <c r="R116" s="195"/>
      <c r="S116" s="195"/>
      <c r="T116" s="134"/>
      <c r="U116" s="690"/>
      <c r="V116" s="134">
        <f>+Q116+R116+S116+T116+U116</f>
        <v>0</v>
      </c>
      <c r="W116" s="134">
        <f t="shared" si="121"/>
        <v>0</v>
      </c>
      <c r="X116" s="134"/>
      <c r="Y116" s="134"/>
      <c r="Z116" s="134"/>
      <c r="AA116" s="134"/>
      <c r="AB116" s="134">
        <f t="shared" si="114"/>
        <v>0</v>
      </c>
      <c r="AC116" s="156"/>
      <c r="AD116" s="156"/>
      <c r="AE116" s="156"/>
      <c r="AF116" s="156"/>
      <c r="AG116" s="156">
        <f t="shared" si="125"/>
        <v>0</v>
      </c>
      <c r="AH116" s="156">
        <f t="shared" si="118"/>
        <v>0</v>
      </c>
      <c r="AI116" s="156"/>
      <c r="AJ116" s="156"/>
      <c r="AK116" s="697">
        <f t="shared" si="119"/>
        <v>0</v>
      </c>
      <c r="AL116" s="139"/>
      <c r="AM116" s="139">
        <f t="shared" si="126"/>
        <v>0</v>
      </c>
      <c r="AN116" s="139">
        <f t="shared" si="120"/>
        <v>0</v>
      </c>
      <c r="AO116" s="764" t="s">
        <v>1568</v>
      </c>
      <c r="AP116" s="599" t="s">
        <v>1859</v>
      </c>
      <c r="AQ116" s="765" t="s">
        <v>1989</v>
      </c>
      <c r="AR116" s="765" t="s">
        <v>2010</v>
      </c>
      <c r="AS116" s="127"/>
      <c r="AT116" s="564"/>
      <c r="AU116" s="506" t="s">
        <v>2222</v>
      </c>
      <c r="AV116" s="506" t="s">
        <v>2222</v>
      </c>
      <c r="AW116" s="121"/>
      <c r="AX116" s="115"/>
      <c r="AY116" s="115"/>
      <c r="AZ116" s="115"/>
      <c r="BA116" s="115"/>
      <c r="BB116" s="115"/>
      <c r="BC116" s="115"/>
      <c r="BD116" s="115"/>
      <c r="BE116" s="115"/>
      <c r="BF116" s="115"/>
      <c r="BG116" s="115"/>
      <c r="BH116" s="115"/>
      <c r="BI116" s="115"/>
      <c r="BJ116" s="115"/>
      <c r="BK116" s="115"/>
      <c r="BL116" s="115"/>
      <c r="BM116" s="115"/>
      <c r="BN116" s="115"/>
      <c r="BO116" s="115"/>
    </row>
    <row r="117" spans="1:67" ht="28.5" customHeight="1" thickBot="1" x14ac:dyDescent="0.4">
      <c r="A117" s="119"/>
      <c r="B117" s="1376" t="s">
        <v>783</v>
      </c>
      <c r="C117" s="1377"/>
      <c r="D117" s="146"/>
      <c r="E117" s="130">
        <v>0.3</v>
      </c>
      <c r="F117" s="149"/>
      <c r="G117" s="134"/>
      <c r="H117" s="134"/>
      <c r="I117" s="134"/>
      <c r="J117" s="133">
        <f>+AVERAGE(J118:J123)</f>
        <v>0.25</v>
      </c>
      <c r="K117" s="133">
        <f>+AVERAGE(K118:K123)</f>
        <v>0.55000000000000004</v>
      </c>
      <c r="L117" s="133">
        <f>+AVERAGE(L118:L123)</f>
        <v>0.31</v>
      </c>
      <c r="M117" s="133">
        <f>+M118+M119+M120+M121+M122+M123</f>
        <v>3.7499999999999999E-2</v>
      </c>
      <c r="N117" s="133">
        <f>+N118+N119+N120+N121+N122+N123</f>
        <v>0.41250000000000003</v>
      </c>
      <c r="O117" s="133"/>
      <c r="P117" s="132"/>
      <c r="Q117" s="132"/>
      <c r="R117" s="132"/>
      <c r="S117" s="132"/>
      <c r="T117" s="132"/>
      <c r="U117" s="836"/>
      <c r="V117" s="134"/>
      <c r="W117" s="134"/>
      <c r="X117" s="132"/>
      <c r="Y117" s="132"/>
      <c r="Z117" s="132"/>
      <c r="AA117" s="132"/>
      <c r="AB117" s="132"/>
      <c r="AC117" s="154">
        <f>+AVERAGE(AC118:AC123)</f>
        <v>1</v>
      </c>
      <c r="AD117" s="154">
        <f>+AVERAGE(AD118:AD123)</f>
        <v>0.54999999999999993</v>
      </c>
      <c r="AE117" s="154">
        <f>+AVERAGE(AE118:AE123)</f>
        <v>4.1666666666666664E-2</v>
      </c>
      <c r="AF117" s="154">
        <f>+(AF118+AF119+AF120+AF121+AF122+AF123)*E117</f>
        <v>4.4999999999999998E-2</v>
      </c>
      <c r="AG117" s="154">
        <f>+(AG118+AG119+AG120+AG121+AG122+AG123)*E117</f>
        <v>0.1545</v>
      </c>
      <c r="AH117" s="154">
        <f>+(AH118+AH119+AH120+AH121+AH122+AH123)*E117</f>
        <v>2.2499999999999999E-2</v>
      </c>
      <c r="AI117" s="133">
        <f>+AVERAGE(AI118:AI123)</f>
        <v>0.25</v>
      </c>
      <c r="AJ117" s="133">
        <v>0.35833333333333334</v>
      </c>
      <c r="AK117" s="133">
        <f>+AVERAGE(AK118:AK123)</f>
        <v>0.35833333333333334</v>
      </c>
      <c r="AL117" s="133">
        <f>+(AL118+AL119+AL120+AL121+AL122+AL123)*E117</f>
        <v>1.125E-2</v>
      </c>
      <c r="AM117" s="133">
        <f>+(AM118+AM119+AM120+AM121+AM122+AM123)</f>
        <v>0.40749999999999997</v>
      </c>
      <c r="AN117" s="133">
        <f>+(AN118+AN119+AN120+AN121+AN122+AN123)</f>
        <v>0.40749999999999997</v>
      </c>
      <c r="AO117" s="545"/>
      <c r="AP117" s="127"/>
      <c r="AQ117" s="127"/>
      <c r="AR117" s="127"/>
      <c r="AS117" s="127"/>
      <c r="AT117" s="564"/>
      <c r="AU117" s="127"/>
      <c r="AV117" s="127"/>
      <c r="AW117" s="121"/>
      <c r="AX117" s="115"/>
      <c r="AY117" s="115"/>
      <c r="AZ117" s="115"/>
      <c r="BA117" s="115"/>
      <c r="BB117" s="115"/>
      <c r="BC117" s="115"/>
      <c r="BD117" s="115"/>
      <c r="BE117" s="115"/>
      <c r="BF117" s="115"/>
      <c r="BG117" s="115"/>
      <c r="BH117" s="115"/>
      <c r="BI117" s="115"/>
      <c r="BJ117" s="115"/>
      <c r="BK117" s="115"/>
      <c r="BL117" s="115"/>
      <c r="BM117" s="115"/>
      <c r="BN117" s="115"/>
      <c r="BO117" s="115"/>
    </row>
    <row r="118" spans="1:67" ht="93.6" customHeight="1" thickBot="1" x14ac:dyDescent="0.4">
      <c r="A118" s="119"/>
      <c r="B118" s="1378" t="s">
        <v>784</v>
      </c>
      <c r="C118" s="1379" t="s">
        <v>1477</v>
      </c>
      <c r="D118" s="147" t="s">
        <v>767</v>
      </c>
      <c r="E118" s="137">
        <v>0.05</v>
      </c>
      <c r="F118" s="138">
        <v>2</v>
      </c>
      <c r="G118" s="134">
        <v>0</v>
      </c>
      <c r="H118" s="134">
        <v>1</v>
      </c>
      <c r="I118" s="134">
        <v>0.5</v>
      </c>
      <c r="J118" s="139"/>
      <c r="K118" s="139">
        <f t="shared" ref="K118:K123" si="133">+H118/F118</f>
        <v>0.5</v>
      </c>
      <c r="L118" s="139">
        <f t="shared" si="112"/>
        <v>0.25</v>
      </c>
      <c r="M118" s="139"/>
      <c r="N118" s="139">
        <f t="shared" ref="N118:N123" si="134">+(H118/F118)*E118</f>
        <v>2.5000000000000001E-2</v>
      </c>
      <c r="O118" s="139"/>
      <c r="P118" s="134"/>
      <c r="Q118" s="496">
        <v>0</v>
      </c>
      <c r="R118" s="496">
        <v>0</v>
      </c>
      <c r="S118" s="496">
        <v>0</v>
      </c>
      <c r="T118" s="496">
        <v>0</v>
      </c>
      <c r="U118" s="496">
        <v>0.5</v>
      </c>
      <c r="V118" s="134">
        <f t="shared" si="110"/>
        <v>0.5</v>
      </c>
      <c r="W118" s="134">
        <f t="shared" si="121"/>
        <v>0.5</v>
      </c>
      <c r="X118" s="496">
        <v>0</v>
      </c>
      <c r="Y118" s="496">
        <v>0</v>
      </c>
      <c r="Z118" s="134"/>
      <c r="AA118" s="134"/>
      <c r="AB118" s="134">
        <f t="shared" si="114"/>
        <v>0</v>
      </c>
      <c r="AC118" s="156"/>
      <c r="AD118" s="156">
        <f t="shared" ref="AD118:AD123" si="135">+V118/H118</f>
        <v>0.5</v>
      </c>
      <c r="AE118" s="156">
        <f>+AB118/I118</f>
        <v>0</v>
      </c>
      <c r="AF118" s="156"/>
      <c r="AG118" s="156">
        <f t="shared" ref="AG118:AG123" si="136">+AD118*E118</f>
        <v>2.5000000000000001E-2</v>
      </c>
      <c r="AH118" s="156">
        <f t="shared" si="118"/>
        <v>0</v>
      </c>
      <c r="AI118" s="156"/>
      <c r="AJ118" s="156">
        <v>0.25</v>
      </c>
      <c r="AK118" s="156">
        <f t="shared" si="119"/>
        <v>0.25</v>
      </c>
      <c r="AL118" s="156"/>
      <c r="AM118" s="156">
        <f t="shared" si="126"/>
        <v>1.2500000000000001E-2</v>
      </c>
      <c r="AN118" s="156">
        <f t="shared" si="120"/>
        <v>1.2500000000000001E-2</v>
      </c>
      <c r="AO118" s="521" t="s">
        <v>1844</v>
      </c>
      <c r="AP118" s="1162" t="s">
        <v>1914</v>
      </c>
      <c r="AQ118" s="765" t="s">
        <v>1989</v>
      </c>
      <c r="AR118" s="765" t="s">
        <v>2010</v>
      </c>
      <c r="AS118" s="765" t="s">
        <v>2107</v>
      </c>
      <c r="AT118" s="837" t="s">
        <v>2139</v>
      </c>
      <c r="AU118" s="765" t="s">
        <v>2196</v>
      </c>
      <c r="AV118" s="765" t="s">
        <v>1887</v>
      </c>
      <c r="AW118" s="765" t="s">
        <v>2294</v>
      </c>
      <c r="AX118" s="115"/>
      <c r="AY118" s="115"/>
      <c r="AZ118" s="115"/>
      <c r="BA118" s="115"/>
      <c r="BB118" s="115"/>
      <c r="BC118" s="115"/>
      <c r="BD118" s="115"/>
      <c r="BE118" s="115"/>
      <c r="BF118" s="115"/>
      <c r="BG118" s="115"/>
      <c r="BH118" s="115"/>
      <c r="BI118" s="115"/>
      <c r="BJ118" s="115"/>
      <c r="BK118" s="115"/>
      <c r="BL118" s="115"/>
      <c r="BM118" s="115"/>
      <c r="BN118" s="115"/>
      <c r="BO118" s="115"/>
    </row>
    <row r="119" spans="1:67" ht="93" customHeight="1" thickBot="1" x14ac:dyDescent="0.4">
      <c r="A119" s="119"/>
      <c r="B119" s="1378" t="s">
        <v>785</v>
      </c>
      <c r="C119" s="1379" t="s">
        <v>1478</v>
      </c>
      <c r="D119" s="147" t="s">
        <v>767</v>
      </c>
      <c r="E119" s="137">
        <v>0.15</v>
      </c>
      <c r="F119" s="138">
        <v>4</v>
      </c>
      <c r="G119" s="134">
        <v>1</v>
      </c>
      <c r="H119" s="134">
        <v>1</v>
      </c>
      <c r="I119" s="134">
        <v>1</v>
      </c>
      <c r="J119" s="139">
        <f>+G119/F119</f>
        <v>0.25</v>
      </c>
      <c r="K119" s="139">
        <f t="shared" si="133"/>
        <v>0.25</v>
      </c>
      <c r="L119" s="139">
        <f t="shared" si="112"/>
        <v>0.25</v>
      </c>
      <c r="M119" s="139">
        <f>+(G119/F119)*E119</f>
        <v>3.7499999999999999E-2</v>
      </c>
      <c r="N119" s="139">
        <f>+(H119/F119)*E119</f>
        <v>3.7499999999999999E-2</v>
      </c>
      <c r="O119" s="139"/>
      <c r="P119" s="134">
        <v>1</v>
      </c>
      <c r="Q119" s="496">
        <v>0</v>
      </c>
      <c r="R119" s="496">
        <v>0</v>
      </c>
      <c r="S119" s="496">
        <v>0</v>
      </c>
      <c r="T119" s="496">
        <v>0</v>
      </c>
      <c r="U119" s="496">
        <v>1</v>
      </c>
      <c r="V119" s="134">
        <f t="shared" si="110"/>
        <v>1</v>
      </c>
      <c r="W119" s="134">
        <f>+V119+P119+AB119</f>
        <v>2</v>
      </c>
      <c r="X119" s="496">
        <v>0</v>
      </c>
      <c r="Y119" s="496">
        <v>0</v>
      </c>
      <c r="Z119" s="134"/>
      <c r="AA119" s="134"/>
      <c r="AB119" s="134">
        <f t="shared" si="114"/>
        <v>0</v>
      </c>
      <c r="AC119" s="156">
        <f>+(P119/G119)</f>
        <v>1</v>
      </c>
      <c r="AD119" s="156">
        <f>+V119/H119</f>
        <v>1</v>
      </c>
      <c r="AE119" s="156">
        <f t="shared" si="116"/>
        <v>0</v>
      </c>
      <c r="AF119" s="156">
        <f>+AC119*E119</f>
        <v>0.15</v>
      </c>
      <c r="AG119" s="156">
        <f t="shared" si="136"/>
        <v>0.15</v>
      </c>
      <c r="AH119" s="156">
        <f t="shared" si="118"/>
        <v>0</v>
      </c>
      <c r="AI119" s="156">
        <f>+P119/F119</f>
        <v>0.25</v>
      </c>
      <c r="AJ119" s="156">
        <v>0.5</v>
      </c>
      <c r="AK119" s="156">
        <f t="shared" si="119"/>
        <v>0.5</v>
      </c>
      <c r="AL119" s="156">
        <f>+AI119*E119</f>
        <v>3.7499999999999999E-2</v>
      </c>
      <c r="AM119" s="156">
        <f t="shared" si="126"/>
        <v>7.4999999999999997E-2</v>
      </c>
      <c r="AN119" s="156">
        <f t="shared" si="120"/>
        <v>7.4999999999999997E-2</v>
      </c>
      <c r="AO119" s="521" t="s">
        <v>1844</v>
      </c>
      <c r="AP119" s="766" t="s">
        <v>1886</v>
      </c>
      <c r="AQ119" s="765" t="s">
        <v>1989</v>
      </c>
      <c r="AR119" s="765" t="s">
        <v>2010</v>
      </c>
      <c r="AS119" s="765" t="s">
        <v>2107</v>
      </c>
      <c r="AT119" s="837" t="s">
        <v>2139</v>
      </c>
      <c r="AU119" s="765" t="s">
        <v>2196</v>
      </c>
      <c r="AV119" s="765" t="s">
        <v>1887</v>
      </c>
      <c r="AW119" s="765" t="s">
        <v>2294</v>
      </c>
      <c r="AX119" s="115"/>
      <c r="AY119" s="115"/>
      <c r="AZ119" s="115"/>
      <c r="BA119" s="115"/>
      <c r="BB119" s="115"/>
      <c r="BC119" s="115"/>
      <c r="BD119" s="115"/>
      <c r="BE119" s="115"/>
      <c r="BF119" s="115"/>
      <c r="BG119" s="115"/>
      <c r="BH119" s="115"/>
      <c r="BI119" s="115"/>
      <c r="BJ119" s="115"/>
      <c r="BK119" s="115"/>
      <c r="BL119" s="115"/>
      <c r="BM119" s="115"/>
      <c r="BN119" s="115"/>
      <c r="BO119" s="115"/>
    </row>
    <row r="120" spans="1:67" ht="59.4" customHeight="1" thickBot="1" x14ac:dyDescent="0.4">
      <c r="A120" s="119"/>
      <c r="B120" s="1378" t="s">
        <v>786</v>
      </c>
      <c r="C120" s="1379" t="s">
        <v>1479</v>
      </c>
      <c r="D120" s="147" t="s">
        <v>767</v>
      </c>
      <c r="E120" s="137">
        <v>0.4</v>
      </c>
      <c r="F120" s="138">
        <v>1</v>
      </c>
      <c r="G120" s="134">
        <v>0</v>
      </c>
      <c r="H120" s="134">
        <v>0.5</v>
      </c>
      <c r="I120" s="134">
        <v>0.25</v>
      </c>
      <c r="J120" s="139"/>
      <c r="K120" s="139"/>
      <c r="L120" s="139">
        <f t="shared" si="112"/>
        <v>0.25</v>
      </c>
      <c r="M120" s="139"/>
      <c r="N120" s="139"/>
      <c r="O120" s="139"/>
      <c r="P120" s="134"/>
      <c r="Q120" s="496"/>
      <c r="R120" s="496"/>
      <c r="S120" s="496">
        <v>0</v>
      </c>
      <c r="T120" s="496">
        <v>0</v>
      </c>
      <c r="U120" s="496">
        <v>0</v>
      </c>
      <c r="V120" s="134">
        <f t="shared" si="110"/>
        <v>0</v>
      </c>
      <c r="W120" s="134">
        <f t="shared" si="121"/>
        <v>0</v>
      </c>
      <c r="X120" s="496">
        <v>0</v>
      </c>
      <c r="Y120" s="496">
        <v>0</v>
      </c>
      <c r="Z120" s="134"/>
      <c r="AA120" s="134"/>
      <c r="AB120" s="134">
        <f t="shared" si="114"/>
        <v>0</v>
      </c>
      <c r="AC120" s="156"/>
      <c r="AD120" s="156">
        <v>0</v>
      </c>
      <c r="AE120" s="156">
        <f t="shared" si="116"/>
        <v>0</v>
      </c>
      <c r="AF120" s="156"/>
      <c r="AG120" s="156">
        <f t="shared" si="136"/>
        <v>0</v>
      </c>
      <c r="AH120" s="156">
        <f t="shared" si="118"/>
        <v>0</v>
      </c>
      <c r="AI120" s="156"/>
      <c r="AJ120" s="156">
        <v>0</v>
      </c>
      <c r="AK120" s="156">
        <f t="shared" si="119"/>
        <v>0</v>
      </c>
      <c r="AL120" s="156"/>
      <c r="AM120" s="156">
        <f t="shared" si="126"/>
        <v>0</v>
      </c>
      <c r="AN120" s="156">
        <f t="shared" si="120"/>
        <v>0</v>
      </c>
      <c r="AO120" s="521" t="s">
        <v>1844</v>
      </c>
      <c r="AP120" s="766" t="s">
        <v>1886</v>
      </c>
      <c r="AQ120" s="765" t="s">
        <v>1989</v>
      </c>
      <c r="AR120" s="765" t="s">
        <v>2010</v>
      </c>
      <c r="AS120" s="765" t="s">
        <v>2107</v>
      </c>
      <c r="AT120" s="837" t="s">
        <v>2139</v>
      </c>
      <c r="AU120" s="765" t="s">
        <v>2196</v>
      </c>
      <c r="AV120" s="765" t="s">
        <v>1887</v>
      </c>
      <c r="AW120" s="765" t="s">
        <v>2294</v>
      </c>
      <c r="AX120" s="115"/>
      <c r="AY120" s="115"/>
      <c r="AZ120" s="115"/>
      <c r="BA120" s="115"/>
      <c r="BB120" s="115"/>
      <c r="BC120" s="115"/>
      <c r="BD120" s="115"/>
      <c r="BE120" s="115"/>
      <c r="BF120" s="115"/>
      <c r="BG120" s="115"/>
      <c r="BH120" s="115"/>
      <c r="BI120" s="115"/>
      <c r="BJ120" s="115"/>
      <c r="BK120" s="115"/>
      <c r="BL120" s="115"/>
      <c r="BM120" s="115"/>
      <c r="BN120" s="115"/>
      <c r="BO120" s="115"/>
    </row>
    <row r="121" spans="1:67" ht="59.4" customHeight="1" thickBot="1" x14ac:dyDescent="0.4">
      <c r="A121" s="119"/>
      <c r="B121" s="1378" t="s">
        <v>787</v>
      </c>
      <c r="C121" s="1379" t="s">
        <v>1480</v>
      </c>
      <c r="D121" s="147" t="s">
        <v>767</v>
      </c>
      <c r="E121" s="137">
        <v>0.3</v>
      </c>
      <c r="F121" s="138">
        <v>1</v>
      </c>
      <c r="G121" s="134">
        <v>0</v>
      </c>
      <c r="H121" s="134">
        <v>1</v>
      </c>
      <c r="I121" s="134">
        <v>1</v>
      </c>
      <c r="J121" s="139"/>
      <c r="K121" s="139">
        <f t="shared" si="133"/>
        <v>1</v>
      </c>
      <c r="L121" s="139"/>
      <c r="M121" s="139"/>
      <c r="N121" s="139">
        <f t="shared" si="134"/>
        <v>0.3</v>
      </c>
      <c r="O121" s="139"/>
      <c r="P121" s="134"/>
      <c r="Q121" s="496">
        <v>1</v>
      </c>
      <c r="R121" s="496">
        <v>0</v>
      </c>
      <c r="S121" s="496">
        <v>0</v>
      </c>
      <c r="T121" s="496">
        <v>0</v>
      </c>
      <c r="U121" s="496">
        <v>0</v>
      </c>
      <c r="V121" s="134">
        <f t="shared" si="110"/>
        <v>1</v>
      </c>
      <c r="W121" s="134">
        <f t="shared" si="121"/>
        <v>1.25</v>
      </c>
      <c r="X121" s="496">
        <v>0</v>
      </c>
      <c r="Y121" s="496">
        <v>0.25</v>
      </c>
      <c r="Z121" s="134"/>
      <c r="AA121" s="134"/>
      <c r="AB121" s="134">
        <f t="shared" si="114"/>
        <v>0.25</v>
      </c>
      <c r="AC121" s="156"/>
      <c r="AD121" s="156">
        <f t="shared" si="135"/>
        <v>1</v>
      </c>
      <c r="AE121" s="156">
        <f t="shared" si="116"/>
        <v>0.25</v>
      </c>
      <c r="AF121" s="156"/>
      <c r="AG121" s="156">
        <f t="shared" si="136"/>
        <v>0.3</v>
      </c>
      <c r="AH121" s="156">
        <f t="shared" si="118"/>
        <v>7.4999999999999997E-2</v>
      </c>
      <c r="AI121" s="156"/>
      <c r="AJ121" s="156">
        <v>1</v>
      </c>
      <c r="AK121" s="156">
        <v>1</v>
      </c>
      <c r="AL121" s="156"/>
      <c r="AM121" s="156">
        <f>+AJ121*E121</f>
        <v>0.3</v>
      </c>
      <c r="AN121" s="156">
        <f t="shared" si="120"/>
        <v>0.3</v>
      </c>
      <c r="AO121" s="521" t="s">
        <v>1844</v>
      </c>
      <c r="AP121" s="766" t="s">
        <v>1901</v>
      </c>
      <c r="AQ121" s="765" t="s">
        <v>1989</v>
      </c>
      <c r="AR121" s="765" t="s">
        <v>2010</v>
      </c>
      <c r="AS121" s="765" t="s">
        <v>2107</v>
      </c>
      <c r="AT121" s="837" t="s">
        <v>2139</v>
      </c>
      <c r="AU121" s="765" t="s">
        <v>2196</v>
      </c>
      <c r="AV121" s="765" t="s">
        <v>1887</v>
      </c>
      <c r="AW121" s="765" t="s">
        <v>2294</v>
      </c>
      <c r="AX121" s="115"/>
      <c r="AY121" s="115"/>
      <c r="AZ121" s="115"/>
      <c r="BA121" s="115"/>
      <c r="BB121" s="115"/>
      <c r="BC121" s="115"/>
      <c r="BD121" s="115"/>
      <c r="BE121" s="115"/>
      <c r="BF121" s="115"/>
      <c r="BG121" s="115"/>
      <c r="BH121" s="115"/>
      <c r="BI121" s="115"/>
      <c r="BJ121" s="115"/>
      <c r="BK121" s="115"/>
      <c r="BL121" s="115"/>
      <c r="BM121" s="115"/>
      <c r="BN121" s="115"/>
      <c r="BO121" s="115"/>
    </row>
    <row r="122" spans="1:67" ht="107.4" customHeight="1" thickBot="1" x14ac:dyDescent="0.4">
      <c r="A122" s="119"/>
      <c r="B122" s="1378" t="s">
        <v>788</v>
      </c>
      <c r="C122" s="1379" t="s">
        <v>1481</v>
      </c>
      <c r="D122" s="147" t="s">
        <v>767</v>
      </c>
      <c r="E122" s="137">
        <v>0.05</v>
      </c>
      <c r="F122" s="138">
        <v>1</v>
      </c>
      <c r="G122" s="134">
        <v>0</v>
      </c>
      <c r="H122" s="134">
        <v>0.5</v>
      </c>
      <c r="I122" s="134">
        <v>0.3</v>
      </c>
      <c r="J122" s="139"/>
      <c r="K122" s="139">
        <f t="shared" si="133"/>
        <v>0.5</v>
      </c>
      <c r="L122" s="139">
        <f t="shared" si="112"/>
        <v>0.3</v>
      </c>
      <c r="M122" s="139"/>
      <c r="N122" s="139">
        <f t="shared" si="134"/>
        <v>2.5000000000000001E-2</v>
      </c>
      <c r="O122" s="139"/>
      <c r="P122" s="134"/>
      <c r="Q122" s="496">
        <v>0</v>
      </c>
      <c r="R122" s="496">
        <v>0</v>
      </c>
      <c r="S122" s="496">
        <v>0</v>
      </c>
      <c r="T122" s="496">
        <v>0</v>
      </c>
      <c r="U122" s="496">
        <v>0.2</v>
      </c>
      <c r="V122" s="134">
        <f t="shared" si="110"/>
        <v>0.2</v>
      </c>
      <c r="W122" s="134">
        <f t="shared" si="121"/>
        <v>0.2</v>
      </c>
      <c r="X122" s="496">
        <v>0</v>
      </c>
      <c r="Y122" s="496">
        <v>0</v>
      </c>
      <c r="Z122" s="134"/>
      <c r="AA122" s="134"/>
      <c r="AB122" s="134">
        <f t="shared" si="114"/>
        <v>0</v>
      </c>
      <c r="AC122" s="156"/>
      <c r="AD122" s="156">
        <f t="shared" si="135"/>
        <v>0.4</v>
      </c>
      <c r="AE122" s="156">
        <f t="shared" si="116"/>
        <v>0</v>
      </c>
      <c r="AF122" s="156"/>
      <c r="AG122" s="156">
        <f t="shared" si="136"/>
        <v>2.0000000000000004E-2</v>
      </c>
      <c r="AH122" s="156">
        <f t="shared" si="118"/>
        <v>0</v>
      </c>
      <c r="AI122" s="156"/>
      <c r="AJ122" s="156">
        <v>0.2</v>
      </c>
      <c r="AK122" s="156">
        <f t="shared" si="119"/>
        <v>0.2</v>
      </c>
      <c r="AL122" s="156"/>
      <c r="AM122" s="156">
        <f t="shared" si="126"/>
        <v>1.0000000000000002E-2</v>
      </c>
      <c r="AN122" s="156">
        <f t="shared" si="120"/>
        <v>1.0000000000000002E-2</v>
      </c>
      <c r="AO122" s="521" t="s">
        <v>1844</v>
      </c>
      <c r="AP122" s="1162" t="s">
        <v>1914</v>
      </c>
      <c r="AQ122" s="765" t="s">
        <v>1989</v>
      </c>
      <c r="AR122" s="765" t="s">
        <v>2010</v>
      </c>
      <c r="AS122" s="765" t="s">
        <v>2107</v>
      </c>
      <c r="AT122" s="837" t="s">
        <v>2139</v>
      </c>
      <c r="AU122" s="765" t="s">
        <v>2196</v>
      </c>
      <c r="AV122" s="765" t="s">
        <v>1887</v>
      </c>
      <c r="AW122" s="765" t="s">
        <v>2294</v>
      </c>
      <c r="AX122" s="115"/>
      <c r="AY122" s="115"/>
      <c r="AZ122" s="115"/>
      <c r="BA122" s="115"/>
      <c r="BB122" s="115"/>
      <c r="BC122" s="115"/>
      <c r="BD122" s="115"/>
      <c r="BE122" s="115"/>
      <c r="BF122" s="115"/>
      <c r="BG122" s="115"/>
      <c r="BH122" s="115"/>
      <c r="BI122" s="115"/>
      <c r="BJ122" s="115"/>
      <c r="BK122" s="115"/>
      <c r="BL122" s="115"/>
      <c r="BM122" s="115"/>
      <c r="BN122" s="115"/>
      <c r="BO122" s="115"/>
    </row>
    <row r="123" spans="1:67" ht="103.2" customHeight="1" thickBot="1" x14ac:dyDescent="0.4">
      <c r="A123" s="119"/>
      <c r="B123" s="1378" t="s">
        <v>789</v>
      </c>
      <c r="C123" s="1379" t="s">
        <v>1482</v>
      </c>
      <c r="D123" s="157" t="s">
        <v>838</v>
      </c>
      <c r="E123" s="137">
        <v>0.05</v>
      </c>
      <c r="F123" s="138">
        <v>1</v>
      </c>
      <c r="G123" s="134">
        <v>0</v>
      </c>
      <c r="H123" s="134">
        <v>0.5</v>
      </c>
      <c r="I123" s="134">
        <v>0.5</v>
      </c>
      <c r="J123" s="139"/>
      <c r="K123" s="139">
        <f t="shared" si="133"/>
        <v>0.5</v>
      </c>
      <c r="L123" s="139">
        <f t="shared" si="112"/>
        <v>0.5</v>
      </c>
      <c r="M123" s="139"/>
      <c r="N123" s="139">
        <f t="shared" si="134"/>
        <v>2.5000000000000001E-2</v>
      </c>
      <c r="O123" s="139"/>
      <c r="P123" s="134"/>
      <c r="Q123" s="496">
        <v>0</v>
      </c>
      <c r="R123" s="496">
        <v>0</v>
      </c>
      <c r="S123" s="496">
        <v>0</v>
      </c>
      <c r="T123" s="496">
        <v>0</v>
      </c>
      <c r="U123" s="496">
        <v>0.2</v>
      </c>
      <c r="V123" s="134">
        <f t="shared" si="110"/>
        <v>0.2</v>
      </c>
      <c r="W123" s="134">
        <f t="shared" si="121"/>
        <v>0.2</v>
      </c>
      <c r="X123" s="496">
        <v>0</v>
      </c>
      <c r="Y123" s="496">
        <v>0</v>
      </c>
      <c r="Z123" s="134"/>
      <c r="AA123" s="134"/>
      <c r="AB123" s="134">
        <f t="shared" si="114"/>
        <v>0</v>
      </c>
      <c r="AC123" s="156"/>
      <c r="AD123" s="156">
        <f t="shared" si="135"/>
        <v>0.4</v>
      </c>
      <c r="AE123" s="156">
        <f t="shared" si="116"/>
        <v>0</v>
      </c>
      <c r="AF123" s="156"/>
      <c r="AG123" s="156">
        <f t="shared" si="136"/>
        <v>2.0000000000000004E-2</v>
      </c>
      <c r="AH123" s="156">
        <f t="shared" si="118"/>
        <v>0</v>
      </c>
      <c r="AI123" s="156"/>
      <c r="AJ123" s="156">
        <v>0.2</v>
      </c>
      <c r="AK123" s="156">
        <f t="shared" si="119"/>
        <v>0.2</v>
      </c>
      <c r="AL123" s="156"/>
      <c r="AM123" s="156">
        <f t="shared" si="126"/>
        <v>1.0000000000000002E-2</v>
      </c>
      <c r="AN123" s="156">
        <f t="shared" si="120"/>
        <v>1.0000000000000002E-2</v>
      </c>
      <c r="AO123" s="521" t="s">
        <v>1844</v>
      </c>
      <c r="AP123" s="1162" t="s">
        <v>1914</v>
      </c>
      <c r="AQ123" s="765" t="s">
        <v>1989</v>
      </c>
      <c r="AR123" s="765" t="s">
        <v>2010</v>
      </c>
      <c r="AS123" s="765" t="s">
        <v>2107</v>
      </c>
      <c r="AT123" s="837" t="s">
        <v>2139</v>
      </c>
      <c r="AU123" s="765" t="s">
        <v>2196</v>
      </c>
      <c r="AV123" s="765" t="s">
        <v>1887</v>
      </c>
      <c r="AW123" s="765" t="s">
        <v>2294</v>
      </c>
      <c r="AX123" s="115"/>
      <c r="AY123" s="115"/>
      <c r="AZ123" s="115"/>
      <c r="BA123" s="115"/>
      <c r="BB123" s="115"/>
      <c r="BC123" s="115"/>
      <c r="BD123" s="115"/>
      <c r="BE123" s="115"/>
      <c r="BF123" s="115"/>
      <c r="BG123" s="115"/>
      <c r="BH123" s="115"/>
      <c r="BI123" s="115"/>
      <c r="BJ123" s="115"/>
      <c r="BK123" s="115"/>
      <c r="BL123" s="115"/>
      <c r="BM123" s="115"/>
      <c r="BN123" s="115"/>
      <c r="BO123" s="115"/>
    </row>
    <row r="124" spans="1:67" ht="93" customHeight="1" thickBot="1" x14ac:dyDescent="0.4">
      <c r="A124" s="119"/>
      <c r="B124" s="1382" t="s">
        <v>1797</v>
      </c>
      <c r="C124" s="1383"/>
      <c r="D124" s="158"/>
      <c r="E124" s="122">
        <v>0.2</v>
      </c>
      <c r="F124" s="123">
        <f>+E124*AF124</f>
        <v>0.11007500000000002</v>
      </c>
      <c r="G124" s="127"/>
      <c r="H124" s="123">
        <f>+E124*AG124</f>
        <v>0</v>
      </c>
      <c r="I124" s="123">
        <f>+E124*AH124</f>
        <v>5.0000000000000012E-4</v>
      </c>
      <c r="J124" s="125">
        <f>+(J125+J129)/2</f>
        <v>0.3833333333333333</v>
      </c>
      <c r="K124" s="125">
        <f>+(K125+K129)/2</f>
        <v>0.20555555555555555</v>
      </c>
      <c r="L124" s="125">
        <f>+(L125+L129)/2</f>
        <v>0.42147167189671053</v>
      </c>
      <c r="M124" s="126">
        <f>+(M125+M129)/2</f>
        <v>0.1958333333333333</v>
      </c>
      <c r="N124" s="126">
        <f>+(N125+N129)/2</f>
        <v>0.1958333333333333</v>
      </c>
      <c r="O124" s="126"/>
      <c r="P124" s="127"/>
      <c r="Q124" s="127"/>
      <c r="R124" s="127"/>
      <c r="S124" s="127"/>
      <c r="T124" s="127"/>
      <c r="U124" s="835"/>
      <c r="V124" s="819"/>
      <c r="W124" s="127"/>
      <c r="X124" s="127"/>
      <c r="Y124" s="127"/>
      <c r="Z124" s="127"/>
      <c r="AA124" s="127"/>
      <c r="AB124" s="127"/>
      <c r="AC124" s="125">
        <f>+(AC125+AC129)/2</f>
        <v>0.93366666666666664</v>
      </c>
      <c r="AD124" s="125">
        <f>+(AD125+AD129)/2</f>
        <v>0.71499999999999997</v>
      </c>
      <c r="AE124" s="125">
        <f>+(AE125+AE129)/2</f>
        <v>3.3333333333333333E-2</v>
      </c>
      <c r="AF124" s="126">
        <f>AF125+AF129</f>
        <v>0.55037500000000006</v>
      </c>
      <c r="AG124" s="126">
        <f>AG125+AG129</f>
        <v>0</v>
      </c>
      <c r="AH124" s="126">
        <f>AH125+AH129</f>
        <v>2.5000000000000005E-3</v>
      </c>
      <c r="AI124" s="125">
        <f>(AI125+AI129)/2</f>
        <v>0.24676666666666666</v>
      </c>
      <c r="AJ124" s="125">
        <v>0.35954444444444444</v>
      </c>
      <c r="AK124" s="125">
        <f>(AK125+AK129)/2</f>
        <v>0.37621111111111111</v>
      </c>
      <c r="AL124" s="126">
        <f>AL125+AL129</f>
        <v>0.19011249999999999</v>
      </c>
      <c r="AM124" s="126">
        <f>AM125*E125+AM129*E129</f>
        <v>0.33761249999999998</v>
      </c>
      <c r="AN124" s="126">
        <f>AN125*E125+AN129*E129</f>
        <v>0.33886249999999996</v>
      </c>
      <c r="AO124" s="545"/>
      <c r="AP124" s="127"/>
      <c r="AQ124" s="127"/>
      <c r="AR124" s="127"/>
      <c r="AS124" s="127"/>
      <c r="AT124" s="564"/>
      <c r="AU124" s="127"/>
      <c r="AV124" s="127"/>
      <c r="AW124" s="121"/>
      <c r="AX124" s="115"/>
      <c r="AY124" s="115"/>
      <c r="AZ124" s="115"/>
      <c r="BA124" s="115"/>
      <c r="BB124" s="115"/>
      <c r="BC124" s="115"/>
      <c r="BD124" s="115"/>
      <c r="BE124" s="115"/>
      <c r="BF124" s="115"/>
      <c r="BG124" s="115"/>
      <c r="BH124" s="115"/>
      <c r="BI124" s="115"/>
      <c r="BJ124" s="115"/>
      <c r="BK124" s="115"/>
      <c r="BL124" s="115"/>
      <c r="BM124" s="115"/>
      <c r="BN124" s="115"/>
      <c r="BO124" s="115"/>
    </row>
    <row r="125" spans="1:67" ht="44.4" customHeight="1" thickBot="1" x14ac:dyDescent="0.4">
      <c r="A125" s="119"/>
      <c r="B125" s="1380" t="s">
        <v>1718</v>
      </c>
      <c r="C125" s="1381"/>
      <c r="D125" s="164"/>
      <c r="E125" s="130">
        <v>0.75</v>
      </c>
      <c r="F125" s="149"/>
      <c r="G125" s="127"/>
      <c r="H125" s="127"/>
      <c r="I125" s="127"/>
      <c r="J125" s="133">
        <f>+AVERAGE(J126:J128)</f>
        <v>0.33333333333333331</v>
      </c>
      <c r="K125" s="133">
        <f>+AVERAGE(K126:K128)</f>
        <v>0.1111111111111111</v>
      </c>
      <c r="L125" s="133">
        <f>+AVERAGE(L126:L128)</f>
        <v>0.40961001046008771</v>
      </c>
      <c r="M125" s="133">
        <f>+M126+M127+M128</f>
        <v>0.16666666666666666</v>
      </c>
      <c r="N125" s="133">
        <f>+N126+N127+N128</f>
        <v>0.16666666666666666</v>
      </c>
      <c r="O125" s="133"/>
      <c r="P125" s="132"/>
      <c r="Q125" s="132"/>
      <c r="R125" s="132"/>
      <c r="S125" s="132"/>
      <c r="T125" s="132"/>
      <c r="U125" s="836"/>
      <c r="V125" s="134"/>
      <c r="W125" s="132"/>
      <c r="X125" s="132"/>
      <c r="Y125" s="132"/>
      <c r="Z125" s="132"/>
      <c r="AA125" s="132"/>
      <c r="AB125" s="132"/>
      <c r="AC125" s="154">
        <f>+AVERAGE(AC126:AC128)</f>
        <v>1</v>
      </c>
      <c r="AD125" s="154">
        <f>+AVERAGE(AD126:AD128)</f>
        <v>0.43</v>
      </c>
      <c r="AE125" s="154">
        <f>+AVERAGE(AE126:AE128)</f>
        <v>0</v>
      </c>
      <c r="AF125" s="154">
        <f>+(AF126+AF127+AF128)*E125</f>
        <v>0.375</v>
      </c>
      <c r="AG125" s="154">
        <f>+(AG126+AG127+AG128)*F125</f>
        <v>0</v>
      </c>
      <c r="AH125" s="154">
        <f>+(AH126+AH127+AH128)*E125</f>
        <v>0</v>
      </c>
      <c r="AI125" s="133">
        <f>+AVERAGE(AI126:AI128)*0.3</f>
        <v>9.9999999999999992E-2</v>
      </c>
      <c r="AJ125" s="133">
        <v>0.15888888888888889</v>
      </c>
      <c r="AK125" s="133">
        <f>+AVERAGE(AK126:AK128)</f>
        <v>0.15888888888888889</v>
      </c>
      <c r="AL125" s="133">
        <f>+(AL126+AL127+AL128)*E125</f>
        <v>0.125</v>
      </c>
      <c r="AM125" s="133">
        <f>+(AM126+AM127+AM128)</f>
        <v>0.23833333333333331</v>
      </c>
      <c r="AN125" s="133">
        <f>+(AN126+AN127+AN128)</f>
        <v>0.23833333333333331</v>
      </c>
      <c r="AO125" s="545"/>
      <c r="AP125" s="127"/>
      <c r="AQ125" s="127"/>
      <c r="AR125" s="127"/>
      <c r="AS125" s="127"/>
      <c r="AT125" s="564"/>
      <c r="AU125" s="127"/>
      <c r="AV125" s="127"/>
      <c r="AW125" s="121"/>
      <c r="AX125" s="115"/>
      <c r="AY125" s="115"/>
      <c r="AZ125" s="115"/>
      <c r="BA125" s="115"/>
      <c r="BB125" s="115"/>
      <c r="BC125" s="115"/>
      <c r="BD125" s="115"/>
      <c r="BE125" s="115"/>
      <c r="BF125" s="115"/>
      <c r="BG125" s="115"/>
      <c r="BH125" s="115"/>
      <c r="BI125" s="115"/>
      <c r="BJ125" s="115"/>
      <c r="BK125" s="115"/>
      <c r="BL125" s="115"/>
      <c r="BM125" s="115"/>
      <c r="BN125" s="115"/>
      <c r="BO125" s="115"/>
    </row>
    <row r="126" spans="1:67" ht="168" customHeight="1" thickBot="1" x14ac:dyDescent="0.4">
      <c r="A126" s="119"/>
      <c r="B126" s="1393" t="s">
        <v>791</v>
      </c>
      <c r="C126" s="1397" t="s">
        <v>1483</v>
      </c>
      <c r="D126" s="169" t="s">
        <v>792</v>
      </c>
      <c r="E126" s="137">
        <v>0.5</v>
      </c>
      <c r="F126" s="138">
        <v>3</v>
      </c>
      <c r="G126" s="134">
        <v>1</v>
      </c>
      <c r="H126" s="134">
        <v>1</v>
      </c>
      <c r="I126" s="134">
        <v>1</v>
      </c>
      <c r="J126" s="139">
        <f>+G126/F126</f>
        <v>0.33333333333333331</v>
      </c>
      <c r="K126" s="139">
        <f t="shared" ref="K126:K128" si="137">+H126/F126</f>
        <v>0.33333333333333331</v>
      </c>
      <c r="L126" s="139">
        <f t="shared" ref="L126:L132" si="138">+I126/F126</f>
        <v>0.33333333333333331</v>
      </c>
      <c r="M126" s="139">
        <f>+(G126/F126)*E126</f>
        <v>0.16666666666666666</v>
      </c>
      <c r="N126" s="139">
        <f t="shared" ref="N126:N128" si="139">+(H126/F126)*E126</f>
        <v>0.16666666666666666</v>
      </c>
      <c r="O126" s="139"/>
      <c r="P126" s="134">
        <v>1</v>
      </c>
      <c r="Q126" s="496">
        <v>0</v>
      </c>
      <c r="R126" s="496">
        <v>0.43</v>
      </c>
      <c r="S126" s="496">
        <v>0</v>
      </c>
      <c r="T126" s="496">
        <v>0</v>
      </c>
      <c r="U126" s="496"/>
      <c r="V126" s="134">
        <f t="shared" si="110"/>
        <v>0.43</v>
      </c>
      <c r="W126" s="134">
        <f>+V126+P126+AB126</f>
        <v>1.43</v>
      </c>
      <c r="X126" s="496">
        <v>0</v>
      </c>
      <c r="Y126" s="496">
        <v>0</v>
      </c>
      <c r="Z126" s="134"/>
      <c r="AA126" s="134"/>
      <c r="AB126" s="134">
        <f t="shared" ref="AB126:AB132" si="140">+X126+Y126+Z126+AA126</f>
        <v>0</v>
      </c>
      <c r="AC126" s="139">
        <f>+(P126/G126)</f>
        <v>1</v>
      </c>
      <c r="AD126" s="139">
        <f t="shared" ref="AD126" si="141">+V126/H126</f>
        <v>0.43</v>
      </c>
      <c r="AE126" s="139">
        <f t="shared" ref="AE126:AE132" si="142">+AB126/I126</f>
        <v>0</v>
      </c>
      <c r="AF126" s="141">
        <f>+AC126*E126</f>
        <v>0.5</v>
      </c>
      <c r="AG126" s="141">
        <f t="shared" ref="AG126:AG128" si="143">+AD126*E126</f>
        <v>0.215</v>
      </c>
      <c r="AH126" s="141">
        <f t="shared" ref="AH126:AH132" si="144">+AE126*E126</f>
        <v>0</v>
      </c>
      <c r="AI126" s="139">
        <f>+P126/F126</f>
        <v>0.33333333333333331</v>
      </c>
      <c r="AJ126" s="139">
        <v>0.47666666666666663</v>
      </c>
      <c r="AK126" s="156">
        <f t="shared" ref="AK126:AK132" si="145">+W126/F126</f>
        <v>0.47666666666666663</v>
      </c>
      <c r="AL126" s="139">
        <f>+AI126*E126</f>
        <v>0.16666666666666666</v>
      </c>
      <c r="AM126" s="139">
        <f>+AJ126*E126</f>
        <v>0.23833333333333331</v>
      </c>
      <c r="AN126" s="156">
        <f t="shared" ref="AN126:AN132" si="146">+AK126*E126</f>
        <v>0.23833333333333331</v>
      </c>
      <c r="AO126" s="521" t="s">
        <v>1844</v>
      </c>
      <c r="AP126" s="766" t="s">
        <v>1886</v>
      </c>
      <c r="AQ126" s="765" t="s">
        <v>1989</v>
      </c>
      <c r="AR126" s="765" t="s">
        <v>2010</v>
      </c>
      <c r="AS126" s="765" t="s">
        <v>2107</v>
      </c>
      <c r="AT126" s="564"/>
      <c r="AU126" s="765" t="s">
        <v>2196</v>
      </c>
      <c r="AV126" s="791" t="s">
        <v>1887</v>
      </c>
      <c r="AW126" s="121"/>
      <c r="AX126" s="115"/>
      <c r="AY126" s="115"/>
      <c r="AZ126" s="115"/>
      <c r="BA126" s="115"/>
      <c r="BB126" s="115"/>
      <c r="BC126" s="115"/>
      <c r="BD126" s="115"/>
      <c r="BE126" s="115"/>
      <c r="BF126" s="115"/>
      <c r="BG126" s="115"/>
      <c r="BH126" s="115"/>
      <c r="BI126" s="115"/>
      <c r="BJ126" s="115"/>
      <c r="BK126" s="115"/>
      <c r="BL126" s="115"/>
      <c r="BM126" s="115"/>
      <c r="BN126" s="115"/>
      <c r="BO126" s="115"/>
    </row>
    <row r="127" spans="1:67" ht="94.2" customHeight="1" thickBot="1" x14ac:dyDescent="0.4">
      <c r="A127" s="119"/>
      <c r="B127" s="1398" t="s">
        <v>793</v>
      </c>
      <c r="C127" s="1399" t="s">
        <v>1484</v>
      </c>
      <c r="D127" s="170" t="s">
        <v>794</v>
      </c>
      <c r="E127" s="137">
        <v>0.25</v>
      </c>
      <c r="F127" s="138">
        <v>176</v>
      </c>
      <c r="G127" s="134">
        <v>0</v>
      </c>
      <c r="H127" s="134">
        <v>0</v>
      </c>
      <c r="I127" s="134">
        <v>76</v>
      </c>
      <c r="J127" s="139"/>
      <c r="K127" s="139">
        <f t="shared" si="137"/>
        <v>0</v>
      </c>
      <c r="L127" s="139">
        <f t="shared" si="138"/>
        <v>0.43181818181818182</v>
      </c>
      <c r="M127" s="139"/>
      <c r="N127" s="139">
        <f t="shared" si="139"/>
        <v>0</v>
      </c>
      <c r="O127" s="139"/>
      <c r="P127" s="134"/>
      <c r="Q127" s="496">
        <v>0</v>
      </c>
      <c r="R127" s="496">
        <v>0</v>
      </c>
      <c r="S127" s="496">
        <v>0</v>
      </c>
      <c r="T127" s="496"/>
      <c r="U127" s="496"/>
      <c r="V127" s="134">
        <f t="shared" si="110"/>
        <v>0</v>
      </c>
      <c r="W127" s="134">
        <f t="shared" ref="W127:W128" si="147">+V127+P127+AB127</f>
        <v>0</v>
      </c>
      <c r="X127" s="496">
        <v>0</v>
      </c>
      <c r="Y127" s="496">
        <v>0</v>
      </c>
      <c r="Z127" s="134"/>
      <c r="AA127" s="134"/>
      <c r="AB127" s="134">
        <f t="shared" si="140"/>
        <v>0</v>
      </c>
      <c r="AC127" s="795"/>
      <c r="AD127" s="156"/>
      <c r="AE127" s="156">
        <f t="shared" si="142"/>
        <v>0</v>
      </c>
      <c r="AF127" s="156"/>
      <c r="AG127" s="156">
        <f t="shared" si="143"/>
        <v>0</v>
      </c>
      <c r="AH127" s="156">
        <f t="shared" si="144"/>
        <v>0</v>
      </c>
      <c r="AI127" s="156"/>
      <c r="AJ127" s="156">
        <v>0</v>
      </c>
      <c r="AK127" s="156">
        <f t="shared" si="145"/>
        <v>0</v>
      </c>
      <c r="AL127" s="156"/>
      <c r="AM127" s="156">
        <f t="shared" ref="AM127:AM128" si="148">+AJ127*E127</f>
        <v>0</v>
      </c>
      <c r="AN127" s="156">
        <f t="shared" si="146"/>
        <v>0</v>
      </c>
      <c r="AO127" s="521" t="s">
        <v>1844</v>
      </c>
      <c r="AP127" s="599" t="s">
        <v>1913</v>
      </c>
      <c r="AQ127" s="765" t="s">
        <v>1989</v>
      </c>
      <c r="AR127" s="765" t="s">
        <v>2010</v>
      </c>
      <c r="AS127" s="765" t="s">
        <v>2080</v>
      </c>
      <c r="AT127" s="837" t="s">
        <v>2139</v>
      </c>
      <c r="AU127" s="765" t="s">
        <v>2196</v>
      </c>
      <c r="AV127" s="765" t="s">
        <v>1887</v>
      </c>
      <c r="AW127" s="765" t="s">
        <v>2294</v>
      </c>
      <c r="AX127" s="115"/>
      <c r="AY127" s="115"/>
      <c r="AZ127" s="115"/>
      <c r="BA127" s="115"/>
      <c r="BB127" s="115"/>
      <c r="BC127" s="115"/>
      <c r="BD127" s="115"/>
      <c r="BE127" s="115"/>
      <c r="BF127" s="115"/>
      <c r="BG127" s="115"/>
      <c r="BH127" s="115"/>
      <c r="BI127" s="115"/>
      <c r="BJ127" s="115"/>
      <c r="BK127" s="115"/>
      <c r="BL127" s="115"/>
      <c r="BM127" s="115"/>
      <c r="BN127" s="115"/>
      <c r="BO127" s="115"/>
    </row>
    <row r="128" spans="1:67" ht="139.19999999999999" customHeight="1" thickBot="1" x14ac:dyDescent="0.4">
      <c r="A128" s="119"/>
      <c r="B128" s="1393" t="s">
        <v>795</v>
      </c>
      <c r="C128" s="1397" t="s">
        <v>1485</v>
      </c>
      <c r="D128" s="169" t="s">
        <v>794</v>
      </c>
      <c r="E128" s="137">
        <v>0.25</v>
      </c>
      <c r="F128" s="138">
        <v>647</v>
      </c>
      <c r="G128" s="134">
        <v>0</v>
      </c>
      <c r="H128" s="134">
        <v>0</v>
      </c>
      <c r="I128" s="134">
        <v>300</v>
      </c>
      <c r="J128" s="139"/>
      <c r="K128" s="139">
        <f t="shared" si="137"/>
        <v>0</v>
      </c>
      <c r="L128" s="139">
        <f t="shared" si="138"/>
        <v>0.46367851622874806</v>
      </c>
      <c r="M128" s="139"/>
      <c r="N128" s="139">
        <f t="shared" si="139"/>
        <v>0</v>
      </c>
      <c r="O128" s="139"/>
      <c r="P128" s="134"/>
      <c r="Q128" s="496">
        <v>0</v>
      </c>
      <c r="R128" s="496">
        <v>0</v>
      </c>
      <c r="S128" s="496">
        <v>0</v>
      </c>
      <c r="T128" s="496"/>
      <c r="U128" s="496"/>
      <c r="V128" s="134">
        <f t="shared" si="110"/>
        <v>0</v>
      </c>
      <c r="W128" s="134">
        <f t="shared" si="147"/>
        <v>0</v>
      </c>
      <c r="X128" s="496">
        <v>0</v>
      </c>
      <c r="Y128" s="496">
        <v>0</v>
      </c>
      <c r="Z128" s="134"/>
      <c r="AA128" s="134"/>
      <c r="AB128" s="134">
        <f t="shared" si="140"/>
        <v>0</v>
      </c>
      <c r="AC128" s="795"/>
      <c r="AD128" s="156"/>
      <c r="AE128" s="156">
        <f t="shared" si="142"/>
        <v>0</v>
      </c>
      <c r="AF128" s="156"/>
      <c r="AG128" s="156">
        <f t="shared" si="143"/>
        <v>0</v>
      </c>
      <c r="AH128" s="156">
        <f t="shared" si="144"/>
        <v>0</v>
      </c>
      <c r="AI128" s="156"/>
      <c r="AJ128" s="156">
        <v>0</v>
      </c>
      <c r="AK128" s="156">
        <f t="shared" si="145"/>
        <v>0</v>
      </c>
      <c r="AL128" s="156"/>
      <c r="AM128" s="156">
        <f t="shared" si="148"/>
        <v>0</v>
      </c>
      <c r="AN128" s="156">
        <f t="shared" si="146"/>
        <v>0</v>
      </c>
      <c r="AO128" s="521" t="s">
        <v>1844</v>
      </c>
      <c r="AP128" s="599" t="s">
        <v>1913</v>
      </c>
      <c r="AQ128" s="765" t="s">
        <v>1989</v>
      </c>
      <c r="AR128" s="765" t="s">
        <v>2010</v>
      </c>
      <c r="AS128" s="765" t="s">
        <v>2080</v>
      </c>
      <c r="AT128" s="837" t="s">
        <v>2139</v>
      </c>
      <c r="AU128" s="765" t="s">
        <v>2196</v>
      </c>
      <c r="AV128" s="765" t="s">
        <v>1887</v>
      </c>
      <c r="AW128" s="765" t="s">
        <v>2294</v>
      </c>
      <c r="AX128" s="115"/>
      <c r="AY128" s="115"/>
      <c r="AZ128" s="115"/>
      <c r="BA128" s="115"/>
      <c r="BB128" s="115"/>
      <c r="BC128" s="115"/>
      <c r="BD128" s="115"/>
      <c r="BE128" s="115"/>
      <c r="BF128" s="115"/>
      <c r="BG128" s="115"/>
      <c r="BH128" s="115"/>
      <c r="BI128" s="115"/>
      <c r="BJ128" s="115"/>
      <c r="BK128" s="115"/>
      <c r="BL128" s="115"/>
      <c r="BM128" s="115"/>
      <c r="BN128" s="115"/>
      <c r="BO128" s="115"/>
    </row>
    <row r="129" spans="1:67" ht="44.4" customHeight="1" thickBot="1" x14ac:dyDescent="0.4">
      <c r="A129" s="119"/>
      <c r="B129" s="1384" t="s">
        <v>1719</v>
      </c>
      <c r="C129" s="1385"/>
      <c r="D129" s="165"/>
      <c r="E129" s="130">
        <v>0.25</v>
      </c>
      <c r="F129" s="138"/>
      <c r="G129" s="134"/>
      <c r="H129" s="134"/>
      <c r="I129" s="134"/>
      <c r="J129" s="133">
        <f>+AVERAGE(J130:J132)</f>
        <v>0.43333333333333335</v>
      </c>
      <c r="K129" s="133">
        <f>+AVERAGE(K130:K132)</f>
        <v>0.3</v>
      </c>
      <c r="L129" s="133">
        <f>+AVERAGE(L130:L132)</f>
        <v>0.43333333333333335</v>
      </c>
      <c r="M129" s="133">
        <f>+M130+M131+M132</f>
        <v>0.22499999999999998</v>
      </c>
      <c r="N129" s="133">
        <f>+N130+N131+N132</f>
        <v>0.22499999999999998</v>
      </c>
      <c r="O129" s="133"/>
      <c r="P129" s="134"/>
      <c r="Q129" s="134"/>
      <c r="R129" s="134"/>
      <c r="S129" s="134"/>
      <c r="T129" s="134"/>
      <c r="U129" s="690"/>
      <c r="V129" s="134"/>
      <c r="W129" s="134"/>
      <c r="X129" s="134"/>
      <c r="Y129" s="134"/>
      <c r="Z129" s="134"/>
      <c r="AA129" s="134"/>
      <c r="AB129" s="134"/>
      <c r="AC129" s="154">
        <f>+AVERAGE(AC130:AC132)</f>
        <v>0.86733333333333329</v>
      </c>
      <c r="AD129" s="154">
        <f>+AVERAGE(AD130:AD132)</f>
        <v>1</v>
      </c>
      <c r="AE129" s="154">
        <f>+AVERAGE(AE130:AE132)</f>
        <v>6.6666666666666666E-2</v>
      </c>
      <c r="AF129" s="154">
        <f>+(AF130+AF131+AF132)*E129</f>
        <v>0.175375</v>
      </c>
      <c r="AG129" s="154">
        <f>+(AG130+AG131+AG132)*F129</f>
        <v>0</v>
      </c>
      <c r="AH129" s="154">
        <f>+(AH130+AH131+AH132)*E129</f>
        <v>2.5000000000000005E-3</v>
      </c>
      <c r="AI129" s="133">
        <f>+AVERAGE(AI130:AI132)</f>
        <v>0.39353333333333335</v>
      </c>
      <c r="AJ129" s="133">
        <v>0.56020000000000003</v>
      </c>
      <c r="AK129" s="133">
        <f>+AVERAGE(AK130:AK132)</f>
        <v>0.59353333333333336</v>
      </c>
      <c r="AL129" s="133">
        <f>+(AL130+AL131+AL132)*E129</f>
        <v>6.511249999999999E-2</v>
      </c>
      <c r="AM129" s="133">
        <f>+(AM130+AM131+AM132)</f>
        <v>0.63544999999999996</v>
      </c>
      <c r="AN129" s="133">
        <f>+(AN130+AN131+AN132)</f>
        <v>0.64044999999999996</v>
      </c>
      <c r="AO129" s="545"/>
      <c r="AP129" s="127"/>
      <c r="AQ129" s="127"/>
      <c r="AR129" s="127"/>
      <c r="AS129" s="127"/>
      <c r="AT129" s="564"/>
      <c r="AU129" s="127"/>
      <c r="AV129" s="127"/>
      <c r="AW129" s="121"/>
      <c r="AX129" s="115"/>
      <c r="AY129" s="115"/>
      <c r="AZ129" s="115"/>
      <c r="BA129" s="115"/>
      <c r="BB129" s="115"/>
      <c r="BC129" s="115"/>
      <c r="BD129" s="115"/>
      <c r="BE129" s="115"/>
      <c r="BF129" s="115"/>
      <c r="BG129" s="115"/>
      <c r="BH129" s="115"/>
      <c r="BI129" s="115"/>
      <c r="BJ129" s="115"/>
      <c r="BK129" s="115"/>
      <c r="BL129" s="115"/>
      <c r="BM129" s="115"/>
      <c r="BN129" s="115"/>
      <c r="BO129" s="115"/>
    </row>
    <row r="130" spans="1:67" ht="89.4" customHeight="1" thickBot="1" x14ac:dyDescent="0.4">
      <c r="A130" s="119"/>
      <c r="B130" s="1393" t="s">
        <v>796</v>
      </c>
      <c r="C130" s="1397" t="s">
        <v>1486</v>
      </c>
      <c r="D130" s="169" t="s">
        <v>516</v>
      </c>
      <c r="E130" s="137">
        <v>0.05</v>
      </c>
      <c r="F130" s="138">
        <v>2</v>
      </c>
      <c r="G130" s="134">
        <v>1</v>
      </c>
      <c r="H130" s="134">
        <v>0</v>
      </c>
      <c r="I130" s="134">
        <v>1</v>
      </c>
      <c r="J130" s="139">
        <f>+G130/F130</f>
        <v>0.5</v>
      </c>
      <c r="K130" s="139"/>
      <c r="L130" s="139">
        <f t="shared" si="138"/>
        <v>0.5</v>
      </c>
      <c r="M130" s="139"/>
      <c r="N130" s="139"/>
      <c r="O130" s="139"/>
      <c r="P130" s="134">
        <v>1</v>
      </c>
      <c r="Q130" s="496"/>
      <c r="R130" s="496"/>
      <c r="S130" s="496"/>
      <c r="T130" s="496"/>
      <c r="U130" s="496"/>
      <c r="V130" s="134">
        <f t="shared" si="110"/>
        <v>0</v>
      </c>
      <c r="W130" s="134">
        <f>+V130+P130+AB130</f>
        <v>1.2</v>
      </c>
      <c r="X130" s="496">
        <v>0.2</v>
      </c>
      <c r="Y130" s="496">
        <v>0</v>
      </c>
      <c r="Z130" s="134"/>
      <c r="AA130" s="134"/>
      <c r="AB130" s="134">
        <f t="shared" si="140"/>
        <v>0.2</v>
      </c>
      <c r="AC130" s="156">
        <f>+(P130/G130)</f>
        <v>1</v>
      </c>
      <c r="AD130" s="156"/>
      <c r="AE130" s="156">
        <f t="shared" si="142"/>
        <v>0.2</v>
      </c>
      <c r="AF130" s="156">
        <f>+AC130*E130</f>
        <v>0.05</v>
      </c>
      <c r="AG130" s="156"/>
      <c r="AH130" s="156">
        <f t="shared" si="144"/>
        <v>1.0000000000000002E-2</v>
      </c>
      <c r="AI130" s="156">
        <f>+P130/F130</f>
        <v>0.5</v>
      </c>
      <c r="AJ130" s="156">
        <v>0.5</v>
      </c>
      <c r="AK130" s="156">
        <f t="shared" si="145"/>
        <v>0.6</v>
      </c>
      <c r="AL130" s="156">
        <f>+AI130*E130</f>
        <v>2.5000000000000001E-2</v>
      </c>
      <c r="AM130" s="156">
        <f>+AJ130*E130</f>
        <v>2.5000000000000001E-2</v>
      </c>
      <c r="AN130" s="156">
        <f t="shared" si="146"/>
        <v>0.03</v>
      </c>
      <c r="AO130" s="521" t="s">
        <v>1844</v>
      </c>
      <c r="AP130" s="766" t="s">
        <v>1886</v>
      </c>
      <c r="AQ130" s="765" t="s">
        <v>1989</v>
      </c>
      <c r="AR130" s="765" t="s">
        <v>2010</v>
      </c>
      <c r="AS130" s="765" t="s">
        <v>2107</v>
      </c>
      <c r="AT130" s="564"/>
      <c r="AU130" s="765" t="s">
        <v>2196</v>
      </c>
      <c r="AV130" s="791" t="s">
        <v>1887</v>
      </c>
      <c r="AW130" s="121"/>
      <c r="AX130" s="115"/>
      <c r="AY130" s="115"/>
      <c r="AZ130" s="115"/>
      <c r="BA130" s="115"/>
      <c r="BB130" s="115"/>
      <c r="BC130" s="115"/>
      <c r="BD130" s="115"/>
      <c r="BE130" s="115"/>
      <c r="BF130" s="115"/>
      <c r="BG130" s="115"/>
      <c r="BH130" s="115"/>
      <c r="BI130" s="115"/>
      <c r="BJ130" s="115"/>
      <c r="BK130" s="115"/>
      <c r="BL130" s="115"/>
      <c r="BM130" s="115"/>
      <c r="BN130" s="115"/>
      <c r="BO130" s="115"/>
    </row>
    <row r="131" spans="1:67" ht="103.2" customHeight="1" thickBot="1" x14ac:dyDescent="0.4">
      <c r="A131" s="119"/>
      <c r="B131" s="1393" t="s">
        <v>797</v>
      </c>
      <c r="C131" s="1397" t="s">
        <v>1487</v>
      </c>
      <c r="D131" s="169" t="s">
        <v>516</v>
      </c>
      <c r="E131" s="137">
        <v>0.2</v>
      </c>
      <c r="F131" s="138">
        <v>2</v>
      </c>
      <c r="G131" s="134">
        <v>1</v>
      </c>
      <c r="H131" s="134">
        <v>0</v>
      </c>
      <c r="I131" s="134">
        <v>1</v>
      </c>
      <c r="J131" s="139">
        <f>+G131/F131</f>
        <v>0.5</v>
      </c>
      <c r="K131" s="139"/>
      <c r="L131" s="139">
        <f t="shared" si="138"/>
        <v>0.5</v>
      </c>
      <c r="M131" s="139"/>
      <c r="N131" s="139"/>
      <c r="O131" s="139"/>
      <c r="P131" s="134">
        <v>1</v>
      </c>
      <c r="Q131" s="496"/>
      <c r="R131" s="496"/>
      <c r="S131" s="496"/>
      <c r="T131" s="496"/>
      <c r="U131" s="496"/>
      <c r="V131" s="134">
        <f t="shared" si="110"/>
        <v>0</v>
      </c>
      <c r="W131" s="134">
        <f t="shared" ref="W131:W132" si="149">+V131+P131+AB131</f>
        <v>1</v>
      </c>
      <c r="X131" s="496">
        <v>0</v>
      </c>
      <c r="Y131" s="496"/>
      <c r="Z131" s="134"/>
      <c r="AA131" s="134"/>
      <c r="AB131" s="134">
        <f t="shared" si="140"/>
        <v>0</v>
      </c>
      <c r="AC131" s="156">
        <f>+(P131/G131)</f>
        <v>1</v>
      </c>
      <c r="AD131" s="156"/>
      <c r="AE131" s="156">
        <f>+AB131/I131</f>
        <v>0</v>
      </c>
      <c r="AF131" s="156">
        <f>+AC131*E131</f>
        <v>0.2</v>
      </c>
      <c r="AG131" s="156"/>
      <c r="AH131" s="156">
        <f t="shared" si="144"/>
        <v>0</v>
      </c>
      <c r="AI131" s="156">
        <f>+P131/F131</f>
        <v>0.5</v>
      </c>
      <c r="AJ131" s="156">
        <v>0.5</v>
      </c>
      <c r="AK131" s="156">
        <f t="shared" si="145"/>
        <v>0.5</v>
      </c>
      <c r="AL131" s="156">
        <f>+AI131*E131</f>
        <v>0.1</v>
      </c>
      <c r="AM131" s="156">
        <f>+AJ131*E131</f>
        <v>0.1</v>
      </c>
      <c r="AN131" s="156">
        <f t="shared" si="146"/>
        <v>0.1</v>
      </c>
      <c r="AO131" s="521" t="s">
        <v>1844</v>
      </c>
      <c r="AP131" s="766" t="s">
        <v>1886</v>
      </c>
      <c r="AQ131" s="765" t="s">
        <v>1989</v>
      </c>
      <c r="AR131" s="765" t="s">
        <v>2010</v>
      </c>
      <c r="AS131" s="765" t="s">
        <v>2107</v>
      </c>
      <c r="AT131" s="564"/>
      <c r="AU131" s="765" t="s">
        <v>2196</v>
      </c>
      <c r="AV131" s="791" t="s">
        <v>1887</v>
      </c>
      <c r="AW131" s="121"/>
      <c r="AX131" s="115"/>
      <c r="AY131" s="115"/>
      <c r="AZ131" s="115"/>
      <c r="BA131" s="115"/>
      <c r="BB131" s="115"/>
      <c r="BC131" s="115"/>
      <c r="BD131" s="115"/>
      <c r="BE131" s="115"/>
      <c r="BF131" s="115"/>
      <c r="BG131" s="115"/>
      <c r="BH131" s="115"/>
      <c r="BI131" s="115"/>
      <c r="BJ131" s="115"/>
      <c r="BK131" s="115"/>
      <c r="BL131" s="115"/>
      <c r="BM131" s="115"/>
      <c r="BN131" s="115"/>
      <c r="BO131" s="115"/>
    </row>
    <row r="132" spans="1:67" ht="145.19999999999999" customHeight="1" thickBot="1" x14ac:dyDescent="0.4">
      <c r="A132" s="119"/>
      <c r="B132" s="1393" t="s">
        <v>798</v>
      </c>
      <c r="C132" s="1397" t="s">
        <v>1488</v>
      </c>
      <c r="D132" s="169" t="s">
        <v>516</v>
      </c>
      <c r="E132" s="137">
        <v>0.75</v>
      </c>
      <c r="F132" s="138">
        <v>500</v>
      </c>
      <c r="G132" s="134">
        <v>150</v>
      </c>
      <c r="H132" s="134">
        <v>150</v>
      </c>
      <c r="I132" s="134">
        <v>150</v>
      </c>
      <c r="J132" s="139">
        <f>+G132/F132</f>
        <v>0.3</v>
      </c>
      <c r="K132" s="139">
        <f t="shared" ref="K132" si="150">+H132/F132</f>
        <v>0.3</v>
      </c>
      <c r="L132" s="139">
        <f t="shared" si="138"/>
        <v>0.3</v>
      </c>
      <c r="M132" s="139">
        <f>+(G132/F132)*E132</f>
        <v>0.22499999999999998</v>
      </c>
      <c r="N132" s="139">
        <f t="shared" ref="N132" si="151">+(H132/F132)*E132</f>
        <v>0.22499999999999998</v>
      </c>
      <c r="O132" s="139"/>
      <c r="P132" s="134">
        <v>90.3</v>
      </c>
      <c r="Q132" s="496">
        <v>0</v>
      </c>
      <c r="R132" s="496">
        <v>25</v>
      </c>
      <c r="S132" s="496">
        <v>52</v>
      </c>
      <c r="T132" s="496">
        <v>173</v>
      </c>
      <c r="U132" s="496">
        <v>0</v>
      </c>
      <c r="V132" s="134">
        <f t="shared" si="110"/>
        <v>250</v>
      </c>
      <c r="W132" s="134">
        <f t="shared" si="149"/>
        <v>340.3</v>
      </c>
      <c r="X132" s="496">
        <v>0</v>
      </c>
      <c r="Y132" s="496">
        <v>0</v>
      </c>
      <c r="Z132" s="134"/>
      <c r="AA132" s="134"/>
      <c r="AB132" s="134">
        <f t="shared" si="140"/>
        <v>0</v>
      </c>
      <c r="AC132" s="156">
        <f>+(P132/G132)</f>
        <v>0.60199999999999998</v>
      </c>
      <c r="AD132" s="156">
        <v>1</v>
      </c>
      <c r="AE132" s="156">
        <f t="shared" si="142"/>
        <v>0</v>
      </c>
      <c r="AF132" s="156">
        <f>+AC132*E132</f>
        <v>0.45150000000000001</v>
      </c>
      <c r="AG132" s="156">
        <f t="shared" ref="AG132" si="152">+AD132*E132</f>
        <v>0.75</v>
      </c>
      <c r="AH132" s="156">
        <f t="shared" si="144"/>
        <v>0</v>
      </c>
      <c r="AI132" s="156">
        <f>+P132/F132</f>
        <v>0.18059999999999998</v>
      </c>
      <c r="AJ132" s="156">
        <v>0.68059999999999998</v>
      </c>
      <c r="AK132" s="156">
        <f t="shared" si="145"/>
        <v>0.68059999999999998</v>
      </c>
      <c r="AL132" s="156">
        <f>+AI132*E132</f>
        <v>0.13544999999999999</v>
      </c>
      <c r="AM132" s="156">
        <f>+AJ132*E132</f>
        <v>0.51044999999999996</v>
      </c>
      <c r="AN132" s="156">
        <f t="shared" si="146"/>
        <v>0.51044999999999996</v>
      </c>
      <c r="AO132" s="521" t="s">
        <v>1844</v>
      </c>
      <c r="AP132" s="766" t="s">
        <v>1886</v>
      </c>
      <c r="AQ132" s="765" t="s">
        <v>1989</v>
      </c>
      <c r="AR132" s="765" t="s">
        <v>2010</v>
      </c>
      <c r="AS132" s="765" t="s">
        <v>2107</v>
      </c>
      <c r="AT132" s="564"/>
      <c r="AU132" s="765" t="s">
        <v>2196</v>
      </c>
      <c r="AV132" s="791" t="s">
        <v>1887</v>
      </c>
      <c r="AW132" s="121"/>
      <c r="AX132" s="115"/>
      <c r="AY132" s="115"/>
      <c r="AZ132" s="115"/>
      <c r="BA132" s="115"/>
      <c r="BB132" s="115"/>
      <c r="BC132" s="115"/>
      <c r="BD132" s="115"/>
      <c r="BE132" s="115"/>
      <c r="BF132" s="115"/>
      <c r="BG132" s="115"/>
      <c r="BH132" s="115"/>
      <c r="BI132" s="115"/>
      <c r="BJ132" s="115"/>
      <c r="BK132" s="115"/>
      <c r="BL132" s="115"/>
      <c r="BM132" s="115"/>
      <c r="BN132" s="115"/>
      <c r="BO132" s="115"/>
    </row>
    <row r="133" spans="1:67" ht="15.75" customHeight="1" thickBot="1" x14ac:dyDescent="0.4">
      <c r="A133" s="115"/>
      <c r="B133" s="842"/>
      <c r="C133" s="842"/>
      <c r="D133" s="171"/>
      <c r="E133" s="172"/>
      <c r="F133" s="171"/>
      <c r="G133" s="171"/>
      <c r="H133" s="171"/>
      <c r="I133" s="171"/>
      <c r="J133" s="171"/>
      <c r="K133" s="171"/>
      <c r="L133" s="171"/>
      <c r="M133" s="171"/>
      <c r="N133" s="171"/>
      <c r="O133" s="171"/>
      <c r="P133" s="171"/>
      <c r="Q133" s="171"/>
      <c r="R133" s="171"/>
      <c r="S133" s="171"/>
      <c r="T133" s="171"/>
      <c r="U133" s="171"/>
      <c r="V133" s="171"/>
      <c r="W133" s="171"/>
      <c r="X133" s="171"/>
      <c r="Y133" s="171"/>
      <c r="Z133" s="171"/>
      <c r="AA133" s="171"/>
      <c r="AB133" s="171"/>
      <c r="AC133" s="171"/>
      <c r="AD133" s="171"/>
      <c r="AE133" s="171"/>
      <c r="AF133" s="171"/>
      <c r="AG133" s="171"/>
      <c r="AH133" s="171"/>
      <c r="AI133" s="171"/>
      <c r="AJ133" s="171"/>
      <c r="AK133" s="171"/>
      <c r="AL133" s="171"/>
      <c r="AM133" s="561"/>
      <c r="AN133" s="561"/>
      <c r="AO133" s="153"/>
      <c r="AP133" s="171"/>
      <c r="AQ133" s="171"/>
      <c r="AR133" s="171"/>
      <c r="AS133" s="171"/>
      <c r="AT133" s="171"/>
      <c r="AU133" s="171"/>
      <c r="AV133" s="171"/>
      <c r="AW133" s="115"/>
      <c r="AX133" s="115"/>
      <c r="AY133" s="115"/>
      <c r="AZ133" s="115"/>
      <c r="BA133" s="115"/>
      <c r="BB133" s="115"/>
      <c r="BC133" s="115"/>
      <c r="BD133" s="115"/>
      <c r="BE133" s="115"/>
      <c r="BF133" s="115"/>
      <c r="BG133" s="115"/>
      <c r="BH133" s="115"/>
      <c r="BI133" s="115"/>
      <c r="BJ133" s="115"/>
      <c r="BK133" s="115"/>
      <c r="BL133" s="115"/>
      <c r="BM133" s="115"/>
      <c r="BN133" s="115"/>
      <c r="BO133" s="115"/>
    </row>
    <row r="134" spans="1:67" ht="15.75" customHeight="1" thickBot="1" x14ac:dyDescent="0.4">
      <c r="A134" s="115"/>
      <c r="B134" s="1387"/>
      <c r="C134" s="1387"/>
      <c r="D134" s="115"/>
      <c r="E134" s="173"/>
      <c r="F134" s="115"/>
      <c r="G134" s="115"/>
      <c r="H134" s="115"/>
      <c r="I134" s="115"/>
      <c r="J134" s="115"/>
      <c r="K134" s="115"/>
      <c r="L134" s="115"/>
      <c r="M134" s="115"/>
      <c r="N134" s="115"/>
      <c r="O134" s="115"/>
      <c r="P134" s="115"/>
      <c r="Q134" s="115"/>
      <c r="R134" s="115"/>
      <c r="S134" s="115"/>
      <c r="T134" s="115"/>
      <c r="U134" s="115"/>
      <c r="V134" s="115"/>
      <c r="W134" s="115"/>
      <c r="X134" s="115"/>
      <c r="Y134" s="115"/>
      <c r="Z134" s="115"/>
      <c r="AA134" s="115"/>
      <c r="AB134" s="115"/>
      <c r="AC134" s="115"/>
      <c r="AD134" s="115"/>
      <c r="AE134" s="115"/>
      <c r="AF134" s="115"/>
      <c r="AG134" s="115"/>
      <c r="AH134" s="115"/>
      <c r="AI134" s="115"/>
      <c r="AJ134" s="115"/>
      <c r="AK134" s="115"/>
      <c r="AL134" s="115"/>
      <c r="AM134" s="115"/>
      <c r="AN134" s="115"/>
      <c r="AO134" s="115"/>
      <c r="AP134" s="115"/>
      <c r="AQ134" s="115"/>
      <c r="AR134" s="115"/>
      <c r="AS134" s="115"/>
      <c r="AT134" s="115"/>
      <c r="AU134" s="115"/>
      <c r="AV134" s="115"/>
      <c r="AW134" s="115"/>
      <c r="AX134" s="115"/>
      <c r="AY134" s="115"/>
      <c r="AZ134" s="115"/>
      <c r="BA134" s="115"/>
      <c r="BB134" s="115"/>
      <c r="BC134" s="115"/>
      <c r="BD134" s="115"/>
      <c r="BE134" s="115"/>
      <c r="BF134" s="115"/>
      <c r="BG134" s="115"/>
      <c r="BH134" s="115"/>
      <c r="BI134" s="115"/>
      <c r="BJ134" s="115"/>
      <c r="BK134" s="115"/>
      <c r="BL134" s="115"/>
      <c r="BM134" s="115"/>
      <c r="BN134" s="115"/>
      <c r="BO134" s="115"/>
    </row>
    <row r="135" spans="1:67" ht="15.75" customHeight="1" thickBot="1" x14ac:dyDescent="0.4">
      <c r="A135" s="115"/>
      <c r="B135" s="1387"/>
      <c r="C135" s="1387"/>
      <c r="D135" s="115"/>
      <c r="E135" s="173"/>
      <c r="F135" s="115"/>
      <c r="G135" s="115"/>
      <c r="H135" s="115"/>
      <c r="I135" s="115"/>
      <c r="J135" s="115"/>
      <c r="K135" s="115"/>
      <c r="L135" s="115"/>
      <c r="M135" s="115"/>
      <c r="N135" s="115"/>
      <c r="O135" s="115"/>
      <c r="P135" s="115"/>
      <c r="Q135" s="115"/>
      <c r="R135" s="115"/>
      <c r="S135" s="115"/>
      <c r="T135" s="115"/>
      <c r="U135" s="115"/>
      <c r="V135" s="115"/>
      <c r="W135" s="115"/>
      <c r="X135" s="115"/>
      <c r="Y135" s="115"/>
      <c r="Z135" s="115"/>
      <c r="AA135" s="115"/>
      <c r="AB135" s="115"/>
      <c r="AC135" s="115"/>
      <c r="AD135" s="115"/>
      <c r="AE135" s="115"/>
      <c r="AF135" s="115"/>
      <c r="AG135" s="115"/>
      <c r="AH135" s="115"/>
      <c r="AI135" s="115"/>
      <c r="AJ135" s="115"/>
      <c r="AK135" s="115"/>
      <c r="AL135" s="115"/>
      <c r="AM135" s="115"/>
      <c r="AN135" s="115"/>
      <c r="AO135" s="115"/>
      <c r="AP135" s="115"/>
      <c r="AQ135" s="115"/>
      <c r="AR135" s="115"/>
      <c r="AS135" s="115"/>
      <c r="AT135" s="115"/>
      <c r="AU135" s="115"/>
      <c r="AV135" s="115"/>
      <c r="AW135" s="115"/>
      <c r="AX135" s="115"/>
      <c r="AY135" s="115"/>
      <c r="AZ135" s="115"/>
      <c r="BA135" s="115"/>
      <c r="BB135" s="115"/>
      <c r="BC135" s="115"/>
      <c r="BD135" s="115"/>
      <c r="BE135" s="115"/>
      <c r="BF135" s="115"/>
      <c r="BG135" s="115"/>
      <c r="BH135" s="115"/>
      <c r="BI135" s="115"/>
      <c r="BJ135" s="115"/>
      <c r="BK135" s="115"/>
      <c r="BL135" s="115"/>
      <c r="BM135" s="115"/>
      <c r="BN135" s="115"/>
      <c r="BO135" s="115"/>
    </row>
    <row r="136" spans="1:67" ht="15.75" customHeight="1" thickBot="1" x14ac:dyDescent="0.4">
      <c r="A136" s="115"/>
      <c r="B136" s="1388"/>
      <c r="C136" s="1387"/>
      <c r="D136" s="115"/>
      <c r="E136" s="173"/>
      <c r="F136" s="115"/>
      <c r="G136" s="115"/>
      <c r="H136" s="115"/>
      <c r="I136" s="115"/>
      <c r="J136" s="115"/>
      <c r="K136" s="115"/>
      <c r="L136" s="115"/>
      <c r="M136" s="115"/>
      <c r="N136" s="115"/>
      <c r="O136" s="115"/>
      <c r="P136" s="115"/>
      <c r="Q136" s="115"/>
      <c r="R136" s="115"/>
      <c r="S136" s="115"/>
      <c r="T136" s="115"/>
      <c r="U136" s="115"/>
      <c r="V136" s="115"/>
      <c r="W136" s="115"/>
      <c r="X136" s="115"/>
      <c r="Y136" s="115"/>
      <c r="Z136" s="115"/>
      <c r="AA136" s="115"/>
      <c r="AB136" s="115"/>
      <c r="AC136" s="115"/>
      <c r="AD136" s="115"/>
      <c r="AE136" s="115"/>
      <c r="AF136" s="115"/>
      <c r="AG136" s="115"/>
      <c r="AH136" s="115"/>
      <c r="AI136" s="115"/>
      <c r="AJ136" s="115"/>
      <c r="AK136" s="115"/>
      <c r="AL136" s="115"/>
      <c r="AM136" s="115"/>
      <c r="AN136" s="115"/>
      <c r="AO136" s="115"/>
      <c r="AP136" s="115"/>
      <c r="AQ136" s="115"/>
      <c r="AR136" s="115"/>
      <c r="AS136" s="115"/>
      <c r="AT136" s="115"/>
      <c r="AU136" s="115"/>
      <c r="AV136" s="115"/>
      <c r="AW136" s="115"/>
      <c r="AX136" s="115"/>
      <c r="AY136" s="115"/>
      <c r="AZ136" s="115"/>
      <c r="BA136" s="115"/>
      <c r="BB136" s="115"/>
      <c r="BC136" s="115"/>
      <c r="BD136" s="115"/>
      <c r="BE136" s="115"/>
      <c r="BF136" s="115"/>
      <c r="BG136" s="115"/>
      <c r="BH136" s="115"/>
      <c r="BI136" s="115"/>
      <c r="BJ136" s="115"/>
      <c r="BK136" s="115"/>
      <c r="BL136" s="115"/>
      <c r="BM136" s="115"/>
      <c r="BN136" s="115"/>
      <c r="BO136" s="115"/>
    </row>
    <row r="137" spans="1:67" ht="15.75" customHeight="1" thickBot="1" x14ac:dyDescent="0.4">
      <c r="A137" s="115"/>
      <c r="B137" s="1387"/>
      <c r="C137" s="1387"/>
      <c r="D137" s="115"/>
      <c r="E137" s="173"/>
      <c r="F137" s="115"/>
      <c r="G137" s="115"/>
      <c r="H137" s="115"/>
      <c r="I137" s="115"/>
      <c r="J137" s="115"/>
      <c r="K137" s="115"/>
      <c r="L137" s="115"/>
      <c r="M137" s="115"/>
      <c r="N137" s="115"/>
      <c r="O137" s="115"/>
      <c r="P137" s="115"/>
      <c r="Q137" s="115"/>
      <c r="R137" s="115"/>
      <c r="S137" s="115"/>
      <c r="T137" s="115"/>
      <c r="U137" s="115"/>
      <c r="V137" s="115"/>
      <c r="W137" s="115"/>
      <c r="X137" s="115"/>
      <c r="Y137" s="115"/>
      <c r="Z137" s="115"/>
      <c r="AA137" s="115"/>
      <c r="AB137" s="115"/>
      <c r="AC137" s="115"/>
      <c r="AD137" s="115"/>
      <c r="AE137" s="115"/>
      <c r="AF137" s="115"/>
      <c r="AG137" s="115"/>
      <c r="AH137" s="115"/>
      <c r="AI137" s="115"/>
      <c r="AJ137" s="115"/>
      <c r="AK137" s="115"/>
      <c r="AL137" s="115"/>
      <c r="AM137" s="115"/>
      <c r="AN137" s="115"/>
      <c r="AO137" s="115"/>
      <c r="AP137" s="115"/>
      <c r="AQ137" s="115"/>
      <c r="AR137" s="115"/>
      <c r="AS137" s="115"/>
      <c r="AT137" s="115"/>
      <c r="AU137" s="115"/>
      <c r="AV137" s="115"/>
      <c r="AW137" s="115"/>
      <c r="AX137" s="115"/>
      <c r="AY137" s="115"/>
      <c r="AZ137" s="115"/>
      <c r="BA137" s="115"/>
      <c r="BB137" s="115"/>
      <c r="BC137" s="115"/>
      <c r="BD137" s="115"/>
      <c r="BE137" s="115"/>
      <c r="BF137" s="115"/>
      <c r="BG137" s="115"/>
      <c r="BH137" s="115"/>
      <c r="BI137" s="115"/>
      <c r="BJ137" s="115"/>
      <c r="BK137" s="115"/>
      <c r="BL137" s="115"/>
      <c r="BM137" s="115"/>
      <c r="BN137" s="115"/>
      <c r="BO137" s="115"/>
    </row>
    <row r="138" spans="1:67" ht="15.75" customHeight="1" thickBot="1" x14ac:dyDescent="0.4">
      <c r="A138" s="115"/>
      <c r="B138" s="1387"/>
      <c r="C138" s="1387"/>
      <c r="D138" s="115"/>
      <c r="E138" s="173"/>
      <c r="F138" s="115"/>
      <c r="G138" s="115"/>
      <c r="H138" s="115"/>
      <c r="I138" s="115"/>
      <c r="J138" s="115"/>
      <c r="K138" s="115"/>
      <c r="L138" s="115"/>
      <c r="M138" s="115"/>
      <c r="N138" s="115"/>
      <c r="O138" s="115"/>
      <c r="P138" s="115"/>
      <c r="Q138" s="115"/>
      <c r="R138" s="115"/>
      <c r="S138" s="115"/>
      <c r="T138" s="115"/>
      <c r="U138" s="115"/>
      <c r="V138" s="115"/>
      <c r="W138" s="115"/>
      <c r="X138" s="115"/>
      <c r="Y138" s="115"/>
      <c r="Z138" s="115"/>
      <c r="AA138" s="115"/>
      <c r="AB138" s="115"/>
      <c r="AC138" s="115"/>
      <c r="AD138" s="115"/>
      <c r="AE138" s="115"/>
      <c r="AF138" s="115"/>
      <c r="AG138" s="115"/>
      <c r="AH138" s="115"/>
      <c r="AI138" s="115"/>
      <c r="AJ138" s="115"/>
      <c r="AK138" s="115"/>
      <c r="AL138" s="115"/>
      <c r="AM138" s="115"/>
      <c r="AN138" s="115"/>
      <c r="AO138" s="115"/>
      <c r="AP138" s="115"/>
      <c r="AQ138" s="115"/>
      <c r="AR138" s="115"/>
      <c r="AS138" s="115"/>
      <c r="AT138" s="115"/>
      <c r="AU138" s="115"/>
      <c r="AV138" s="115"/>
      <c r="AW138" s="115"/>
      <c r="AX138" s="115"/>
      <c r="AY138" s="115"/>
      <c r="AZ138" s="115"/>
      <c r="BA138" s="115"/>
      <c r="BB138" s="115"/>
      <c r="BC138" s="115"/>
      <c r="BD138" s="115"/>
      <c r="BE138" s="115"/>
      <c r="BF138" s="115"/>
      <c r="BG138" s="115"/>
      <c r="BH138" s="115"/>
      <c r="BI138" s="115"/>
      <c r="BJ138" s="115"/>
      <c r="BK138" s="115"/>
      <c r="BL138" s="115"/>
      <c r="BM138" s="115"/>
      <c r="BN138" s="115"/>
      <c r="BO138" s="115"/>
    </row>
    <row r="139" spans="1:67" ht="15.75" customHeight="1" thickBot="1" x14ac:dyDescent="0.4">
      <c r="A139" s="115"/>
      <c r="B139" s="1387"/>
      <c r="C139" s="1387"/>
      <c r="D139" s="115"/>
      <c r="E139" s="173"/>
      <c r="F139" s="115"/>
      <c r="G139" s="115"/>
      <c r="H139" s="115"/>
      <c r="I139" s="115"/>
      <c r="J139" s="115"/>
      <c r="K139" s="115"/>
      <c r="L139" s="115"/>
      <c r="M139" s="115"/>
      <c r="N139" s="115"/>
      <c r="O139" s="115"/>
      <c r="P139" s="115"/>
      <c r="Q139" s="115"/>
      <c r="R139" s="115"/>
      <c r="S139" s="115"/>
      <c r="T139" s="115"/>
      <c r="U139" s="115"/>
      <c r="V139" s="115"/>
      <c r="W139" s="115"/>
      <c r="X139" s="115"/>
      <c r="Y139" s="115"/>
      <c r="Z139" s="115"/>
      <c r="AA139" s="115"/>
      <c r="AB139" s="115"/>
      <c r="AC139" s="115"/>
      <c r="AD139" s="115"/>
      <c r="AE139" s="115"/>
      <c r="AF139" s="115"/>
      <c r="AG139" s="115"/>
      <c r="AH139" s="115"/>
      <c r="AI139" s="115"/>
      <c r="AJ139" s="115"/>
      <c r="AK139" s="115"/>
      <c r="AL139" s="115"/>
      <c r="AM139" s="115"/>
      <c r="AN139" s="115"/>
      <c r="AO139" s="115"/>
      <c r="AP139" s="115"/>
      <c r="AQ139" s="115"/>
      <c r="AR139" s="115"/>
      <c r="AS139" s="115"/>
      <c r="AT139" s="115"/>
      <c r="AU139" s="115"/>
      <c r="AV139" s="115"/>
      <c r="AW139" s="115"/>
      <c r="AX139" s="115"/>
      <c r="AY139" s="115"/>
      <c r="AZ139" s="115"/>
      <c r="BA139" s="115"/>
      <c r="BB139" s="115"/>
      <c r="BC139" s="115"/>
      <c r="BD139" s="115"/>
      <c r="BE139" s="115"/>
      <c r="BF139" s="115"/>
      <c r="BG139" s="115"/>
      <c r="BH139" s="115"/>
      <c r="BI139" s="115"/>
      <c r="BJ139" s="115"/>
      <c r="BK139" s="115"/>
      <c r="BL139" s="115"/>
      <c r="BM139" s="115"/>
      <c r="BN139" s="115"/>
      <c r="BO139" s="115"/>
    </row>
    <row r="140" spans="1:67" ht="15.75" customHeight="1" thickBot="1" x14ac:dyDescent="0.4">
      <c r="A140" s="115"/>
      <c r="B140" s="1387"/>
      <c r="C140" s="1387"/>
      <c r="D140" s="115"/>
      <c r="E140" s="173"/>
      <c r="F140" s="115"/>
      <c r="G140" s="115"/>
      <c r="H140" s="115"/>
      <c r="I140" s="115"/>
      <c r="J140" s="115"/>
      <c r="K140" s="115"/>
      <c r="L140" s="115"/>
      <c r="M140" s="115"/>
      <c r="N140" s="115"/>
      <c r="O140" s="115"/>
      <c r="P140" s="115"/>
      <c r="Q140" s="115"/>
      <c r="R140" s="115"/>
      <c r="S140" s="115"/>
      <c r="T140" s="115"/>
      <c r="U140" s="115"/>
      <c r="V140" s="115"/>
      <c r="W140" s="115"/>
      <c r="X140" s="115"/>
      <c r="Y140" s="115"/>
      <c r="Z140" s="115"/>
      <c r="AA140" s="115"/>
      <c r="AB140" s="115"/>
      <c r="AC140" s="115"/>
      <c r="AD140" s="115"/>
      <c r="AE140" s="115"/>
      <c r="AF140" s="115"/>
      <c r="AG140" s="115"/>
      <c r="AH140" s="115"/>
      <c r="AI140" s="115"/>
      <c r="AJ140" s="115"/>
      <c r="AK140" s="115"/>
      <c r="AL140" s="115"/>
      <c r="AM140" s="115"/>
      <c r="AN140" s="115"/>
      <c r="AO140" s="115"/>
      <c r="AP140" s="115"/>
      <c r="AQ140" s="115"/>
      <c r="AR140" s="115"/>
      <c r="AS140" s="115"/>
      <c r="AT140" s="115"/>
      <c r="AU140" s="115"/>
      <c r="AV140" s="115"/>
      <c r="AW140" s="115"/>
      <c r="AX140" s="115"/>
      <c r="AY140" s="115"/>
      <c r="AZ140" s="115"/>
      <c r="BA140" s="115"/>
      <c r="BB140" s="115"/>
      <c r="BC140" s="115"/>
      <c r="BD140" s="115"/>
      <c r="BE140" s="115"/>
      <c r="BF140" s="115"/>
      <c r="BG140" s="115"/>
      <c r="BH140" s="115"/>
      <c r="BI140" s="115"/>
      <c r="BJ140" s="115"/>
      <c r="BK140" s="115"/>
      <c r="BL140" s="115"/>
      <c r="BM140" s="115"/>
      <c r="BN140" s="115"/>
      <c r="BO140" s="115"/>
    </row>
    <row r="141" spans="1:67" ht="15.75" customHeight="1" thickBot="1" x14ac:dyDescent="0.4">
      <c r="A141" s="115"/>
      <c r="B141" s="1387"/>
      <c r="C141" s="1387"/>
      <c r="D141" s="115"/>
      <c r="E141" s="173"/>
      <c r="F141" s="115"/>
      <c r="G141" s="115"/>
      <c r="H141" s="115"/>
      <c r="I141" s="115"/>
      <c r="J141" s="115"/>
      <c r="K141" s="115"/>
      <c r="L141" s="115"/>
      <c r="M141" s="115"/>
      <c r="N141" s="115"/>
      <c r="O141" s="115"/>
      <c r="P141" s="115"/>
      <c r="Q141" s="115"/>
      <c r="R141" s="115"/>
      <c r="S141" s="115"/>
      <c r="T141" s="115"/>
      <c r="U141" s="115"/>
      <c r="V141" s="115"/>
      <c r="W141" s="115"/>
      <c r="X141" s="115"/>
      <c r="Y141" s="115"/>
      <c r="Z141" s="115"/>
      <c r="AA141" s="115"/>
      <c r="AB141" s="115"/>
      <c r="AC141" s="115"/>
      <c r="AD141" s="115"/>
      <c r="AE141" s="115"/>
      <c r="AF141" s="115"/>
      <c r="AG141" s="115"/>
      <c r="AH141" s="115"/>
      <c r="AI141" s="115"/>
      <c r="AJ141" s="115"/>
      <c r="AK141" s="115"/>
      <c r="AL141" s="115"/>
      <c r="AM141" s="115"/>
      <c r="AN141" s="115"/>
      <c r="AO141" s="115"/>
      <c r="AP141" s="115"/>
      <c r="AQ141" s="115"/>
      <c r="AR141" s="115"/>
      <c r="AS141" s="115"/>
      <c r="AT141" s="115"/>
      <c r="AU141" s="115"/>
      <c r="AV141" s="115"/>
      <c r="AW141" s="115"/>
      <c r="AX141" s="115"/>
      <c r="AY141" s="115"/>
      <c r="AZ141" s="115"/>
      <c r="BA141" s="115"/>
      <c r="BB141" s="115"/>
      <c r="BC141" s="115"/>
      <c r="BD141" s="115"/>
      <c r="BE141" s="115"/>
      <c r="BF141" s="115"/>
      <c r="BG141" s="115"/>
      <c r="BH141" s="115"/>
      <c r="BI141" s="115"/>
      <c r="BJ141" s="115"/>
      <c r="BK141" s="115"/>
      <c r="BL141" s="115"/>
      <c r="BM141" s="115"/>
      <c r="BN141" s="115"/>
      <c r="BO141" s="115"/>
    </row>
    <row r="142" spans="1:67" ht="15.75" customHeight="1" thickBot="1" x14ac:dyDescent="0.4">
      <c r="A142" s="115"/>
      <c r="B142" s="1387"/>
      <c r="C142" s="1387"/>
      <c r="D142" s="115"/>
      <c r="E142" s="173"/>
      <c r="F142" s="115"/>
      <c r="G142" s="115"/>
      <c r="H142" s="115"/>
      <c r="I142" s="115"/>
      <c r="J142" s="115"/>
      <c r="K142" s="115"/>
      <c r="L142" s="115"/>
      <c r="M142" s="115"/>
      <c r="N142" s="115"/>
      <c r="O142" s="115"/>
      <c r="P142" s="115"/>
      <c r="Q142" s="115"/>
      <c r="R142" s="115"/>
      <c r="S142" s="115"/>
      <c r="T142" s="115"/>
      <c r="U142" s="115"/>
      <c r="V142" s="115"/>
      <c r="W142" s="115"/>
      <c r="X142" s="115"/>
      <c r="Y142" s="115"/>
      <c r="Z142" s="115"/>
      <c r="AA142" s="115"/>
      <c r="AB142" s="115"/>
      <c r="AC142" s="115"/>
      <c r="AD142" s="115"/>
      <c r="AE142" s="115"/>
      <c r="AF142" s="115"/>
      <c r="AG142" s="115"/>
      <c r="AH142" s="115"/>
      <c r="AI142" s="115"/>
      <c r="AJ142" s="115"/>
      <c r="AK142" s="115"/>
      <c r="AL142" s="115"/>
      <c r="AM142" s="115"/>
      <c r="AN142" s="115"/>
      <c r="AO142" s="115"/>
      <c r="AP142" s="115"/>
      <c r="AQ142" s="115"/>
      <c r="AR142" s="115"/>
      <c r="AS142" s="115"/>
      <c r="AT142" s="115"/>
      <c r="AU142" s="115"/>
      <c r="AV142" s="115"/>
      <c r="AW142" s="115"/>
      <c r="AX142" s="115"/>
      <c r="AY142" s="115"/>
      <c r="AZ142" s="115"/>
      <c r="BA142" s="115"/>
      <c r="BB142" s="115"/>
      <c r="BC142" s="115"/>
      <c r="BD142" s="115"/>
      <c r="BE142" s="115"/>
      <c r="BF142" s="115"/>
      <c r="BG142" s="115"/>
      <c r="BH142" s="115"/>
      <c r="BI142" s="115"/>
      <c r="BJ142" s="115"/>
      <c r="BK142" s="115"/>
      <c r="BL142" s="115"/>
      <c r="BM142" s="115"/>
      <c r="BN142" s="115"/>
      <c r="BO142" s="115"/>
    </row>
    <row r="143" spans="1:67" ht="15.75" customHeight="1" thickBot="1" x14ac:dyDescent="0.4">
      <c r="A143" s="115"/>
      <c r="B143" s="1387"/>
      <c r="C143" s="1387"/>
      <c r="D143" s="115"/>
      <c r="E143" s="173"/>
      <c r="F143" s="115"/>
      <c r="G143" s="115"/>
      <c r="H143" s="115"/>
      <c r="I143" s="115"/>
      <c r="J143" s="115"/>
      <c r="K143" s="115"/>
      <c r="L143" s="115"/>
      <c r="M143" s="115"/>
      <c r="N143" s="115"/>
      <c r="O143" s="115"/>
      <c r="P143" s="115"/>
      <c r="Q143" s="115"/>
      <c r="R143" s="115"/>
      <c r="S143" s="115"/>
      <c r="T143" s="115"/>
      <c r="U143" s="115"/>
      <c r="V143" s="115"/>
      <c r="W143" s="115"/>
      <c r="X143" s="115"/>
      <c r="Y143" s="115"/>
      <c r="Z143" s="115"/>
      <c r="AA143" s="115"/>
      <c r="AB143" s="115"/>
      <c r="AC143" s="115"/>
      <c r="AD143" s="115"/>
      <c r="AE143" s="115"/>
      <c r="AF143" s="115"/>
      <c r="AG143" s="115"/>
      <c r="AH143" s="115"/>
      <c r="AI143" s="115"/>
      <c r="AJ143" s="115"/>
      <c r="AK143" s="115"/>
      <c r="AL143" s="115"/>
      <c r="AM143" s="115"/>
      <c r="AN143" s="115"/>
      <c r="AO143" s="115"/>
      <c r="AP143" s="115"/>
      <c r="AQ143" s="115"/>
      <c r="AR143" s="115"/>
      <c r="AS143" s="115"/>
      <c r="AT143" s="115"/>
      <c r="AU143" s="115"/>
      <c r="AV143" s="115"/>
      <c r="AW143" s="115"/>
      <c r="AX143" s="115"/>
      <c r="AY143" s="115"/>
      <c r="AZ143" s="115"/>
      <c r="BA143" s="115"/>
      <c r="BB143" s="115"/>
      <c r="BC143" s="115"/>
      <c r="BD143" s="115"/>
      <c r="BE143" s="115"/>
      <c r="BF143" s="115"/>
      <c r="BG143" s="115"/>
      <c r="BH143" s="115"/>
      <c r="BI143" s="115"/>
      <c r="BJ143" s="115"/>
      <c r="BK143" s="115"/>
      <c r="BL143" s="115"/>
      <c r="BM143" s="115"/>
      <c r="BN143" s="115"/>
      <c r="BO143" s="115"/>
    </row>
    <row r="144" spans="1:67" ht="15.75" customHeight="1" thickBot="1" x14ac:dyDescent="0.4">
      <c r="A144" s="115"/>
      <c r="B144" s="1387"/>
      <c r="C144" s="1387"/>
      <c r="D144" s="115"/>
      <c r="E144" s="173"/>
      <c r="F144" s="115"/>
      <c r="G144" s="115"/>
      <c r="H144" s="115"/>
      <c r="I144" s="115"/>
      <c r="J144" s="115"/>
      <c r="K144" s="115"/>
      <c r="L144" s="115"/>
      <c r="M144" s="115"/>
      <c r="N144" s="115"/>
      <c r="O144" s="115"/>
      <c r="P144" s="115"/>
      <c r="Q144" s="115"/>
      <c r="R144" s="115"/>
      <c r="S144" s="115"/>
      <c r="T144" s="115"/>
      <c r="U144" s="115"/>
      <c r="V144" s="115"/>
      <c r="W144" s="115"/>
      <c r="X144" s="115"/>
      <c r="Y144" s="115"/>
      <c r="Z144" s="115"/>
      <c r="AA144" s="115"/>
      <c r="AB144" s="115"/>
      <c r="AC144" s="115"/>
      <c r="AD144" s="115"/>
      <c r="AE144" s="115"/>
      <c r="AF144" s="115"/>
      <c r="AG144" s="115"/>
      <c r="AH144" s="115"/>
      <c r="AI144" s="115"/>
      <c r="AJ144" s="115"/>
      <c r="AK144" s="115"/>
      <c r="AL144" s="115"/>
      <c r="AM144" s="115"/>
      <c r="AN144" s="115"/>
      <c r="AO144" s="115"/>
      <c r="AP144" s="115"/>
      <c r="AQ144" s="115"/>
      <c r="AR144" s="115"/>
      <c r="AS144" s="115"/>
      <c r="AT144" s="115"/>
      <c r="AU144" s="115"/>
      <c r="AV144" s="115"/>
      <c r="AW144" s="115"/>
      <c r="AX144" s="115"/>
      <c r="AY144" s="115"/>
      <c r="AZ144" s="115"/>
      <c r="BA144" s="115"/>
      <c r="BB144" s="115"/>
      <c r="BC144" s="115"/>
      <c r="BD144" s="115"/>
      <c r="BE144" s="115"/>
      <c r="BF144" s="115"/>
      <c r="BG144" s="115"/>
      <c r="BH144" s="115"/>
      <c r="BI144" s="115"/>
      <c r="BJ144" s="115"/>
      <c r="BK144" s="115"/>
      <c r="BL144" s="115"/>
      <c r="BM144" s="115"/>
      <c r="BN144" s="115"/>
      <c r="BO144" s="115"/>
    </row>
    <row r="145" spans="1:67" ht="15.75" customHeight="1" thickBot="1" x14ac:dyDescent="0.4">
      <c r="A145" s="115"/>
      <c r="B145" s="1387"/>
      <c r="C145" s="1387"/>
      <c r="D145" s="115"/>
      <c r="E145" s="173"/>
      <c r="F145" s="115"/>
      <c r="G145" s="115"/>
      <c r="H145" s="115"/>
      <c r="I145" s="115"/>
      <c r="J145" s="115"/>
      <c r="K145" s="115"/>
      <c r="L145" s="115"/>
      <c r="M145" s="115"/>
      <c r="N145" s="115"/>
      <c r="O145" s="115"/>
      <c r="P145" s="115"/>
      <c r="Q145" s="115"/>
      <c r="R145" s="115"/>
      <c r="S145" s="115"/>
      <c r="T145" s="115"/>
      <c r="U145" s="115"/>
      <c r="V145" s="115"/>
      <c r="W145" s="115"/>
      <c r="X145" s="115"/>
      <c r="Y145" s="115"/>
      <c r="Z145" s="115"/>
      <c r="AA145" s="115"/>
      <c r="AB145" s="115"/>
      <c r="AC145" s="115"/>
      <c r="AD145" s="115"/>
      <c r="AE145" s="115"/>
      <c r="AF145" s="115"/>
      <c r="AG145" s="115"/>
      <c r="AH145" s="115"/>
      <c r="AI145" s="115"/>
      <c r="AJ145" s="115"/>
      <c r="AK145" s="115"/>
      <c r="AL145" s="115"/>
      <c r="AM145" s="115"/>
      <c r="AN145" s="115"/>
      <c r="AO145" s="115"/>
      <c r="AP145" s="115"/>
      <c r="AQ145" s="115"/>
      <c r="AR145" s="115"/>
      <c r="AS145" s="115"/>
      <c r="AT145" s="115"/>
      <c r="AU145" s="115"/>
      <c r="AV145" s="115"/>
      <c r="AW145" s="115"/>
      <c r="AX145" s="115"/>
      <c r="AY145" s="115"/>
      <c r="AZ145" s="115"/>
      <c r="BA145" s="115"/>
      <c r="BB145" s="115"/>
      <c r="BC145" s="115"/>
      <c r="BD145" s="115"/>
      <c r="BE145" s="115"/>
      <c r="BF145" s="115"/>
      <c r="BG145" s="115"/>
      <c r="BH145" s="115"/>
      <c r="BI145" s="115"/>
      <c r="BJ145" s="115"/>
      <c r="BK145" s="115"/>
      <c r="BL145" s="115"/>
      <c r="BM145" s="115"/>
      <c r="BN145" s="115"/>
      <c r="BO145" s="115"/>
    </row>
    <row r="146" spans="1:67" ht="15.75" customHeight="1" thickBot="1" x14ac:dyDescent="0.4">
      <c r="A146" s="115"/>
      <c r="B146" s="1387"/>
      <c r="C146" s="1387"/>
      <c r="D146" s="115"/>
      <c r="E146" s="173"/>
      <c r="F146" s="115"/>
      <c r="G146" s="115"/>
      <c r="H146" s="115"/>
      <c r="I146" s="115"/>
      <c r="J146" s="115"/>
      <c r="K146" s="115"/>
      <c r="L146" s="115"/>
      <c r="M146" s="115"/>
      <c r="N146" s="115"/>
      <c r="O146" s="115"/>
      <c r="P146" s="115"/>
      <c r="Q146" s="115"/>
      <c r="R146" s="115"/>
      <c r="S146" s="115"/>
      <c r="T146" s="115"/>
      <c r="U146" s="115"/>
      <c r="V146" s="115"/>
      <c r="W146" s="115"/>
      <c r="X146" s="115"/>
      <c r="Y146" s="115"/>
      <c r="Z146" s="115"/>
      <c r="AA146" s="115"/>
      <c r="AB146" s="115"/>
      <c r="AC146" s="115"/>
      <c r="AD146" s="115"/>
      <c r="AE146" s="115"/>
      <c r="AF146" s="115"/>
      <c r="AG146" s="115"/>
      <c r="AH146" s="115"/>
      <c r="AI146" s="115"/>
      <c r="AJ146" s="115"/>
      <c r="AK146" s="115"/>
      <c r="AL146" s="115"/>
      <c r="AM146" s="115"/>
      <c r="AN146" s="115"/>
      <c r="AO146" s="115"/>
      <c r="AP146" s="115"/>
      <c r="AQ146" s="115"/>
      <c r="AR146" s="115"/>
      <c r="AS146" s="115"/>
      <c r="AT146" s="115"/>
      <c r="AU146" s="115"/>
      <c r="AV146" s="115"/>
      <c r="AW146" s="115"/>
      <c r="AX146" s="115"/>
      <c r="AY146" s="115"/>
      <c r="AZ146" s="115"/>
      <c r="BA146" s="115"/>
      <c r="BB146" s="115"/>
      <c r="BC146" s="115"/>
      <c r="BD146" s="115"/>
      <c r="BE146" s="115"/>
      <c r="BF146" s="115"/>
      <c r="BG146" s="115"/>
      <c r="BH146" s="115"/>
      <c r="BI146" s="115"/>
      <c r="BJ146" s="115"/>
      <c r="BK146" s="115"/>
      <c r="BL146" s="115"/>
      <c r="BM146" s="115"/>
      <c r="BN146" s="115"/>
      <c r="BO146" s="115"/>
    </row>
    <row r="147" spans="1:67" ht="15.75" customHeight="1" thickBot="1" x14ac:dyDescent="0.4">
      <c r="A147" s="115"/>
      <c r="B147" s="1387"/>
      <c r="C147" s="1387"/>
      <c r="D147" s="115"/>
      <c r="E147" s="173"/>
      <c r="F147" s="115"/>
      <c r="G147" s="115"/>
      <c r="H147" s="115"/>
      <c r="I147" s="115"/>
      <c r="J147" s="115"/>
      <c r="K147" s="115"/>
      <c r="L147" s="115"/>
      <c r="M147" s="115"/>
      <c r="N147" s="115"/>
      <c r="O147" s="115"/>
      <c r="P147" s="115"/>
      <c r="Q147" s="115"/>
      <c r="R147" s="115"/>
      <c r="S147" s="115"/>
      <c r="T147" s="115"/>
      <c r="U147" s="115"/>
      <c r="V147" s="115"/>
      <c r="W147" s="115"/>
      <c r="X147" s="115"/>
      <c r="Y147" s="115"/>
      <c r="Z147" s="115"/>
      <c r="AA147" s="115"/>
      <c r="AB147" s="115"/>
      <c r="AC147" s="115"/>
      <c r="AD147" s="115"/>
      <c r="AE147" s="115"/>
      <c r="AF147" s="115"/>
      <c r="AG147" s="115"/>
      <c r="AH147" s="115"/>
      <c r="AI147" s="115"/>
      <c r="AJ147" s="115"/>
      <c r="AK147" s="115"/>
      <c r="AL147" s="115"/>
      <c r="AM147" s="115"/>
      <c r="AN147" s="115"/>
      <c r="AO147" s="115"/>
      <c r="AP147" s="115"/>
      <c r="AQ147" s="115"/>
      <c r="AR147" s="115"/>
      <c r="AS147" s="115"/>
      <c r="AT147" s="115"/>
      <c r="AU147" s="115"/>
      <c r="AV147" s="115"/>
      <c r="AW147" s="115"/>
      <c r="AX147" s="115"/>
      <c r="AY147" s="115"/>
      <c r="AZ147" s="115"/>
      <c r="BA147" s="115"/>
      <c r="BB147" s="115"/>
      <c r="BC147" s="115"/>
      <c r="BD147" s="115"/>
      <c r="BE147" s="115"/>
      <c r="BF147" s="115"/>
      <c r="BG147" s="115"/>
      <c r="BH147" s="115"/>
      <c r="BI147" s="115"/>
      <c r="BJ147" s="115"/>
      <c r="BK147" s="115"/>
      <c r="BL147" s="115"/>
      <c r="BM147" s="115"/>
      <c r="BN147" s="115"/>
      <c r="BO147" s="115"/>
    </row>
    <row r="148" spans="1:67" ht="15.75" customHeight="1" thickBot="1" x14ac:dyDescent="0.4">
      <c r="A148" s="115"/>
      <c r="B148" s="1387"/>
      <c r="C148" s="1387"/>
      <c r="D148" s="115"/>
      <c r="E148" s="173"/>
      <c r="F148" s="115"/>
      <c r="G148" s="115"/>
      <c r="H148" s="115"/>
      <c r="I148" s="115"/>
      <c r="J148" s="115"/>
      <c r="K148" s="115"/>
      <c r="L148" s="115"/>
      <c r="M148" s="115"/>
      <c r="N148" s="115"/>
      <c r="O148" s="115"/>
      <c r="P148" s="115"/>
      <c r="Q148" s="115"/>
      <c r="R148" s="115"/>
      <c r="S148" s="115"/>
      <c r="T148" s="115"/>
      <c r="U148" s="115"/>
      <c r="V148" s="115"/>
      <c r="W148" s="115"/>
      <c r="X148" s="115"/>
      <c r="Y148" s="115"/>
      <c r="Z148" s="115"/>
      <c r="AA148" s="115"/>
      <c r="AB148" s="115"/>
      <c r="AC148" s="115"/>
      <c r="AD148" s="115"/>
      <c r="AE148" s="115"/>
      <c r="AF148" s="115"/>
      <c r="AG148" s="115"/>
      <c r="AH148" s="115"/>
      <c r="AI148" s="115"/>
      <c r="AJ148" s="115"/>
      <c r="AK148" s="115"/>
      <c r="AL148" s="115"/>
      <c r="AM148" s="115"/>
      <c r="AN148" s="115"/>
      <c r="AO148" s="115"/>
      <c r="AP148" s="115"/>
      <c r="AQ148" s="115"/>
      <c r="AR148" s="115"/>
      <c r="AS148" s="115"/>
      <c r="AT148" s="115"/>
      <c r="AU148" s="115"/>
      <c r="AV148" s="115"/>
      <c r="AW148" s="115"/>
      <c r="AX148" s="115"/>
      <c r="AY148" s="115"/>
      <c r="AZ148" s="115"/>
      <c r="BA148" s="115"/>
      <c r="BB148" s="115"/>
      <c r="BC148" s="115"/>
      <c r="BD148" s="115"/>
      <c r="BE148" s="115"/>
      <c r="BF148" s="115"/>
      <c r="BG148" s="115"/>
      <c r="BH148" s="115"/>
      <c r="BI148" s="115"/>
      <c r="BJ148" s="115"/>
      <c r="BK148" s="115"/>
      <c r="BL148" s="115"/>
      <c r="BM148" s="115"/>
      <c r="BN148" s="115"/>
      <c r="BO148" s="115"/>
    </row>
    <row r="149" spans="1:67" ht="15.75" customHeight="1" thickBot="1" x14ac:dyDescent="0.4">
      <c r="A149" s="115"/>
      <c r="B149" s="1387"/>
      <c r="C149" s="1387"/>
      <c r="D149" s="115"/>
      <c r="E149" s="173"/>
      <c r="F149" s="115"/>
      <c r="G149" s="115"/>
      <c r="H149" s="115"/>
      <c r="I149" s="115"/>
      <c r="J149" s="115"/>
      <c r="K149" s="115"/>
      <c r="L149" s="115"/>
      <c r="M149" s="115"/>
      <c r="N149" s="115"/>
      <c r="O149" s="115"/>
      <c r="P149" s="115"/>
      <c r="Q149" s="115"/>
      <c r="R149" s="115"/>
      <c r="S149" s="115"/>
      <c r="T149" s="115"/>
      <c r="U149" s="115"/>
      <c r="V149" s="115"/>
      <c r="W149" s="115"/>
      <c r="X149" s="115"/>
      <c r="Y149" s="115"/>
      <c r="Z149" s="115"/>
      <c r="AA149" s="115"/>
      <c r="AB149" s="115"/>
      <c r="AC149" s="115"/>
      <c r="AD149" s="115"/>
      <c r="AE149" s="115"/>
      <c r="AF149" s="115"/>
      <c r="AG149" s="115"/>
      <c r="AH149" s="115"/>
      <c r="AI149" s="115"/>
      <c r="AJ149" s="115"/>
      <c r="AK149" s="115"/>
      <c r="AL149" s="115"/>
      <c r="AM149" s="115"/>
      <c r="AN149" s="115"/>
      <c r="AO149" s="115"/>
      <c r="AP149" s="115"/>
      <c r="AQ149" s="115"/>
      <c r="AR149" s="115"/>
      <c r="AS149" s="115"/>
      <c r="AT149" s="115"/>
      <c r="AU149" s="115"/>
      <c r="AV149" s="115"/>
      <c r="AW149" s="115"/>
      <c r="AX149" s="115"/>
      <c r="AY149" s="115"/>
      <c r="AZ149" s="115"/>
      <c r="BA149" s="115"/>
      <c r="BB149" s="115"/>
      <c r="BC149" s="115"/>
      <c r="BD149" s="115"/>
      <c r="BE149" s="115"/>
      <c r="BF149" s="115"/>
      <c r="BG149" s="115"/>
      <c r="BH149" s="115"/>
      <c r="BI149" s="115"/>
      <c r="BJ149" s="115"/>
      <c r="BK149" s="115"/>
      <c r="BL149" s="115"/>
      <c r="BM149" s="115"/>
      <c r="BN149" s="115"/>
      <c r="BO149" s="115"/>
    </row>
    <row r="150" spans="1:67" ht="15.75" customHeight="1" thickBot="1" x14ac:dyDescent="0.4">
      <c r="A150" s="115"/>
      <c r="B150" s="1387"/>
      <c r="C150" s="1387"/>
      <c r="D150" s="115"/>
      <c r="E150" s="173"/>
      <c r="F150" s="115"/>
      <c r="G150" s="115"/>
      <c r="H150" s="115"/>
      <c r="I150" s="115"/>
      <c r="J150" s="115"/>
      <c r="K150" s="115"/>
      <c r="L150" s="115"/>
      <c r="M150" s="115"/>
      <c r="N150" s="115"/>
      <c r="O150" s="115"/>
      <c r="P150" s="115"/>
      <c r="Q150" s="115"/>
      <c r="R150" s="115"/>
      <c r="S150" s="115"/>
      <c r="T150" s="115"/>
      <c r="U150" s="115"/>
      <c r="V150" s="115"/>
      <c r="W150" s="115"/>
      <c r="X150" s="115"/>
      <c r="Y150" s="115"/>
      <c r="Z150" s="115"/>
      <c r="AA150" s="115"/>
      <c r="AB150" s="115"/>
      <c r="AC150" s="115"/>
      <c r="AD150" s="115"/>
      <c r="AE150" s="115"/>
      <c r="AF150" s="115"/>
      <c r="AG150" s="115"/>
      <c r="AH150" s="115"/>
      <c r="AI150" s="115"/>
      <c r="AJ150" s="115"/>
      <c r="AK150" s="115"/>
      <c r="AL150" s="115"/>
      <c r="AM150" s="115"/>
      <c r="AN150" s="115"/>
      <c r="AO150" s="115"/>
      <c r="AP150" s="115"/>
      <c r="AQ150" s="115"/>
      <c r="AR150" s="115"/>
      <c r="AS150" s="115"/>
      <c r="AT150" s="115"/>
      <c r="AU150" s="115"/>
      <c r="AV150" s="115"/>
      <c r="AW150" s="115"/>
      <c r="AX150" s="115"/>
      <c r="AY150" s="115"/>
      <c r="AZ150" s="115"/>
      <c r="BA150" s="115"/>
      <c r="BB150" s="115"/>
      <c r="BC150" s="115"/>
      <c r="BD150" s="115"/>
      <c r="BE150" s="115"/>
      <c r="BF150" s="115"/>
      <c r="BG150" s="115"/>
      <c r="BH150" s="115"/>
      <c r="BI150" s="115"/>
      <c r="BJ150" s="115"/>
      <c r="BK150" s="115"/>
      <c r="BL150" s="115"/>
      <c r="BM150" s="115"/>
      <c r="BN150" s="115"/>
      <c r="BO150" s="115"/>
    </row>
    <row r="151" spans="1:67" ht="15.75" customHeight="1" thickBot="1" x14ac:dyDescent="0.4">
      <c r="A151" s="115"/>
      <c r="B151" s="1387"/>
      <c r="C151" s="1387"/>
      <c r="D151" s="115"/>
      <c r="E151" s="173"/>
      <c r="F151" s="115"/>
      <c r="G151" s="115"/>
      <c r="H151" s="115"/>
      <c r="I151" s="115"/>
      <c r="J151" s="115"/>
      <c r="K151" s="115"/>
      <c r="L151" s="115"/>
      <c r="M151" s="115"/>
      <c r="N151" s="115"/>
      <c r="O151" s="115"/>
      <c r="P151" s="115"/>
      <c r="Q151" s="115"/>
      <c r="R151" s="115"/>
      <c r="S151" s="115"/>
      <c r="T151" s="115"/>
      <c r="U151" s="115"/>
      <c r="V151" s="115"/>
      <c r="W151" s="115"/>
      <c r="X151" s="115"/>
      <c r="Y151" s="115"/>
      <c r="Z151" s="115"/>
      <c r="AA151" s="115"/>
      <c r="AB151" s="115"/>
      <c r="AC151" s="115"/>
      <c r="AD151" s="115"/>
      <c r="AE151" s="115"/>
      <c r="AF151" s="115"/>
      <c r="AG151" s="115"/>
      <c r="AH151" s="115"/>
      <c r="AI151" s="115"/>
      <c r="AJ151" s="115"/>
      <c r="AK151" s="115"/>
      <c r="AL151" s="115"/>
      <c r="AM151" s="115"/>
      <c r="AN151" s="115"/>
      <c r="AO151" s="115"/>
      <c r="AP151" s="115"/>
      <c r="AQ151" s="115"/>
      <c r="AR151" s="115"/>
      <c r="AS151" s="115"/>
      <c r="AT151" s="115"/>
      <c r="AU151" s="115"/>
      <c r="AV151" s="115"/>
      <c r="AW151" s="115"/>
      <c r="AX151" s="115"/>
      <c r="AY151" s="115"/>
      <c r="AZ151" s="115"/>
      <c r="BA151" s="115"/>
      <c r="BB151" s="115"/>
      <c r="BC151" s="115"/>
      <c r="BD151" s="115"/>
      <c r="BE151" s="115"/>
      <c r="BF151" s="115"/>
      <c r="BG151" s="115"/>
      <c r="BH151" s="115"/>
      <c r="BI151" s="115"/>
      <c r="BJ151" s="115"/>
      <c r="BK151" s="115"/>
      <c r="BL151" s="115"/>
      <c r="BM151" s="115"/>
      <c r="BN151" s="115"/>
      <c r="BO151" s="115"/>
    </row>
    <row r="152" spans="1:67" ht="15.75" customHeight="1" thickBot="1" x14ac:dyDescent="0.4">
      <c r="A152" s="115"/>
      <c r="B152" s="1387"/>
      <c r="C152" s="1387"/>
      <c r="D152" s="115"/>
      <c r="E152" s="173"/>
      <c r="F152" s="115"/>
      <c r="G152" s="115"/>
      <c r="H152" s="115"/>
      <c r="I152" s="115"/>
      <c r="J152" s="115"/>
      <c r="K152" s="115"/>
      <c r="L152" s="115"/>
      <c r="M152" s="115"/>
      <c r="N152" s="115"/>
      <c r="O152" s="115"/>
      <c r="P152" s="115"/>
      <c r="Q152" s="115"/>
      <c r="R152" s="115"/>
      <c r="S152" s="115"/>
      <c r="T152" s="115"/>
      <c r="U152" s="115"/>
      <c r="V152" s="115"/>
      <c r="W152" s="115"/>
      <c r="X152" s="115"/>
      <c r="Y152" s="115"/>
      <c r="Z152" s="115"/>
      <c r="AA152" s="115"/>
      <c r="AB152" s="115"/>
      <c r="AC152" s="115"/>
      <c r="AD152" s="115"/>
      <c r="AE152" s="115"/>
      <c r="AF152" s="115"/>
      <c r="AG152" s="115"/>
      <c r="AH152" s="115"/>
      <c r="AI152" s="115"/>
      <c r="AJ152" s="115"/>
      <c r="AK152" s="115"/>
      <c r="AL152" s="115"/>
      <c r="AM152" s="115"/>
      <c r="AN152" s="115"/>
      <c r="AO152" s="115"/>
      <c r="AP152" s="115"/>
      <c r="AQ152" s="115"/>
      <c r="AR152" s="115"/>
      <c r="AS152" s="115"/>
      <c r="AT152" s="115"/>
      <c r="AU152" s="115"/>
      <c r="AV152" s="115"/>
      <c r="AW152" s="115"/>
      <c r="AX152" s="115"/>
      <c r="AY152" s="115"/>
      <c r="AZ152" s="115"/>
      <c r="BA152" s="115"/>
      <c r="BB152" s="115"/>
      <c r="BC152" s="115"/>
      <c r="BD152" s="115"/>
      <c r="BE152" s="115"/>
      <c r="BF152" s="115"/>
      <c r="BG152" s="115"/>
      <c r="BH152" s="115"/>
      <c r="BI152" s="115"/>
      <c r="BJ152" s="115"/>
      <c r="BK152" s="115"/>
      <c r="BL152" s="115"/>
      <c r="BM152" s="115"/>
      <c r="BN152" s="115"/>
      <c r="BO152" s="115"/>
    </row>
    <row r="153" spans="1:67" ht="15.75" customHeight="1" thickBot="1" x14ac:dyDescent="0.4">
      <c r="A153" s="115"/>
      <c r="B153" s="1387"/>
      <c r="C153" s="1387"/>
      <c r="D153" s="115"/>
      <c r="E153" s="173"/>
      <c r="F153" s="115"/>
      <c r="G153" s="115"/>
      <c r="H153" s="115"/>
      <c r="I153" s="115"/>
      <c r="J153" s="115"/>
      <c r="K153" s="115"/>
      <c r="L153" s="115"/>
      <c r="M153" s="115"/>
      <c r="N153" s="115"/>
      <c r="O153" s="115"/>
      <c r="P153" s="115"/>
      <c r="Q153" s="115"/>
      <c r="R153" s="115"/>
      <c r="S153" s="115"/>
      <c r="T153" s="115"/>
      <c r="U153" s="115"/>
      <c r="V153" s="115"/>
      <c r="W153" s="115"/>
      <c r="X153" s="115"/>
      <c r="Y153" s="115"/>
      <c r="Z153" s="115"/>
      <c r="AA153" s="115"/>
      <c r="AB153" s="115"/>
      <c r="AC153" s="115"/>
      <c r="AD153" s="115"/>
      <c r="AE153" s="115"/>
      <c r="AF153" s="115"/>
      <c r="AG153" s="115"/>
      <c r="AH153" s="115"/>
      <c r="AI153" s="115"/>
      <c r="AJ153" s="115"/>
      <c r="AK153" s="115"/>
      <c r="AL153" s="115"/>
      <c r="AM153" s="115"/>
      <c r="AN153" s="115"/>
      <c r="AO153" s="115"/>
      <c r="AP153" s="115"/>
      <c r="AQ153" s="115"/>
      <c r="AR153" s="115"/>
      <c r="AS153" s="115"/>
      <c r="AT153" s="115"/>
      <c r="AU153" s="115"/>
      <c r="AV153" s="115"/>
      <c r="AW153" s="115"/>
      <c r="AX153" s="115"/>
      <c r="AY153" s="115"/>
      <c r="AZ153" s="115"/>
      <c r="BA153" s="115"/>
      <c r="BB153" s="115"/>
      <c r="BC153" s="115"/>
      <c r="BD153" s="115"/>
      <c r="BE153" s="115"/>
      <c r="BF153" s="115"/>
      <c r="BG153" s="115"/>
      <c r="BH153" s="115"/>
      <c r="BI153" s="115"/>
      <c r="BJ153" s="115"/>
      <c r="BK153" s="115"/>
      <c r="BL153" s="115"/>
      <c r="BM153" s="115"/>
      <c r="BN153" s="115"/>
      <c r="BO153" s="115"/>
    </row>
    <row r="154" spans="1:67" ht="15.75" customHeight="1" thickBot="1" x14ac:dyDescent="0.4">
      <c r="A154" s="115"/>
      <c r="B154" s="1387"/>
      <c r="C154" s="1387"/>
      <c r="D154" s="115"/>
      <c r="E154" s="173"/>
      <c r="F154" s="115"/>
      <c r="G154" s="115"/>
      <c r="H154" s="115"/>
      <c r="I154" s="115"/>
      <c r="J154" s="115"/>
      <c r="K154" s="115"/>
      <c r="L154" s="115"/>
      <c r="M154" s="115"/>
      <c r="N154" s="115"/>
      <c r="O154" s="115"/>
      <c r="P154" s="115"/>
      <c r="Q154" s="115"/>
      <c r="R154" s="115"/>
      <c r="S154" s="115"/>
      <c r="T154" s="115"/>
      <c r="U154" s="115"/>
      <c r="V154" s="115"/>
      <c r="W154" s="115"/>
      <c r="X154" s="115"/>
      <c r="Y154" s="115"/>
      <c r="Z154" s="115"/>
      <c r="AA154" s="115"/>
      <c r="AB154" s="115"/>
      <c r="AC154" s="115"/>
      <c r="AD154" s="115"/>
      <c r="AE154" s="115"/>
      <c r="AF154" s="115"/>
      <c r="AG154" s="115"/>
      <c r="AH154" s="115"/>
      <c r="AI154" s="115"/>
      <c r="AJ154" s="115"/>
      <c r="AK154" s="115"/>
      <c r="AL154" s="115"/>
      <c r="AM154" s="115"/>
      <c r="AN154" s="115"/>
      <c r="AO154" s="115"/>
      <c r="AP154" s="115"/>
      <c r="AQ154" s="115"/>
      <c r="AR154" s="115"/>
      <c r="AS154" s="115"/>
      <c r="AT154" s="115"/>
      <c r="AU154" s="115"/>
      <c r="AV154" s="115"/>
      <c r="AW154" s="115"/>
      <c r="AX154" s="115"/>
      <c r="AY154" s="115"/>
      <c r="AZ154" s="115"/>
      <c r="BA154" s="115"/>
      <c r="BB154" s="115"/>
      <c r="BC154" s="115"/>
      <c r="BD154" s="115"/>
      <c r="BE154" s="115"/>
      <c r="BF154" s="115"/>
      <c r="BG154" s="115"/>
      <c r="BH154" s="115"/>
      <c r="BI154" s="115"/>
      <c r="BJ154" s="115"/>
      <c r="BK154" s="115"/>
      <c r="BL154" s="115"/>
      <c r="BM154" s="115"/>
      <c r="BN154" s="115"/>
      <c r="BO154" s="115"/>
    </row>
    <row r="155" spans="1:67" ht="15.75" customHeight="1" thickBot="1" x14ac:dyDescent="0.4">
      <c r="A155" s="115"/>
      <c r="B155" s="1387"/>
      <c r="C155" s="1387"/>
      <c r="D155" s="115"/>
      <c r="E155" s="173"/>
      <c r="F155" s="115"/>
      <c r="G155" s="115"/>
      <c r="H155" s="115"/>
      <c r="I155" s="115"/>
      <c r="J155" s="115"/>
      <c r="K155" s="115"/>
      <c r="L155" s="115"/>
      <c r="M155" s="115"/>
      <c r="N155" s="115"/>
      <c r="O155" s="115"/>
      <c r="P155" s="115"/>
      <c r="Q155" s="115"/>
      <c r="R155" s="115"/>
      <c r="S155" s="115"/>
      <c r="T155" s="115"/>
      <c r="U155" s="115"/>
      <c r="V155" s="115"/>
      <c r="W155" s="115"/>
      <c r="X155" s="115"/>
      <c r="Y155" s="115"/>
      <c r="Z155" s="115"/>
      <c r="AA155" s="115"/>
      <c r="AB155" s="115"/>
      <c r="AC155" s="115"/>
      <c r="AD155" s="115"/>
      <c r="AE155" s="115"/>
      <c r="AF155" s="115"/>
      <c r="AG155" s="115"/>
      <c r="AH155" s="115"/>
      <c r="AI155" s="115"/>
      <c r="AJ155" s="115"/>
      <c r="AK155" s="115"/>
      <c r="AL155" s="115"/>
      <c r="AM155" s="115"/>
      <c r="AN155" s="115"/>
      <c r="AO155" s="115"/>
      <c r="AP155" s="115"/>
      <c r="AQ155" s="115"/>
      <c r="AR155" s="115"/>
      <c r="AS155" s="115"/>
      <c r="AT155" s="115"/>
      <c r="AU155" s="115"/>
      <c r="AV155" s="115"/>
      <c r="AW155" s="115"/>
      <c r="AX155" s="115"/>
      <c r="AY155" s="115"/>
      <c r="AZ155" s="115"/>
      <c r="BA155" s="115"/>
      <c r="BB155" s="115"/>
      <c r="BC155" s="115"/>
      <c r="BD155" s="115"/>
      <c r="BE155" s="115"/>
      <c r="BF155" s="115"/>
      <c r="BG155" s="115"/>
      <c r="BH155" s="115"/>
      <c r="BI155" s="115"/>
      <c r="BJ155" s="115"/>
      <c r="BK155" s="115"/>
      <c r="BL155" s="115"/>
      <c r="BM155" s="115"/>
      <c r="BN155" s="115"/>
      <c r="BO155" s="115"/>
    </row>
    <row r="156" spans="1:67" ht="15.75" customHeight="1" thickBot="1" x14ac:dyDescent="0.4">
      <c r="A156" s="115"/>
      <c r="B156" s="1387"/>
      <c r="C156" s="1387"/>
      <c r="D156" s="115"/>
      <c r="E156" s="173"/>
      <c r="F156" s="115"/>
      <c r="G156" s="115"/>
      <c r="H156" s="115"/>
      <c r="I156" s="115"/>
      <c r="J156" s="115"/>
      <c r="K156" s="115"/>
      <c r="L156" s="115"/>
      <c r="M156" s="115"/>
      <c r="N156" s="115"/>
      <c r="O156" s="115"/>
      <c r="P156" s="115"/>
      <c r="Q156" s="115"/>
      <c r="R156" s="115"/>
      <c r="S156" s="115"/>
      <c r="T156" s="115"/>
      <c r="U156" s="115"/>
      <c r="V156" s="115"/>
      <c r="W156" s="115"/>
      <c r="X156" s="115"/>
      <c r="Y156" s="115"/>
      <c r="Z156" s="115"/>
      <c r="AA156" s="115"/>
      <c r="AB156" s="115"/>
      <c r="AC156" s="115"/>
      <c r="AD156" s="115"/>
      <c r="AE156" s="115"/>
      <c r="AF156" s="115"/>
      <c r="AG156" s="115"/>
      <c r="AH156" s="115"/>
      <c r="AI156" s="115"/>
      <c r="AJ156" s="115"/>
      <c r="AK156" s="115"/>
      <c r="AL156" s="115"/>
      <c r="AM156" s="115"/>
      <c r="AN156" s="115"/>
      <c r="AO156" s="115"/>
      <c r="AP156" s="115"/>
      <c r="AQ156" s="115"/>
      <c r="AR156" s="115"/>
      <c r="AS156" s="115"/>
      <c r="AT156" s="115"/>
      <c r="AU156" s="115"/>
      <c r="AV156" s="115"/>
      <c r="AW156" s="115"/>
      <c r="AX156" s="115"/>
      <c r="AY156" s="115"/>
      <c r="AZ156" s="115"/>
      <c r="BA156" s="115"/>
      <c r="BB156" s="115"/>
      <c r="BC156" s="115"/>
      <c r="BD156" s="115"/>
      <c r="BE156" s="115"/>
      <c r="BF156" s="115"/>
      <c r="BG156" s="115"/>
      <c r="BH156" s="115"/>
      <c r="BI156" s="115"/>
      <c r="BJ156" s="115"/>
      <c r="BK156" s="115"/>
      <c r="BL156" s="115"/>
      <c r="BM156" s="115"/>
      <c r="BN156" s="115"/>
      <c r="BO156" s="115"/>
    </row>
    <row r="157" spans="1:67" ht="15.75" customHeight="1" thickBot="1" x14ac:dyDescent="0.4">
      <c r="A157" s="115"/>
      <c r="B157" s="1387"/>
      <c r="C157" s="1387"/>
      <c r="D157" s="115"/>
      <c r="E157" s="173"/>
      <c r="F157" s="115"/>
      <c r="G157" s="115"/>
      <c r="H157" s="115"/>
      <c r="I157" s="115"/>
      <c r="J157" s="115"/>
      <c r="K157" s="115"/>
      <c r="L157" s="115"/>
      <c r="M157" s="115"/>
      <c r="N157" s="115"/>
      <c r="O157" s="115"/>
      <c r="P157" s="115"/>
      <c r="Q157" s="115"/>
      <c r="R157" s="115"/>
      <c r="S157" s="115"/>
      <c r="T157" s="115"/>
      <c r="U157" s="115"/>
      <c r="V157" s="115"/>
      <c r="W157" s="115"/>
      <c r="X157" s="115"/>
      <c r="Y157" s="115"/>
      <c r="Z157" s="115"/>
      <c r="AA157" s="115"/>
      <c r="AB157" s="115"/>
      <c r="AC157" s="115"/>
      <c r="AD157" s="115"/>
      <c r="AE157" s="115"/>
      <c r="AF157" s="115"/>
      <c r="AG157" s="115"/>
      <c r="AH157" s="115"/>
      <c r="AI157" s="115"/>
      <c r="AJ157" s="115"/>
      <c r="AK157" s="115"/>
      <c r="AL157" s="115"/>
      <c r="AM157" s="115"/>
      <c r="AN157" s="115"/>
      <c r="AO157" s="115"/>
      <c r="AP157" s="115"/>
      <c r="AQ157" s="115"/>
      <c r="AR157" s="115"/>
      <c r="AS157" s="115"/>
      <c r="AT157" s="115"/>
      <c r="AU157" s="115"/>
      <c r="AV157" s="115"/>
      <c r="AW157" s="115"/>
      <c r="AX157" s="115"/>
      <c r="AY157" s="115"/>
      <c r="AZ157" s="115"/>
      <c r="BA157" s="115"/>
      <c r="BB157" s="115"/>
      <c r="BC157" s="115"/>
      <c r="BD157" s="115"/>
      <c r="BE157" s="115"/>
      <c r="BF157" s="115"/>
      <c r="BG157" s="115"/>
      <c r="BH157" s="115"/>
      <c r="BI157" s="115"/>
      <c r="BJ157" s="115"/>
      <c r="BK157" s="115"/>
      <c r="BL157" s="115"/>
      <c r="BM157" s="115"/>
      <c r="BN157" s="115"/>
      <c r="BO157" s="115"/>
    </row>
    <row r="158" spans="1:67" ht="15.75" customHeight="1" thickBot="1" x14ac:dyDescent="0.4">
      <c r="A158" s="115"/>
      <c r="B158" s="1387"/>
      <c r="C158" s="1387"/>
      <c r="D158" s="115"/>
      <c r="E158" s="173"/>
      <c r="F158" s="115"/>
      <c r="G158" s="115"/>
      <c r="H158" s="115"/>
      <c r="I158" s="115"/>
      <c r="J158" s="115"/>
      <c r="K158" s="115"/>
      <c r="L158" s="115"/>
      <c r="M158" s="115"/>
      <c r="N158" s="115"/>
      <c r="O158" s="115"/>
      <c r="P158" s="115"/>
      <c r="Q158" s="115"/>
      <c r="R158" s="115"/>
      <c r="S158" s="115"/>
      <c r="T158" s="115"/>
      <c r="U158" s="115"/>
      <c r="V158" s="115"/>
      <c r="W158" s="115"/>
      <c r="X158" s="115"/>
      <c r="Y158" s="115"/>
      <c r="Z158" s="115"/>
      <c r="AA158" s="115"/>
      <c r="AB158" s="115"/>
      <c r="AC158" s="115"/>
      <c r="AD158" s="115"/>
      <c r="AE158" s="115"/>
      <c r="AF158" s="115"/>
      <c r="AG158" s="115"/>
      <c r="AH158" s="115"/>
      <c r="AI158" s="115"/>
      <c r="AJ158" s="115"/>
      <c r="AK158" s="115"/>
      <c r="AL158" s="115"/>
      <c r="AM158" s="115"/>
      <c r="AN158" s="115"/>
      <c r="AO158" s="115"/>
      <c r="AP158" s="115"/>
      <c r="AQ158" s="115"/>
      <c r="AR158" s="115"/>
      <c r="AS158" s="115"/>
      <c r="AT158" s="115"/>
      <c r="AU158" s="115"/>
      <c r="AV158" s="115"/>
      <c r="AW158" s="115"/>
      <c r="AX158" s="115"/>
      <c r="AY158" s="115"/>
      <c r="AZ158" s="115"/>
      <c r="BA158" s="115"/>
      <c r="BB158" s="115"/>
      <c r="BC158" s="115"/>
      <c r="BD158" s="115"/>
      <c r="BE158" s="115"/>
      <c r="BF158" s="115"/>
      <c r="BG158" s="115"/>
      <c r="BH158" s="115"/>
      <c r="BI158" s="115"/>
      <c r="BJ158" s="115"/>
      <c r="BK158" s="115"/>
      <c r="BL158" s="115"/>
      <c r="BM158" s="115"/>
      <c r="BN158" s="115"/>
      <c r="BO158" s="115"/>
    </row>
    <row r="159" spans="1:67" ht="15.75" customHeight="1" thickBot="1" x14ac:dyDescent="0.4">
      <c r="A159" s="115"/>
      <c r="B159" s="1387"/>
      <c r="C159" s="1387"/>
      <c r="D159" s="115"/>
      <c r="E159" s="173"/>
      <c r="F159" s="115"/>
      <c r="G159" s="115"/>
      <c r="H159" s="115"/>
      <c r="I159" s="115"/>
      <c r="J159" s="115"/>
      <c r="K159" s="115"/>
      <c r="L159" s="115"/>
      <c r="M159" s="115"/>
      <c r="N159" s="115"/>
      <c r="O159" s="115"/>
      <c r="P159" s="115"/>
      <c r="Q159" s="115"/>
      <c r="R159" s="115"/>
      <c r="S159" s="115"/>
      <c r="T159" s="115"/>
      <c r="U159" s="115"/>
      <c r="V159" s="115"/>
      <c r="W159" s="115"/>
      <c r="X159" s="115"/>
      <c r="Y159" s="115"/>
      <c r="Z159" s="115"/>
      <c r="AA159" s="115"/>
      <c r="AB159" s="115"/>
      <c r="AC159" s="115"/>
      <c r="AD159" s="115"/>
      <c r="AE159" s="115"/>
      <c r="AF159" s="115"/>
      <c r="AG159" s="115"/>
      <c r="AH159" s="115"/>
      <c r="AI159" s="115"/>
      <c r="AJ159" s="115"/>
      <c r="AK159" s="115"/>
      <c r="AL159" s="115"/>
      <c r="AM159" s="115"/>
      <c r="AN159" s="115"/>
      <c r="AO159" s="115"/>
      <c r="AP159" s="115"/>
      <c r="AQ159" s="115"/>
      <c r="AR159" s="115"/>
      <c r="AS159" s="115"/>
      <c r="AT159" s="115"/>
      <c r="AU159" s="115"/>
      <c r="AV159" s="115"/>
      <c r="AW159" s="115"/>
      <c r="AX159" s="115"/>
      <c r="AY159" s="115"/>
      <c r="AZ159" s="115"/>
      <c r="BA159" s="115"/>
      <c r="BB159" s="115"/>
      <c r="BC159" s="115"/>
      <c r="BD159" s="115"/>
      <c r="BE159" s="115"/>
      <c r="BF159" s="115"/>
      <c r="BG159" s="115"/>
      <c r="BH159" s="115"/>
      <c r="BI159" s="115"/>
      <c r="BJ159" s="115"/>
      <c r="BK159" s="115"/>
      <c r="BL159" s="115"/>
      <c r="BM159" s="115"/>
      <c r="BN159" s="115"/>
      <c r="BO159" s="115"/>
    </row>
    <row r="160" spans="1:67" ht="15.75" customHeight="1" thickBot="1" x14ac:dyDescent="0.4">
      <c r="A160" s="115"/>
      <c r="B160" s="1387"/>
      <c r="C160" s="1387"/>
      <c r="D160" s="115"/>
      <c r="E160" s="173"/>
      <c r="F160" s="115"/>
      <c r="G160" s="115"/>
      <c r="H160" s="115"/>
      <c r="I160" s="115"/>
      <c r="J160" s="115"/>
      <c r="K160" s="115"/>
      <c r="L160" s="115"/>
      <c r="M160" s="115"/>
      <c r="N160" s="115"/>
      <c r="O160" s="115"/>
      <c r="P160" s="115"/>
      <c r="Q160" s="115"/>
      <c r="R160" s="115"/>
      <c r="S160" s="115"/>
      <c r="T160" s="115"/>
      <c r="U160" s="115"/>
      <c r="V160" s="115"/>
      <c r="W160" s="115"/>
      <c r="X160" s="115"/>
      <c r="Y160" s="115"/>
      <c r="Z160" s="115"/>
      <c r="AA160" s="115"/>
      <c r="AB160" s="115"/>
      <c r="AC160" s="115"/>
      <c r="AD160" s="115"/>
      <c r="AE160" s="115"/>
      <c r="AF160" s="115"/>
      <c r="AG160" s="115"/>
      <c r="AH160" s="115"/>
      <c r="AI160" s="115"/>
      <c r="AJ160" s="115"/>
      <c r="AK160" s="115"/>
      <c r="AL160" s="115"/>
      <c r="AM160" s="115"/>
      <c r="AN160" s="115"/>
      <c r="AO160" s="115"/>
      <c r="AP160" s="115"/>
      <c r="AQ160" s="115"/>
      <c r="AR160" s="115"/>
      <c r="AS160" s="115"/>
      <c r="AT160" s="115"/>
      <c r="AU160" s="115"/>
      <c r="AV160" s="115"/>
      <c r="AW160" s="115"/>
      <c r="AX160" s="115"/>
      <c r="AY160" s="115"/>
      <c r="AZ160" s="115"/>
      <c r="BA160" s="115"/>
      <c r="BB160" s="115"/>
      <c r="BC160" s="115"/>
      <c r="BD160" s="115"/>
      <c r="BE160" s="115"/>
      <c r="BF160" s="115"/>
      <c r="BG160" s="115"/>
      <c r="BH160" s="115"/>
      <c r="BI160" s="115"/>
      <c r="BJ160" s="115"/>
      <c r="BK160" s="115"/>
      <c r="BL160" s="115"/>
      <c r="BM160" s="115"/>
      <c r="BN160" s="115"/>
      <c r="BO160" s="115"/>
    </row>
    <row r="161" spans="1:67" ht="15.75" customHeight="1" thickBot="1" x14ac:dyDescent="0.4">
      <c r="A161" s="115"/>
      <c r="B161" s="1387"/>
      <c r="C161" s="1387"/>
      <c r="D161" s="115"/>
      <c r="E161" s="173"/>
      <c r="F161" s="115"/>
      <c r="G161" s="115"/>
      <c r="H161" s="115"/>
      <c r="I161" s="115"/>
      <c r="J161" s="115"/>
      <c r="K161" s="115"/>
      <c r="L161" s="115"/>
      <c r="M161" s="115"/>
      <c r="N161" s="115"/>
      <c r="O161" s="115"/>
      <c r="P161" s="115"/>
      <c r="Q161" s="115"/>
      <c r="R161" s="115"/>
      <c r="S161" s="115"/>
      <c r="T161" s="115"/>
      <c r="U161" s="115"/>
      <c r="V161" s="115"/>
      <c r="W161" s="115"/>
      <c r="X161" s="115"/>
      <c r="Y161" s="115"/>
      <c r="Z161" s="115"/>
      <c r="AA161" s="115"/>
      <c r="AB161" s="115"/>
      <c r="AC161" s="115"/>
      <c r="AD161" s="115"/>
      <c r="AE161" s="115"/>
      <c r="AF161" s="115"/>
      <c r="AG161" s="115"/>
      <c r="AH161" s="115"/>
      <c r="AI161" s="115"/>
      <c r="AJ161" s="115"/>
      <c r="AK161" s="115"/>
      <c r="AL161" s="115"/>
      <c r="AM161" s="115"/>
      <c r="AN161" s="115"/>
      <c r="AO161" s="115"/>
      <c r="AP161" s="115"/>
      <c r="AQ161" s="115"/>
      <c r="AR161" s="115"/>
      <c r="AS161" s="115"/>
      <c r="AT161" s="115"/>
      <c r="AU161" s="115"/>
      <c r="AV161" s="115"/>
      <c r="AW161" s="115"/>
      <c r="AX161" s="115"/>
      <c r="AY161" s="115"/>
      <c r="AZ161" s="115"/>
      <c r="BA161" s="115"/>
      <c r="BB161" s="115"/>
      <c r="BC161" s="115"/>
      <c r="BD161" s="115"/>
      <c r="BE161" s="115"/>
      <c r="BF161" s="115"/>
      <c r="BG161" s="115"/>
      <c r="BH161" s="115"/>
      <c r="BI161" s="115"/>
      <c r="BJ161" s="115"/>
      <c r="BK161" s="115"/>
      <c r="BL161" s="115"/>
      <c r="BM161" s="115"/>
      <c r="BN161" s="115"/>
      <c r="BO161" s="115"/>
    </row>
    <row r="162" spans="1:67" ht="15.75" customHeight="1" thickBot="1" x14ac:dyDescent="0.4">
      <c r="A162" s="115"/>
      <c r="B162" s="1387"/>
      <c r="C162" s="1387"/>
      <c r="D162" s="115"/>
      <c r="E162" s="173"/>
      <c r="F162" s="115"/>
      <c r="G162" s="115"/>
      <c r="H162" s="115"/>
      <c r="I162" s="115"/>
      <c r="J162" s="115"/>
      <c r="K162" s="115"/>
      <c r="L162" s="115"/>
      <c r="M162" s="115"/>
      <c r="N162" s="115"/>
      <c r="O162" s="115"/>
      <c r="P162" s="115"/>
      <c r="Q162" s="115"/>
      <c r="R162" s="115"/>
      <c r="S162" s="115"/>
      <c r="T162" s="115"/>
      <c r="U162" s="115"/>
      <c r="V162" s="115"/>
      <c r="W162" s="115"/>
      <c r="X162" s="115"/>
      <c r="Y162" s="115"/>
      <c r="Z162" s="115"/>
      <c r="AA162" s="115"/>
      <c r="AB162" s="115"/>
      <c r="AC162" s="115"/>
      <c r="AD162" s="115"/>
      <c r="AE162" s="115"/>
      <c r="AF162" s="115"/>
      <c r="AG162" s="115"/>
      <c r="AH162" s="115"/>
      <c r="AI162" s="115"/>
      <c r="AJ162" s="115"/>
      <c r="AK162" s="115"/>
      <c r="AL162" s="115"/>
      <c r="AM162" s="115"/>
      <c r="AN162" s="115"/>
      <c r="AO162" s="115"/>
      <c r="AP162" s="115"/>
      <c r="AQ162" s="115"/>
      <c r="AR162" s="115"/>
      <c r="AS162" s="115"/>
      <c r="AT162" s="115"/>
      <c r="AU162" s="115"/>
      <c r="AV162" s="115"/>
      <c r="AW162" s="115"/>
      <c r="AX162" s="115"/>
      <c r="AY162" s="115"/>
      <c r="AZ162" s="115"/>
      <c r="BA162" s="115"/>
      <c r="BB162" s="115"/>
      <c r="BC162" s="115"/>
      <c r="BD162" s="115"/>
      <c r="BE162" s="115"/>
      <c r="BF162" s="115"/>
      <c r="BG162" s="115"/>
      <c r="BH162" s="115"/>
      <c r="BI162" s="115"/>
      <c r="BJ162" s="115"/>
      <c r="BK162" s="115"/>
      <c r="BL162" s="115"/>
      <c r="BM162" s="115"/>
      <c r="BN162" s="115"/>
      <c r="BO162" s="115"/>
    </row>
    <row r="163" spans="1:67" ht="15.75" customHeight="1" thickBot="1" x14ac:dyDescent="0.4">
      <c r="A163" s="115"/>
      <c r="B163" s="1387"/>
      <c r="C163" s="1387"/>
      <c r="D163" s="115"/>
      <c r="E163" s="173"/>
      <c r="F163" s="115"/>
      <c r="G163" s="115"/>
      <c r="H163" s="115"/>
      <c r="I163" s="115"/>
      <c r="J163" s="115"/>
      <c r="K163" s="115"/>
      <c r="L163" s="115"/>
      <c r="M163" s="115"/>
      <c r="N163" s="115"/>
      <c r="O163" s="115"/>
      <c r="P163" s="115"/>
      <c r="Q163" s="115"/>
      <c r="R163" s="115"/>
      <c r="S163" s="115"/>
      <c r="T163" s="115"/>
      <c r="U163" s="115"/>
      <c r="V163" s="115"/>
      <c r="W163" s="115"/>
      <c r="X163" s="115"/>
      <c r="Y163" s="115"/>
      <c r="Z163" s="115"/>
      <c r="AA163" s="115"/>
      <c r="AB163" s="115"/>
      <c r="AC163" s="115"/>
      <c r="AD163" s="115"/>
      <c r="AE163" s="115"/>
      <c r="AF163" s="115"/>
      <c r="AG163" s="115"/>
      <c r="AH163" s="115"/>
      <c r="AI163" s="115"/>
      <c r="AJ163" s="115"/>
      <c r="AK163" s="115"/>
      <c r="AL163" s="115"/>
      <c r="AM163" s="115"/>
      <c r="AN163" s="115"/>
      <c r="AO163" s="115"/>
      <c r="AP163" s="115"/>
      <c r="AQ163" s="115"/>
      <c r="AR163" s="115"/>
      <c r="AS163" s="115"/>
      <c r="AT163" s="115"/>
      <c r="AU163" s="115"/>
      <c r="AV163" s="115"/>
      <c r="AW163" s="115"/>
      <c r="AX163" s="115"/>
      <c r="AY163" s="115"/>
      <c r="AZ163" s="115"/>
      <c r="BA163" s="115"/>
      <c r="BB163" s="115"/>
      <c r="BC163" s="115"/>
      <c r="BD163" s="115"/>
      <c r="BE163" s="115"/>
      <c r="BF163" s="115"/>
      <c r="BG163" s="115"/>
      <c r="BH163" s="115"/>
      <c r="BI163" s="115"/>
      <c r="BJ163" s="115"/>
      <c r="BK163" s="115"/>
      <c r="BL163" s="115"/>
      <c r="BM163" s="115"/>
      <c r="BN163" s="115"/>
      <c r="BO163" s="115"/>
    </row>
    <row r="164" spans="1:67" ht="15.75" customHeight="1" thickBot="1" x14ac:dyDescent="0.4">
      <c r="A164" s="115"/>
      <c r="B164" s="1387"/>
      <c r="C164" s="1387"/>
      <c r="D164" s="115"/>
      <c r="E164" s="173"/>
      <c r="F164" s="115"/>
      <c r="G164" s="115"/>
      <c r="H164" s="115"/>
      <c r="I164" s="115"/>
      <c r="J164" s="115"/>
      <c r="K164" s="115"/>
      <c r="L164" s="115"/>
      <c r="M164" s="115"/>
      <c r="N164" s="115"/>
      <c r="O164" s="115"/>
      <c r="P164" s="115"/>
      <c r="Q164" s="115"/>
      <c r="R164" s="115"/>
      <c r="S164" s="115"/>
      <c r="T164" s="115"/>
      <c r="U164" s="115"/>
      <c r="V164" s="115"/>
      <c r="W164" s="115"/>
      <c r="X164" s="115"/>
      <c r="Y164" s="115"/>
      <c r="Z164" s="115"/>
      <c r="AA164" s="115"/>
      <c r="AB164" s="115"/>
      <c r="AC164" s="115"/>
      <c r="AD164" s="115"/>
      <c r="AE164" s="115"/>
      <c r="AF164" s="115"/>
      <c r="AG164" s="115"/>
      <c r="AH164" s="115"/>
      <c r="AI164" s="115"/>
      <c r="AJ164" s="115"/>
      <c r="AK164" s="115"/>
      <c r="AL164" s="115"/>
      <c r="AM164" s="115"/>
      <c r="AN164" s="115"/>
      <c r="AO164" s="115"/>
      <c r="AP164" s="115"/>
      <c r="AQ164" s="115"/>
      <c r="AR164" s="115"/>
      <c r="AS164" s="115"/>
      <c r="AT164" s="115"/>
      <c r="AU164" s="115"/>
      <c r="AV164" s="115"/>
      <c r="AW164" s="115"/>
      <c r="AX164" s="115"/>
      <c r="AY164" s="115"/>
      <c r="AZ164" s="115"/>
      <c r="BA164" s="115"/>
      <c r="BB164" s="115"/>
      <c r="BC164" s="115"/>
      <c r="BD164" s="115"/>
      <c r="BE164" s="115"/>
      <c r="BF164" s="115"/>
      <c r="BG164" s="115"/>
      <c r="BH164" s="115"/>
      <c r="BI164" s="115"/>
      <c r="BJ164" s="115"/>
      <c r="BK164" s="115"/>
      <c r="BL164" s="115"/>
      <c r="BM164" s="115"/>
      <c r="BN164" s="115"/>
      <c r="BO164" s="115"/>
    </row>
    <row r="165" spans="1:67" ht="15.75" customHeight="1" thickBot="1" x14ac:dyDescent="0.4">
      <c r="A165" s="115"/>
      <c r="B165" s="1387"/>
      <c r="C165" s="1387"/>
      <c r="D165" s="115"/>
      <c r="E165" s="173"/>
      <c r="F165" s="115"/>
      <c r="G165" s="115"/>
      <c r="H165" s="115"/>
      <c r="I165" s="115"/>
      <c r="J165" s="115"/>
      <c r="K165" s="115"/>
      <c r="L165" s="115"/>
      <c r="M165" s="115"/>
      <c r="N165" s="115"/>
      <c r="O165" s="115"/>
      <c r="P165" s="115"/>
      <c r="Q165" s="115"/>
      <c r="R165" s="115"/>
      <c r="S165" s="115"/>
      <c r="T165" s="115"/>
      <c r="U165" s="115"/>
      <c r="V165" s="115"/>
      <c r="W165" s="115"/>
      <c r="X165" s="115"/>
      <c r="Y165" s="115"/>
      <c r="Z165" s="115"/>
      <c r="AA165" s="115"/>
      <c r="AB165" s="115"/>
      <c r="AC165" s="115"/>
      <c r="AD165" s="115"/>
      <c r="AE165" s="115"/>
      <c r="AF165" s="115"/>
      <c r="AG165" s="115"/>
      <c r="AH165" s="115"/>
      <c r="AI165" s="115"/>
      <c r="AJ165" s="115"/>
      <c r="AK165" s="115"/>
      <c r="AL165" s="115"/>
      <c r="AM165" s="115"/>
      <c r="AN165" s="115"/>
      <c r="AO165" s="115"/>
      <c r="AP165" s="115"/>
      <c r="AQ165" s="115"/>
      <c r="AR165" s="115"/>
      <c r="AS165" s="115"/>
      <c r="AT165" s="115"/>
      <c r="AU165" s="115"/>
      <c r="AV165" s="115"/>
      <c r="AW165" s="115"/>
      <c r="AX165" s="115"/>
      <c r="AY165" s="115"/>
      <c r="AZ165" s="115"/>
      <c r="BA165" s="115"/>
      <c r="BB165" s="115"/>
      <c r="BC165" s="115"/>
      <c r="BD165" s="115"/>
      <c r="BE165" s="115"/>
      <c r="BF165" s="115"/>
      <c r="BG165" s="115"/>
      <c r="BH165" s="115"/>
      <c r="BI165" s="115"/>
      <c r="BJ165" s="115"/>
      <c r="BK165" s="115"/>
      <c r="BL165" s="115"/>
      <c r="BM165" s="115"/>
      <c r="BN165" s="115"/>
      <c r="BO165" s="115"/>
    </row>
    <row r="166" spans="1:67" ht="15.75" customHeight="1" thickBot="1" x14ac:dyDescent="0.4">
      <c r="A166" s="115"/>
      <c r="B166" s="1387"/>
      <c r="C166" s="1387"/>
      <c r="D166" s="115"/>
      <c r="E166" s="173"/>
      <c r="F166" s="115"/>
      <c r="G166" s="115"/>
      <c r="H166" s="115"/>
      <c r="I166" s="115"/>
      <c r="J166" s="115"/>
      <c r="K166" s="115"/>
      <c r="L166" s="115"/>
      <c r="M166" s="115"/>
      <c r="N166" s="115"/>
      <c r="O166" s="115"/>
      <c r="P166" s="115"/>
      <c r="Q166" s="115"/>
      <c r="R166" s="115"/>
      <c r="S166" s="115"/>
      <c r="T166" s="115"/>
      <c r="U166" s="115"/>
      <c r="V166" s="115"/>
      <c r="W166" s="115"/>
      <c r="X166" s="115"/>
      <c r="Y166" s="115"/>
      <c r="Z166" s="115"/>
      <c r="AA166" s="115"/>
      <c r="AB166" s="115"/>
      <c r="AC166" s="115"/>
      <c r="AD166" s="115"/>
      <c r="AE166" s="115"/>
      <c r="AF166" s="115"/>
      <c r="AG166" s="115"/>
      <c r="AH166" s="115"/>
      <c r="AI166" s="115"/>
      <c r="AJ166" s="115"/>
      <c r="AK166" s="115"/>
      <c r="AL166" s="115"/>
      <c r="AM166" s="115"/>
      <c r="AN166" s="115"/>
      <c r="AO166" s="115"/>
      <c r="AP166" s="115"/>
      <c r="AQ166" s="115"/>
      <c r="AR166" s="115"/>
      <c r="AS166" s="115"/>
      <c r="AT166" s="115"/>
      <c r="AU166" s="115"/>
      <c r="AV166" s="115"/>
      <c r="AW166" s="115"/>
      <c r="AX166" s="115"/>
      <c r="AY166" s="115"/>
      <c r="AZ166" s="115"/>
      <c r="BA166" s="115"/>
      <c r="BB166" s="115"/>
      <c r="BC166" s="115"/>
      <c r="BD166" s="115"/>
      <c r="BE166" s="115"/>
      <c r="BF166" s="115"/>
      <c r="BG166" s="115"/>
      <c r="BH166" s="115"/>
      <c r="BI166" s="115"/>
      <c r="BJ166" s="115"/>
      <c r="BK166" s="115"/>
      <c r="BL166" s="115"/>
      <c r="BM166" s="115"/>
      <c r="BN166" s="115"/>
      <c r="BO166" s="115"/>
    </row>
    <row r="167" spans="1:67" ht="15.75" customHeight="1" thickBot="1" x14ac:dyDescent="0.4">
      <c r="A167" s="115"/>
      <c r="B167" s="1387"/>
      <c r="C167" s="1387"/>
      <c r="D167" s="115"/>
      <c r="E167" s="173"/>
      <c r="F167" s="115"/>
      <c r="G167" s="115"/>
      <c r="H167" s="115"/>
      <c r="I167" s="115"/>
      <c r="J167" s="115"/>
      <c r="K167" s="115"/>
      <c r="L167" s="115"/>
      <c r="M167" s="115"/>
      <c r="N167" s="115"/>
      <c r="O167" s="115"/>
      <c r="P167" s="115"/>
      <c r="Q167" s="115"/>
      <c r="R167" s="115"/>
      <c r="S167" s="115"/>
      <c r="T167" s="115"/>
      <c r="U167" s="115"/>
      <c r="V167" s="115"/>
      <c r="W167" s="115"/>
      <c r="X167" s="115"/>
      <c r="Y167" s="115"/>
      <c r="Z167" s="115"/>
      <c r="AA167" s="115"/>
      <c r="AB167" s="115"/>
      <c r="AC167" s="115"/>
      <c r="AD167" s="115"/>
      <c r="AE167" s="115"/>
      <c r="AF167" s="115"/>
      <c r="AG167" s="115"/>
      <c r="AH167" s="115"/>
      <c r="AI167" s="115"/>
      <c r="AJ167" s="115"/>
      <c r="AK167" s="115"/>
      <c r="AL167" s="115"/>
      <c r="AM167" s="115"/>
      <c r="AN167" s="115"/>
      <c r="AO167" s="115"/>
      <c r="AP167" s="115"/>
      <c r="AQ167" s="115"/>
      <c r="AR167" s="115"/>
      <c r="AS167" s="115"/>
      <c r="AT167" s="115"/>
      <c r="AU167" s="115"/>
      <c r="AV167" s="115"/>
      <c r="AW167" s="115"/>
      <c r="AX167" s="115"/>
      <c r="AY167" s="115"/>
      <c r="AZ167" s="115"/>
      <c r="BA167" s="115"/>
      <c r="BB167" s="115"/>
      <c r="BC167" s="115"/>
      <c r="BD167" s="115"/>
      <c r="BE167" s="115"/>
      <c r="BF167" s="115"/>
      <c r="BG167" s="115"/>
      <c r="BH167" s="115"/>
      <c r="BI167" s="115"/>
      <c r="BJ167" s="115"/>
      <c r="BK167" s="115"/>
      <c r="BL167" s="115"/>
      <c r="BM167" s="115"/>
      <c r="BN167" s="115"/>
      <c r="BO167" s="115"/>
    </row>
    <row r="168" spans="1:67" ht="15.75" customHeight="1" thickBot="1" x14ac:dyDescent="0.4">
      <c r="A168" s="115"/>
      <c r="B168" s="1387"/>
      <c r="C168" s="1387"/>
      <c r="D168" s="115"/>
      <c r="E168" s="173"/>
      <c r="F168" s="115"/>
      <c r="G168" s="115"/>
      <c r="H168" s="115"/>
      <c r="I168" s="115"/>
      <c r="J168" s="115"/>
      <c r="K168" s="115"/>
      <c r="L168" s="115"/>
      <c r="M168" s="115"/>
      <c r="N168" s="115"/>
      <c r="O168" s="115"/>
      <c r="P168" s="115"/>
      <c r="Q168" s="115"/>
      <c r="R168" s="115"/>
      <c r="S168" s="115"/>
      <c r="T168" s="115"/>
      <c r="U168" s="115"/>
      <c r="V168" s="115"/>
      <c r="W168" s="115"/>
      <c r="X168" s="115"/>
      <c r="Y168" s="115"/>
      <c r="Z168" s="115"/>
      <c r="AA168" s="115"/>
      <c r="AB168" s="115"/>
      <c r="AC168" s="115"/>
      <c r="AD168" s="115"/>
      <c r="AE168" s="115"/>
      <c r="AF168" s="115"/>
      <c r="AG168" s="115"/>
      <c r="AH168" s="115"/>
      <c r="AI168" s="115"/>
      <c r="AJ168" s="115"/>
      <c r="AK168" s="115"/>
      <c r="AL168" s="115"/>
      <c r="AM168" s="115"/>
      <c r="AN168" s="115"/>
      <c r="AO168" s="115"/>
      <c r="AP168" s="115"/>
      <c r="AQ168" s="115"/>
      <c r="AR168" s="115"/>
      <c r="AS168" s="115"/>
      <c r="AT168" s="115"/>
      <c r="AU168" s="115"/>
      <c r="AV168" s="115"/>
      <c r="AW168" s="115"/>
      <c r="AX168" s="115"/>
      <c r="AY168" s="115"/>
      <c r="AZ168" s="115"/>
      <c r="BA168" s="115"/>
      <c r="BB168" s="115"/>
      <c r="BC168" s="115"/>
      <c r="BD168" s="115"/>
      <c r="BE168" s="115"/>
      <c r="BF168" s="115"/>
      <c r="BG168" s="115"/>
      <c r="BH168" s="115"/>
      <c r="BI168" s="115"/>
      <c r="BJ168" s="115"/>
      <c r="BK168" s="115"/>
      <c r="BL168" s="115"/>
      <c r="BM168" s="115"/>
      <c r="BN168" s="115"/>
      <c r="BO168" s="115"/>
    </row>
    <row r="169" spans="1:67" ht="15.75" customHeight="1" thickBot="1" x14ac:dyDescent="0.4">
      <c r="A169" s="115"/>
      <c r="B169" s="1387"/>
      <c r="C169" s="1387"/>
      <c r="D169" s="115"/>
      <c r="E169" s="173"/>
      <c r="F169" s="115"/>
      <c r="G169" s="115"/>
      <c r="H169" s="115"/>
      <c r="I169" s="115"/>
      <c r="J169" s="115"/>
      <c r="K169" s="115"/>
      <c r="L169" s="115"/>
      <c r="M169" s="115"/>
      <c r="N169" s="115"/>
      <c r="O169" s="115"/>
      <c r="P169" s="115"/>
      <c r="Q169" s="115"/>
      <c r="R169" s="115"/>
      <c r="S169" s="115"/>
      <c r="T169" s="115"/>
      <c r="U169" s="115"/>
      <c r="V169" s="115"/>
      <c r="W169" s="115"/>
      <c r="X169" s="115"/>
      <c r="Y169" s="115"/>
      <c r="Z169" s="115"/>
      <c r="AA169" s="115"/>
      <c r="AB169" s="115"/>
      <c r="AC169" s="115"/>
      <c r="AD169" s="115"/>
      <c r="AE169" s="115"/>
      <c r="AF169" s="115"/>
      <c r="AG169" s="115"/>
      <c r="AH169" s="115"/>
      <c r="AI169" s="115"/>
      <c r="AJ169" s="115"/>
      <c r="AK169" s="115"/>
      <c r="AL169" s="115"/>
      <c r="AM169" s="115"/>
      <c r="AN169" s="115"/>
      <c r="AO169" s="115"/>
      <c r="AP169" s="115"/>
      <c r="AQ169" s="115"/>
      <c r="AR169" s="115"/>
      <c r="AS169" s="115"/>
      <c r="AT169" s="115"/>
      <c r="AU169" s="115"/>
      <c r="AV169" s="115"/>
      <c r="AW169" s="115"/>
      <c r="AX169" s="115"/>
      <c r="AY169" s="115"/>
      <c r="AZ169" s="115"/>
      <c r="BA169" s="115"/>
      <c r="BB169" s="115"/>
      <c r="BC169" s="115"/>
      <c r="BD169" s="115"/>
      <c r="BE169" s="115"/>
      <c r="BF169" s="115"/>
      <c r="BG169" s="115"/>
      <c r="BH169" s="115"/>
      <c r="BI169" s="115"/>
      <c r="BJ169" s="115"/>
      <c r="BK169" s="115"/>
      <c r="BL169" s="115"/>
      <c r="BM169" s="115"/>
      <c r="BN169" s="115"/>
      <c r="BO169" s="115"/>
    </row>
    <row r="170" spans="1:67" ht="15.75" customHeight="1" thickBot="1" x14ac:dyDescent="0.4">
      <c r="A170" s="115"/>
      <c r="B170" s="1387"/>
      <c r="C170" s="1387"/>
      <c r="D170" s="115"/>
      <c r="E170" s="173"/>
      <c r="F170" s="115"/>
      <c r="G170" s="115"/>
      <c r="H170" s="115"/>
      <c r="I170" s="115"/>
      <c r="J170" s="115"/>
      <c r="K170" s="115"/>
      <c r="L170" s="115"/>
      <c r="M170" s="115"/>
      <c r="N170" s="115"/>
      <c r="O170" s="115"/>
      <c r="P170" s="115"/>
      <c r="Q170" s="115"/>
      <c r="R170" s="115"/>
      <c r="S170" s="115"/>
      <c r="T170" s="115"/>
      <c r="U170" s="115"/>
      <c r="V170" s="115"/>
      <c r="W170" s="115"/>
      <c r="X170" s="115"/>
      <c r="Y170" s="115"/>
      <c r="Z170" s="115"/>
      <c r="AA170" s="115"/>
      <c r="AB170" s="115"/>
      <c r="AC170" s="115"/>
      <c r="AD170" s="115"/>
      <c r="AE170" s="115"/>
      <c r="AF170" s="115"/>
      <c r="AG170" s="115"/>
      <c r="AH170" s="115"/>
      <c r="AI170" s="115"/>
      <c r="AJ170" s="115"/>
      <c r="AK170" s="115"/>
      <c r="AL170" s="115"/>
      <c r="AM170" s="115"/>
      <c r="AN170" s="115"/>
      <c r="AO170" s="115"/>
      <c r="AP170" s="115"/>
      <c r="AQ170" s="115"/>
      <c r="AR170" s="115"/>
      <c r="AS170" s="115"/>
      <c r="AT170" s="115"/>
      <c r="AU170" s="115"/>
      <c r="AV170" s="115"/>
      <c r="AW170" s="115"/>
      <c r="AX170" s="115"/>
      <c r="AY170" s="115"/>
      <c r="AZ170" s="115"/>
      <c r="BA170" s="115"/>
      <c r="BB170" s="115"/>
      <c r="BC170" s="115"/>
      <c r="BD170" s="115"/>
      <c r="BE170" s="115"/>
      <c r="BF170" s="115"/>
      <c r="BG170" s="115"/>
      <c r="BH170" s="115"/>
      <c r="BI170" s="115"/>
      <c r="BJ170" s="115"/>
      <c r="BK170" s="115"/>
      <c r="BL170" s="115"/>
      <c r="BM170" s="115"/>
      <c r="BN170" s="115"/>
      <c r="BO170" s="115"/>
    </row>
    <row r="171" spans="1:67" ht="15.75" customHeight="1" thickBot="1" x14ac:dyDescent="0.4">
      <c r="A171" s="115"/>
      <c r="B171" s="1387"/>
      <c r="C171" s="1387"/>
      <c r="D171" s="115"/>
      <c r="E171" s="173"/>
      <c r="F171" s="115"/>
      <c r="G171" s="115"/>
      <c r="H171" s="115"/>
      <c r="I171" s="115"/>
      <c r="J171" s="115"/>
      <c r="K171" s="115"/>
      <c r="L171" s="115"/>
      <c r="M171" s="115"/>
      <c r="N171" s="115"/>
      <c r="O171" s="115"/>
      <c r="P171" s="115"/>
      <c r="Q171" s="115"/>
      <c r="R171" s="115"/>
      <c r="S171" s="115"/>
      <c r="T171" s="115"/>
      <c r="U171" s="115"/>
      <c r="V171" s="115"/>
      <c r="W171" s="115"/>
      <c r="X171" s="115"/>
      <c r="Y171" s="115"/>
      <c r="Z171" s="115"/>
      <c r="AA171" s="115"/>
      <c r="AB171" s="115"/>
      <c r="AC171" s="115"/>
      <c r="AD171" s="115"/>
      <c r="AE171" s="115"/>
      <c r="AF171" s="115"/>
      <c r="AG171" s="115"/>
      <c r="AH171" s="115"/>
      <c r="AI171" s="115"/>
      <c r="AJ171" s="115"/>
      <c r="AK171" s="115"/>
      <c r="AL171" s="115"/>
      <c r="AM171" s="115"/>
      <c r="AN171" s="115"/>
      <c r="AO171" s="115"/>
      <c r="AP171" s="115"/>
      <c r="AQ171" s="115"/>
      <c r="AR171" s="115"/>
      <c r="AS171" s="115"/>
      <c r="AT171" s="115"/>
      <c r="AU171" s="115"/>
      <c r="AV171" s="115"/>
      <c r="AW171" s="115"/>
      <c r="AX171" s="115"/>
      <c r="AY171" s="115"/>
      <c r="AZ171" s="115"/>
      <c r="BA171" s="115"/>
      <c r="BB171" s="115"/>
      <c r="BC171" s="115"/>
      <c r="BD171" s="115"/>
      <c r="BE171" s="115"/>
      <c r="BF171" s="115"/>
      <c r="BG171" s="115"/>
      <c r="BH171" s="115"/>
      <c r="BI171" s="115"/>
      <c r="BJ171" s="115"/>
      <c r="BK171" s="115"/>
      <c r="BL171" s="115"/>
      <c r="BM171" s="115"/>
      <c r="BN171" s="115"/>
      <c r="BO171" s="115"/>
    </row>
    <row r="172" spans="1:67" ht="15.75" customHeight="1" thickBot="1" x14ac:dyDescent="0.4">
      <c r="A172" s="115"/>
      <c r="B172" s="1387"/>
      <c r="C172" s="1387"/>
      <c r="D172" s="115"/>
      <c r="E172" s="173"/>
      <c r="F172" s="115"/>
      <c r="G172" s="115"/>
      <c r="H172" s="115"/>
      <c r="I172" s="115"/>
      <c r="J172" s="115"/>
      <c r="K172" s="115"/>
      <c r="L172" s="115"/>
      <c r="M172" s="115"/>
      <c r="N172" s="115"/>
      <c r="O172" s="115"/>
      <c r="P172" s="115"/>
      <c r="Q172" s="115"/>
      <c r="R172" s="115"/>
      <c r="S172" s="115"/>
      <c r="T172" s="115"/>
      <c r="U172" s="115"/>
      <c r="V172" s="115"/>
      <c r="W172" s="115"/>
      <c r="X172" s="115"/>
      <c r="Y172" s="115"/>
      <c r="Z172" s="115"/>
      <c r="AA172" s="115"/>
      <c r="AB172" s="115"/>
      <c r="AC172" s="115"/>
      <c r="AD172" s="115"/>
      <c r="AE172" s="115"/>
      <c r="AF172" s="115"/>
      <c r="AG172" s="115"/>
      <c r="AH172" s="115"/>
      <c r="AI172" s="115"/>
      <c r="AJ172" s="115"/>
      <c r="AK172" s="115"/>
      <c r="AL172" s="115"/>
      <c r="AM172" s="115"/>
      <c r="AN172" s="115"/>
      <c r="AO172" s="115"/>
      <c r="AP172" s="115"/>
      <c r="AQ172" s="115"/>
      <c r="AR172" s="115"/>
      <c r="AS172" s="115"/>
      <c r="AT172" s="115"/>
      <c r="AU172" s="115"/>
      <c r="AV172" s="115"/>
      <c r="AW172" s="115"/>
      <c r="AX172" s="115"/>
      <c r="AY172" s="115"/>
      <c r="AZ172" s="115"/>
      <c r="BA172" s="115"/>
      <c r="BB172" s="115"/>
      <c r="BC172" s="115"/>
      <c r="BD172" s="115"/>
      <c r="BE172" s="115"/>
      <c r="BF172" s="115"/>
      <c r="BG172" s="115"/>
      <c r="BH172" s="115"/>
      <c r="BI172" s="115"/>
      <c r="BJ172" s="115"/>
      <c r="BK172" s="115"/>
      <c r="BL172" s="115"/>
      <c r="BM172" s="115"/>
      <c r="BN172" s="115"/>
      <c r="BO172" s="115"/>
    </row>
    <row r="173" spans="1:67" ht="15.75" customHeight="1" thickBot="1" x14ac:dyDescent="0.4">
      <c r="A173" s="115"/>
      <c r="B173" s="1387"/>
      <c r="C173" s="1387"/>
      <c r="D173" s="115"/>
      <c r="E173" s="173"/>
      <c r="F173" s="115"/>
      <c r="G173" s="115"/>
      <c r="H173" s="115"/>
      <c r="I173" s="115"/>
      <c r="J173" s="115"/>
      <c r="K173" s="115"/>
      <c r="L173" s="115"/>
      <c r="M173" s="115"/>
      <c r="N173" s="115"/>
      <c r="O173" s="115"/>
      <c r="P173" s="115"/>
      <c r="Q173" s="115"/>
      <c r="R173" s="115"/>
      <c r="S173" s="115"/>
      <c r="T173" s="115"/>
      <c r="U173" s="115"/>
      <c r="V173" s="115"/>
      <c r="W173" s="115"/>
      <c r="X173" s="115"/>
      <c r="Y173" s="115"/>
      <c r="Z173" s="115"/>
      <c r="AA173" s="115"/>
      <c r="AB173" s="115"/>
      <c r="AC173" s="115"/>
      <c r="AD173" s="115"/>
      <c r="AE173" s="115"/>
      <c r="AF173" s="115"/>
      <c r="AG173" s="115"/>
      <c r="AH173" s="115"/>
      <c r="AI173" s="115"/>
      <c r="AJ173" s="115"/>
      <c r="AK173" s="115"/>
      <c r="AL173" s="115"/>
      <c r="AM173" s="115"/>
      <c r="AN173" s="115"/>
      <c r="AO173" s="115"/>
      <c r="AP173" s="115"/>
      <c r="AQ173" s="115"/>
      <c r="AR173" s="115"/>
      <c r="AS173" s="115"/>
      <c r="AT173" s="115"/>
      <c r="AU173" s="115"/>
      <c r="AV173" s="115"/>
      <c r="AW173" s="115"/>
      <c r="AX173" s="115"/>
      <c r="AY173" s="115"/>
      <c r="AZ173" s="115"/>
      <c r="BA173" s="115"/>
      <c r="BB173" s="115"/>
      <c r="BC173" s="115"/>
      <c r="BD173" s="115"/>
      <c r="BE173" s="115"/>
      <c r="BF173" s="115"/>
      <c r="BG173" s="115"/>
      <c r="BH173" s="115"/>
      <c r="BI173" s="115"/>
      <c r="BJ173" s="115"/>
      <c r="BK173" s="115"/>
      <c r="BL173" s="115"/>
      <c r="BM173" s="115"/>
      <c r="BN173" s="115"/>
      <c r="BO173" s="115"/>
    </row>
    <row r="174" spans="1:67" ht="15.75" customHeight="1" thickBot="1" x14ac:dyDescent="0.4">
      <c r="A174" s="115"/>
      <c r="B174" s="1387"/>
      <c r="C174" s="1387"/>
      <c r="D174" s="115"/>
      <c r="E174" s="173"/>
      <c r="F174" s="115"/>
      <c r="G174" s="115"/>
      <c r="H174" s="115"/>
      <c r="I174" s="115"/>
      <c r="J174" s="115"/>
      <c r="K174" s="115"/>
      <c r="L174" s="115"/>
      <c r="M174" s="115"/>
      <c r="N174" s="115"/>
      <c r="O174" s="115"/>
      <c r="P174" s="115"/>
      <c r="Q174" s="115"/>
      <c r="R174" s="115"/>
      <c r="S174" s="115"/>
      <c r="T174" s="115"/>
      <c r="U174" s="115"/>
      <c r="V174" s="115"/>
      <c r="W174" s="115"/>
      <c r="X174" s="115"/>
      <c r="Y174" s="115"/>
      <c r="Z174" s="115"/>
      <c r="AA174" s="115"/>
      <c r="AB174" s="115"/>
      <c r="AC174" s="115"/>
      <c r="AD174" s="115"/>
      <c r="AE174" s="115"/>
      <c r="AF174" s="115"/>
      <c r="AG174" s="115"/>
      <c r="AH174" s="115"/>
      <c r="AI174" s="115"/>
      <c r="AJ174" s="115"/>
      <c r="AK174" s="115"/>
      <c r="AL174" s="115"/>
      <c r="AM174" s="115"/>
      <c r="AN174" s="115"/>
      <c r="AO174" s="115"/>
      <c r="AP174" s="115"/>
      <c r="AQ174" s="115"/>
      <c r="AR174" s="115"/>
      <c r="AS174" s="115"/>
      <c r="AT174" s="115"/>
      <c r="AU174" s="115"/>
      <c r="AV174" s="115"/>
      <c r="AW174" s="115"/>
      <c r="AX174" s="115"/>
      <c r="AY174" s="115"/>
      <c r="AZ174" s="115"/>
      <c r="BA174" s="115"/>
      <c r="BB174" s="115"/>
      <c r="BC174" s="115"/>
      <c r="BD174" s="115"/>
      <c r="BE174" s="115"/>
      <c r="BF174" s="115"/>
      <c r="BG174" s="115"/>
      <c r="BH174" s="115"/>
      <c r="BI174" s="115"/>
      <c r="BJ174" s="115"/>
      <c r="BK174" s="115"/>
      <c r="BL174" s="115"/>
      <c r="BM174" s="115"/>
      <c r="BN174" s="115"/>
      <c r="BO174" s="115"/>
    </row>
    <row r="175" spans="1:67" ht="15.75" customHeight="1" thickBot="1" x14ac:dyDescent="0.4">
      <c r="A175" s="115"/>
      <c r="B175" s="1387"/>
      <c r="C175" s="1387"/>
      <c r="D175" s="115"/>
      <c r="E175" s="173"/>
      <c r="F175" s="115"/>
      <c r="G175" s="115"/>
      <c r="H175" s="115"/>
      <c r="I175" s="115"/>
      <c r="J175" s="115"/>
      <c r="K175" s="115"/>
      <c r="L175" s="115"/>
      <c r="M175" s="115"/>
      <c r="N175" s="115"/>
      <c r="O175" s="115"/>
      <c r="P175" s="115"/>
      <c r="Q175" s="115"/>
      <c r="R175" s="115"/>
      <c r="S175" s="115"/>
      <c r="T175" s="115"/>
      <c r="U175" s="115"/>
      <c r="V175" s="115"/>
      <c r="W175" s="115"/>
      <c r="X175" s="115"/>
      <c r="Y175" s="115"/>
      <c r="Z175" s="115"/>
      <c r="AA175" s="115"/>
      <c r="AB175" s="115"/>
      <c r="AC175" s="115"/>
      <c r="AD175" s="115"/>
      <c r="AE175" s="115"/>
      <c r="AF175" s="115"/>
      <c r="AG175" s="115"/>
      <c r="AH175" s="115"/>
      <c r="AI175" s="115"/>
      <c r="AJ175" s="115"/>
      <c r="AK175" s="115"/>
      <c r="AL175" s="115"/>
      <c r="AM175" s="115"/>
      <c r="AN175" s="115"/>
      <c r="AO175" s="115"/>
      <c r="AP175" s="115"/>
      <c r="AQ175" s="115"/>
      <c r="AR175" s="115"/>
      <c r="AS175" s="115"/>
      <c r="AT175" s="115"/>
      <c r="AU175" s="115"/>
      <c r="AV175" s="115"/>
      <c r="AW175" s="115"/>
      <c r="AX175" s="115"/>
      <c r="AY175" s="115"/>
      <c r="AZ175" s="115"/>
      <c r="BA175" s="115"/>
      <c r="BB175" s="115"/>
      <c r="BC175" s="115"/>
      <c r="BD175" s="115"/>
      <c r="BE175" s="115"/>
      <c r="BF175" s="115"/>
      <c r="BG175" s="115"/>
      <c r="BH175" s="115"/>
      <c r="BI175" s="115"/>
      <c r="BJ175" s="115"/>
      <c r="BK175" s="115"/>
      <c r="BL175" s="115"/>
      <c r="BM175" s="115"/>
      <c r="BN175" s="115"/>
      <c r="BO175" s="115"/>
    </row>
    <row r="176" spans="1:67" ht="15.75" customHeight="1" thickBot="1" x14ac:dyDescent="0.4">
      <c r="A176" s="115"/>
      <c r="B176" s="1387"/>
      <c r="C176" s="1387"/>
      <c r="D176" s="115"/>
      <c r="E176" s="173"/>
      <c r="F176" s="115"/>
      <c r="G176" s="115"/>
      <c r="H176" s="115"/>
      <c r="I176" s="115"/>
      <c r="J176" s="115"/>
      <c r="K176" s="115"/>
      <c r="L176" s="115"/>
      <c r="M176" s="115"/>
      <c r="N176" s="115"/>
      <c r="O176" s="115"/>
      <c r="P176" s="115"/>
      <c r="Q176" s="115"/>
      <c r="R176" s="115"/>
      <c r="S176" s="115"/>
      <c r="T176" s="115"/>
      <c r="U176" s="115"/>
      <c r="V176" s="115"/>
      <c r="W176" s="115"/>
      <c r="X176" s="115"/>
      <c r="Y176" s="115"/>
      <c r="Z176" s="115"/>
      <c r="AA176" s="115"/>
      <c r="AB176" s="115"/>
      <c r="AC176" s="115"/>
      <c r="AD176" s="115"/>
      <c r="AE176" s="115"/>
      <c r="AF176" s="115"/>
      <c r="AG176" s="115"/>
      <c r="AH176" s="115"/>
      <c r="AI176" s="115"/>
      <c r="AJ176" s="115"/>
      <c r="AK176" s="115"/>
      <c r="AL176" s="115"/>
      <c r="AM176" s="115"/>
      <c r="AN176" s="115"/>
      <c r="AO176" s="115"/>
      <c r="AP176" s="115"/>
      <c r="AQ176" s="115"/>
      <c r="AR176" s="115"/>
      <c r="AS176" s="115"/>
      <c r="AT176" s="115"/>
      <c r="AU176" s="115"/>
      <c r="AV176" s="115"/>
      <c r="AW176" s="115"/>
      <c r="AX176" s="115"/>
      <c r="AY176" s="115"/>
      <c r="AZ176" s="115"/>
      <c r="BA176" s="115"/>
      <c r="BB176" s="115"/>
      <c r="BC176" s="115"/>
      <c r="BD176" s="115"/>
      <c r="BE176" s="115"/>
      <c r="BF176" s="115"/>
      <c r="BG176" s="115"/>
      <c r="BH176" s="115"/>
      <c r="BI176" s="115"/>
      <c r="BJ176" s="115"/>
      <c r="BK176" s="115"/>
      <c r="BL176" s="115"/>
      <c r="BM176" s="115"/>
      <c r="BN176" s="115"/>
      <c r="BO176" s="115"/>
    </row>
    <row r="177" spans="1:67" ht="15.75" customHeight="1" thickBot="1" x14ac:dyDescent="0.4">
      <c r="A177" s="115"/>
      <c r="B177" s="1387"/>
      <c r="C177" s="1387"/>
      <c r="D177" s="115"/>
      <c r="E177" s="173"/>
      <c r="F177" s="115"/>
      <c r="G177" s="115"/>
      <c r="H177" s="115"/>
      <c r="I177" s="115"/>
      <c r="J177" s="115"/>
      <c r="K177" s="115"/>
      <c r="L177" s="115"/>
      <c r="M177" s="115"/>
      <c r="N177" s="115"/>
      <c r="O177" s="115"/>
      <c r="P177" s="115"/>
      <c r="Q177" s="115"/>
      <c r="R177" s="115"/>
      <c r="S177" s="115"/>
      <c r="T177" s="115"/>
      <c r="U177" s="115"/>
      <c r="V177" s="115"/>
      <c r="W177" s="115"/>
      <c r="X177" s="115"/>
      <c r="Y177" s="115"/>
      <c r="Z177" s="115"/>
      <c r="AA177" s="115"/>
      <c r="AB177" s="115"/>
      <c r="AC177" s="115"/>
      <c r="AD177" s="115"/>
      <c r="AE177" s="115"/>
      <c r="AF177" s="115"/>
      <c r="AG177" s="115"/>
      <c r="AH177" s="115"/>
      <c r="AI177" s="115"/>
      <c r="AJ177" s="115"/>
      <c r="AK177" s="115"/>
      <c r="AL177" s="115"/>
      <c r="AM177" s="115"/>
      <c r="AN177" s="115"/>
      <c r="AO177" s="115"/>
      <c r="AP177" s="115"/>
      <c r="AQ177" s="115"/>
      <c r="AR177" s="115"/>
      <c r="AS177" s="115"/>
      <c r="AT177" s="115"/>
      <c r="AU177" s="115"/>
      <c r="AV177" s="115"/>
      <c r="AW177" s="115"/>
      <c r="AX177" s="115"/>
      <c r="AY177" s="115"/>
      <c r="AZ177" s="115"/>
      <c r="BA177" s="115"/>
      <c r="BB177" s="115"/>
      <c r="BC177" s="115"/>
      <c r="BD177" s="115"/>
      <c r="BE177" s="115"/>
      <c r="BF177" s="115"/>
      <c r="BG177" s="115"/>
      <c r="BH177" s="115"/>
      <c r="BI177" s="115"/>
      <c r="BJ177" s="115"/>
      <c r="BK177" s="115"/>
      <c r="BL177" s="115"/>
      <c r="BM177" s="115"/>
      <c r="BN177" s="115"/>
      <c r="BO177" s="115"/>
    </row>
    <row r="178" spans="1:67" ht="15.75" customHeight="1" thickBot="1" x14ac:dyDescent="0.4">
      <c r="A178" s="115"/>
      <c r="B178" s="1387"/>
      <c r="C178" s="1387"/>
      <c r="D178" s="115"/>
      <c r="E178" s="173"/>
      <c r="F178" s="115"/>
      <c r="G178" s="115"/>
      <c r="H178" s="115"/>
      <c r="I178" s="115"/>
      <c r="J178" s="115"/>
      <c r="K178" s="115"/>
      <c r="L178" s="115"/>
      <c r="M178" s="115"/>
      <c r="N178" s="115"/>
      <c r="O178" s="115"/>
      <c r="P178" s="115"/>
      <c r="Q178" s="115"/>
      <c r="R178" s="115"/>
      <c r="S178" s="115"/>
      <c r="T178" s="115"/>
      <c r="U178" s="115"/>
      <c r="V178" s="115"/>
      <c r="W178" s="115"/>
      <c r="X178" s="115"/>
      <c r="Y178" s="115"/>
      <c r="Z178" s="115"/>
      <c r="AA178" s="115"/>
      <c r="AB178" s="115"/>
      <c r="AC178" s="115"/>
      <c r="AD178" s="115"/>
      <c r="AE178" s="115"/>
      <c r="AF178" s="115"/>
      <c r="AG178" s="115"/>
      <c r="AH178" s="115"/>
      <c r="AI178" s="115"/>
      <c r="AJ178" s="115"/>
      <c r="AK178" s="115"/>
      <c r="AL178" s="115"/>
      <c r="AM178" s="115"/>
      <c r="AN178" s="115"/>
      <c r="AO178" s="115"/>
      <c r="AP178" s="115"/>
      <c r="AQ178" s="115"/>
      <c r="AR178" s="115"/>
      <c r="AS178" s="115"/>
      <c r="AT178" s="115"/>
      <c r="AU178" s="115"/>
      <c r="AV178" s="115"/>
      <c r="AW178" s="115"/>
      <c r="AX178" s="115"/>
      <c r="AY178" s="115"/>
      <c r="AZ178" s="115"/>
      <c r="BA178" s="115"/>
      <c r="BB178" s="115"/>
      <c r="BC178" s="115"/>
      <c r="BD178" s="115"/>
      <c r="BE178" s="115"/>
      <c r="BF178" s="115"/>
      <c r="BG178" s="115"/>
      <c r="BH178" s="115"/>
      <c r="BI178" s="115"/>
      <c r="BJ178" s="115"/>
      <c r="BK178" s="115"/>
      <c r="BL178" s="115"/>
      <c r="BM178" s="115"/>
      <c r="BN178" s="115"/>
      <c r="BO178" s="115"/>
    </row>
    <row r="179" spans="1:67" ht="15.75" customHeight="1" thickBot="1" x14ac:dyDescent="0.4">
      <c r="A179" s="115"/>
      <c r="B179" s="1387"/>
      <c r="C179" s="1387"/>
      <c r="D179" s="115"/>
      <c r="E179" s="173"/>
      <c r="F179" s="115"/>
      <c r="G179" s="115"/>
      <c r="H179" s="115"/>
      <c r="I179" s="115"/>
      <c r="J179" s="115"/>
      <c r="K179" s="115"/>
      <c r="L179" s="115"/>
      <c r="M179" s="115"/>
      <c r="N179" s="115"/>
      <c r="O179" s="115"/>
      <c r="P179" s="115"/>
      <c r="Q179" s="115"/>
      <c r="R179" s="115"/>
      <c r="S179" s="115"/>
      <c r="T179" s="115"/>
      <c r="U179" s="115"/>
      <c r="V179" s="115"/>
      <c r="W179" s="115"/>
      <c r="X179" s="115"/>
      <c r="Y179" s="115"/>
      <c r="Z179" s="115"/>
      <c r="AA179" s="115"/>
      <c r="AB179" s="115"/>
      <c r="AC179" s="115"/>
      <c r="AD179" s="115"/>
      <c r="AE179" s="115"/>
      <c r="AF179" s="115"/>
      <c r="AG179" s="115"/>
      <c r="AH179" s="115"/>
      <c r="AI179" s="115"/>
      <c r="AJ179" s="115"/>
      <c r="AK179" s="115"/>
      <c r="AL179" s="115"/>
      <c r="AM179" s="115"/>
      <c r="AN179" s="115"/>
      <c r="AO179" s="115"/>
      <c r="AP179" s="115"/>
      <c r="AQ179" s="115"/>
      <c r="AR179" s="115"/>
      <c r="AS179" s="115"/>
      <c r="AT179" s="115"/>
      <c r="AU179" s="115"/>
      <c r="AV179" s="115"/>
      <c r="AW179" s="115"/>
      <c r="AX179" s="115"/>
      <c r="AY179" s="115"/>
      <c r="AZ179" s="115"/>
      <c r="BA179" s="115"/>
      <c r="BB179" s="115"/>
      <c r="BC179" s="115"/>
      <c r="BD179" s="115"/>
      <c r="BE179" s="115"/>
      <c r="BF179" s="115"/>
      <c r="BG179" s="115"/>
      <c r="BH179" s="115"/>
      <c r="BI179" s="115"/>
      <c r="BJ179" s="115"/>
      <c r="BK179" s="115"/>
      <c r="BL179" s="115"/>
      <c r="BM179" s="115"/>
      <c r="BN179" s="115"/>
      <c r="BO179" s="115"/>
    </row>
    <row r="180" spans="1:67" ht="15.75" customHeight="1" thickBot="1" x14ac:dyDescent="0.4">
      <c r="A180" s="115"/>
      <c r="B180" s="1387"/>
      <c r="C180" s="1387"/>
      <c r="D180" s="115"/>
      <c r="E180" s="173"/>
      <c r="F180" s="115"/>
      <c r="G180" s="115"/>
      <c r="H180" s="115"/>
      <c r="I180" s="115"/>
      <c r="J180" s="115"/>
      <c r="K180" s="115"/>
      <c r="L180" s="115"/>
      <c r="M180" s="115"/>
      <c r="N180" s="115"/>
      <c r="O180" s="115"/>
      <c r="P180" s="115"/>
      <c r="Q180" s="115"/>
      <c r="R180" s="115"/>
      <c r="S180" s="115"/>
      <c r="T180" s="115"/>
      <c r="U180" s="115"/>
      <c r="V180" s="115"/>
      <c r="W180" s="115"/>
      <c r="X180" s="115"/>
      <c r="Y180" s="115"/>
      <c r="Z180" s="115"/>
      <c r="AA180" s="115"/>
      <c r="AB180" s="115"/>
      <c r="AC180" s="115"/>
      <c r="AD180" s="115"/>
      <c r="AE180" s="115"/>
      <c r="AF180" s="115"/>
      <c r="AG180" s="115"/>
      <c r="AH180" s="115"/>
      <c r="AI180" s="115"/>
      <c r="AJ180" s="115"/>
      <c r="AK180" s="115"/>
      <c r="AL180" s="115"/>
      <c r="AM180" s="115"/>
      <c r="AN180" s="115"/>
      <c r="AO180" s="115"/>
      <c r="AP180" s="115"/>
      <c r="AQ180" s="115"/>
      <c r="AR180" s="115"/>
      <c r="AS180" s="115"/>
      <c r="AT180" s="115"/>
      <c r="AU180" s="115"/>
      <c r="AV180" s="115"/>
      <c r="AW180" s="115"/>
      <c r="AX180" s="115"/>
      <c r="AY180" s="115"/>
      <c r="AZ180" s="115"/>
      <c r="BA180" s="115"/>
      <c r="BB180" s="115"/>
      <c r="BC180" s="115"/>
      <c r="BD180" s="115"/>
      <c r="BE180" s="115"/>
      <c r="BF180" s="115"/>
      <c r="BG180" s="115"/>
      <c r="BH180" s="115"/>
      <c r="BI180" s="115"/>
      <c r="BJ180" s="115"/>
      <c r="BK180" s="115"/>
      <c r="BL180" s="115"/>
      <c r="BM180" s="115"/>
      <c r="BN180" s="115"/>
      <c r="BO180" s="115"/>
    </row>
    <row r="181" spans="1:67" ht="15.75" customHeight="1" thickBot="1" x14ac:dyDescent="0.4">
      <c r="A181" s="115"/>
      <c r="B181" s="1387"/>
      <c r="C181" s="1387"/>
      <c r="D181" s="115"/>
      <c r="E181" s="173"/>
      <c r="F181" s="115"/>
      <c r="G181" s="115"/>
      <c r="H181" s="115"/>
      <c r="I181" s="115"/>
      <c r="J181" s="115"/>
      <c r="K181" s="115"/>
      <c r="L181" s="115"/>
      <c r="M181" s="115"/>
      <c r="N181" s="115"/>
      <c r="O181" s="115"/>
      <c r="P181" s="115"/>
      <c r="Q181" s="115"/>
      <c r="R181" s="115"/>
      <c r="S181" s="115"/>
      <c r="T181" s="115"/>
      <c r="U181" s="115"/>
      <c r="V181" s="115"/>
      <c r="W181" s="115"/>
      <c r="X181" s="115"/>
      <c r="Y181" s="115"/>
      <c r="Z181" s="115"/>
      <c r="AA181" s="115"/>
      <c r="AB181" s="115"/>
      <c r="AC181" s="115"/>
      <c r="AD181" s="115"/>
      <c r="AE181" s="115"/>
      <c r="AF181" s="115"/>
      <c r="AG181" s="115"/>
      <c r="AH181" s="115"/>
      <c r="AI181" s="115"/>
      <c r="AJ181" s="115"/>
      <c r="AK181" s="115"/>
      <c r="AL181" s="115"/>
      <c r="AM181" s="115"/>
      <c r="AN181" s="115"/>
      <c r="AO181" s="115"/>
      <c r="AP181" s="115"/>
      <c r="AQ181" s="115"/>
      <c r="AR181" s="115"/>
      <c r="AS181" s="115"/>
      <c r="AT181" s="115"/>
      <c r="AU181" s="115"/>
      <c r="AV181" s="115"/>
      <c r="AW181" s="115"/>
      <c r="AX181" s="115"/>
      <c r="AY181" s="115"/>
      <c r="AZ181" s="115"/>
      <c r="BA181" s="115"/>
      <c r="BB181" s="115"/>
      <c r="BC181" s="115"/>
      <c r="BD181" s="115"/>
      <c r="BE181" s="115"/>
      <c r="BF181" s="115"/>
      <c r="BG181" s="115"/>
      <c r="BH181" s="115"/>
      <c r="BI181" s="115"/>
      <c r="BJ181" s="115"/>
      <c r="BK181" s="115"/>
      <c r="BL181" s="115"/>
      <c r="BM181" s="115"/>
      <c r="BN181" s="115"/>
      <c r="BO181" s="115"/>
    </row>
    <row r="182" spans="1:67" ht="15.75" customHeight="1" thickBot="1" x14ac:dyDescent="0.4">
      <c r="A182" s="115"/>
      <c r="B182" s="1387"/>
      <c r="C182" s="1387"/>
      <c r="D182" s="115"/>
      <c r="E182" s="173"/>
      <c r="F182" s="115"/>
      <c r="G182" s="115"/>
      <c r="H182" s="115"/>
      <c r="I182" s="115"/>
      <c r="J182" s="115"/>
      <c r="K182" s="115"/>
      <c r="L182" s="115"/>
      <c r="M182" s="115"/>
      <c r="N182" s="115"/>
      <c r="O182" s="115"/>
      <c r="P182" s="115"/>
      <c r="Q182" s="115"/>
      <c r="R182" s="115"/>
      <c r="S182" s="115"/>
      <c r="T182" s="115"/>
      <c r="U182" s="115"/>
      <c r="V182" s="115"/>
      <c r="W182" s="115"/>
      <c r="X182" s="115"/>
      <c r="Y182" s="115"/>
      <c r="Z182" s="115"/>
      <c r="AA182" s="115"/>
      <c r="AB182" s="115"/>
      <c r="AC182" s="115"/>
      <c r="AD182" s="115"/>
      <c r="AE182" s="115"/>
      <c r="AF182" s="115"/>
      <c r="AG182" s="115"/>
      <c r="AH182" s="115"/>
      <c r="AI182" s="115"/>
      <c r="AJ182" s="115"/>
      <c r="AK182" s="115"/>
      <c r="AL182" s="115"/>
      <c r="AM182" s="115"/>
      <c r="AN182" s="115"/>
      <c r="AO182" s="115"/>
      <c r="AP182" s="115"/>
      <c r="AQ182" s="115"/>
      <c r="AR182" s="115"/>
      <c r="AS182" s="115"/>
      <c r="AT182" s="115"/>
      <c r="AU182" s="115"/>
      <c r="AV182" s="115"/>
      <c r="AW182" s="115"/>
      <c r="AX182" s="115"/>
      <c r="AY182" s="115"/>
      <c r="AZ182" s="115"/>
      <c r="BA182" s="115"/>
      <c r="BB182" s="115"/>
      <c r="BC182" s="115"/>
      <c r="BD182" s="115"/>
      <c r="BE182" s="115"/>
      <c r="BF182" s="115"/>
      <c r="BG182" s="115"/>
      <c r="BH182" s="115"/>
      <c r="BI182" s="115"/>
      <c r="BJ182" s="115"/>
      <c r="BK182" s="115"/>
      <c r="BL182" s="115"/>
      <c r="BM182" s="115"/>
      <c r="BN182" s="115"/>
      <c r="BO182" s="115"/>
    </row>
    <row r="183" spans="1:67" ht="15.75" customHeight="1" thickBot="1" x14ac:dyDescent="0.4">
      <c r="A183" s="115"/>
      <c r="B183" s="1387"/>
      <c r="C183" s="1387"/>
      <c r="D183" s="115"/>
      <c r="E183" s="173"/>
      <c r="F183" s="115"/>
      <c r="G183" s="115"/>
      <c r="H183" s="115"/>
      <c r="I183" s="115"/>
      <c r="J183" s="115"/>
      <c r="K183" s="115"/>
      <c r="L183" s="115"/>
      <c r="M183" s="115"/>
      <c r="N183" s="115"/>
      <c r="O183" s="115"/>
      <c r="P183" s="115"/>
      <c r="Q183" s="115"/>
      <c r="R183" s="115"/>
      <c r="S183" s="115"/>
      <c r="T183" s="115"/>
      <c r="U183" s="115"/>
      <c r="V183" s="115"/>
      <c r="W183" s="115"/>
      <c r="X183" s="115"/>
      <c r="Y183" s="115"/>
      <c r="Z183" s="115"/>
      <c r="AA183" s="115"/>
      <c r="AB183" s="115"/>
      <c r="AC183" s="115"/>
      <c r="AD183" s="115"/>
      <c r="AE183" s="115"/>
      <c r="AF183" s="115"/>
      <c r="AG183" s="115"/>
      <c r="AH183" s="115"/>
      <c r="AI183" s="115"/>
      <c r="AJ183" s="115"/>
      <c r="AK183" s="115"/>
      <c r="AL183" s="115"/>
      <c r="AM183" s="115"/>
      <c r="AN183" s="115"/>
      <c r="AO183" s="115"/>
      <c r="AP183" s="115"/>
      <c r="AQ183" s="115"/>
      <c r="AR183" s="115"/>
      <c r="AS183" s="115"/>
      <c r="AT183" s="115"/>
      <c r="AU183" s="115"/>
      <c r="AV183" s="115"/>
      <c r="AW183" s="115"/>
      <c r="AX183" s="115"/>
      <c r="AY183" s="115"/>
      <c r="AZ183" s="115"/>
      <c r="BA183" s="115"/>
      <c r="BB183" s="115"/>
      <c r="BC183" s="115"/>
      <c r="BD183" s="115"/>
      <c r="BE183" s="115"/>
      <c r="BF183" s="115"/>
      <c r="BG183" s="115"/>
      <c r="BH183" s="115"/>
      <c r="BI183" s="115"/>
      <c r="BJ183" s="115"/>
      <c r="BK183" s="115"/>
      <c r="BL183" s="115"/>
      <c r="BM183" s="115"/>
      <c r="BN183" s="115"/>
      <c r="BO183" s="115"/>
    </row>
    <row r="184" spans="1:67" ht="15.75" customHeight="1" thickBot="1" x14ac:dyDescent="0.4">
      <c r="A184" s="115"/>
      <c r="B184" s="1387"/>
      <c r="C184" s="1387"/>
      <c r="D184" s="115"/>
      <c r="E184" s="173"/>
      <c r="F184" s="115"/>
      <c r="G184" s="115"/>
      <c r="H184" s="115"/>
      <c r="I184" s="115"/>
      <c r="J184" s="115"/>
      <c r="K184" s="115"/>
      <c r="L184" s="115"/>
      <c r="M184" s="115"/>
      <c r="N184" s="115"/>
      <c r="O184" s="115"/>
      <c r="P184" s="115"/>
      <c r="Q184" s="115"/>
      <c r="R184" s="115"/>
      <c r="S184" s="115"/>
      <c r="T184" s="115"/>
      <c r="U184" s="115"/>
      <c r="V184" s="115"/>
      <c r="W184" s="115"/>
      <c r="X184" s="115"/>
      <c r="Y184" s="115"/>
      <c r="Z184" s="115"/>
      <c r="AA184" s="115"/>
      <c r="AB184" s="115"/>
      <c r="AC184" s="115"/>
      <c r="AD184" s="115"/>
      <c r="AE184" s="115"/>
      <c r="AF184" s="115"/>
      <c r="AG184" s="115"/>
      <c r="AH184" s="115"/>
      <c r="AI184" s="115"/>
      <c r="AJ184" s="115"/>
      <c r="AK184" s="115"/>
      <c r="AL184" s="115"/>
      <c r="AM184" s="115"/>
      <c r="AN184" s="115"/>
      <c r="AO184" s="115"/>
      <c r="AP184" s="115"/>
      <c r="AQ184" s="115"/>
      <c r="AR184" s="115"/>
      <c r="AS184" s="115"/>
      <c r="AT184" s="115"/>
      <c r="AU184" s="115"/>
      <c r="AV184" s="115"/>
      <c r="AW184" s="115"/>
      <c r="AX184" s="115"/>
      <c r="AY184" s="115"/>
      <c r="AZ184" s="115"/>
      <c r="BA184" s="115"/>
      <c r="BB184" s="115"/>
      <c r="BC184" s="115"/>
      <c r="BD184" s="115"/>
      <c r="BE184" s="115"/>
      <c r="BF184" s="115"/>
      <c r="BG184" s="115"/>
      <c r="BH184" s="115"/>
      <c r="BI184" s="115"/>
      <c r="BJ184" s="115"/>
      <c r="BK184" s="115"/>
      <c r="BL184" s="115"/>
      <c r="BM184" s="115"/>
      <c r="BN184" s="115"/>
      <c r="BO184" s="115"/>
    </row>
    <row r="185" spans="1:67" ht="15.75" customHeight="1" thickBot="1" x14ac:dyDescent="0.4">
      <c r="A185" s="115"/>
      <c r="B185" s="1387"/>
      <c r="C185" s="1387"/>
      <c r="D185" s="115"/>
      <c r="E185" s="173"/>
      <c r="F185" s="115"/>
      <c r="G185" s="115"/>
      <c r="H185" s="115"/>
      <c r="I185" s="115"/>
      <c r="J185" s="115"/>
      <c r="K185" s="115"/>
      <c r="L185" s="115"/>
      <c r="M185" s="115"/>
      <c r="N185" s="115"/>
      <c r="O185" s="115"/>
      <c r="P185" s="115"/>
      <c r="Q185" s="115"/>
      <c r="R185" s="115"/>
      <c r="S185" s="115"/>
      <c r="T185" s="115"/>
      <c r="U185" s="115"/>
      <c r="V185" s="115"/>
      <c r="W185" s="115"/>
      <c r="X185" s="115"/>
      <c r="Y185" s="115"/>
      <c r="Z185" s="115"/>
      <c r="AA185" s="115"/>
      <c r="AB185" s="115"/>
      <c r="AC185" s="115"/>
      <c r="AD185" s="115"/>
      <c r="AE185" s="115"/>
      <c r="AF185" s="115"/>
      <c r="AG185" s="115"/>
      <c r="AH185" s="115"/>
      <c r="AI185" s="115"/>
      <c r="AJ185" s="115"/>
      <c r="AK185" s="115"/>
      <c r="AL185" s="115"/>
      <c r="AM185" s="115"/>
      <c r="AN185" s="115"/>
      <c r="AO185" s="115"/>
      <c r="AP185" s="115"/>
      <c r="AQ185" s="115"/>
      <c r="AR185" s="115"/>
      <c r="AS185" s="115"/>
      <c r="AT185" s="115"/>
      <c r="AU185" s="115"/>
      <c r="AV185" s="115"/>
      <c r="AW185" s="115"/>
      <c r="AX185" s="115"/>
      <c r="AY185" s="115"/>
      <c r="AZ185" s="115"/>
      <c r="BA185" s="115"/>
      <c r="BB185" s="115"/>
      <c r="BC185" s="115"/>
      <c r="BD185" s="115"/>
      <c r="BE185" s="115"/>
      <c r="BF185" s="115"/>
      <c r="BG185" s="115"/>
      <c r="BH185" s="115"/>
      <c r="BI185" s="115"/>
      <c r="BJ185" s="115"/>
      <c r="BK185" s="115"/>
      <c r="BL185" s="115"/>
      <c r="BM185" s="115"/>
      <c r="BN185" s="115"/>
      <c r="BO185" s="115"/>
    </row>
    <row r="186" spans="1:67" ht="15.75" customHeight="1" thickBot="1" x14ac:dyDescent="0.4">
      <c r="A186" s="115"/>
      <c r="B186" s="1387"/>
      <c r="C186" s="1387"/>
      <c r="D186" s="115"/>
      <c r="E186" s="173"/>
      <c r="F186" s="115"/>
      <c r="G186" s="115"/>
      <c r="H186" s="115"/>
      <c r="I186" s="115"/>
      <c r="J186" s="115"/>
      <c r="K186" s="115"/>
      <c r="L186" s="115"/>
      <c r="M186" s="115"/>
      <c r="N186" s="115"/>
      <c r="O186" s="115"/>
      <c r="P186" s="115"/>
      <c r="Q186" s="115"/>
      <c r="R186" s="115"/>
      <c r="S186" s="115"/>
      <c r="T186" s="115"/>
      <c r="U186" s="115"/>
      <c r="V186" s="115"/>
      <c r="W186" s="115"/>
      <c r="X186" s="115"/>
      <c r="Y186" s="115"/>
      <c r="Z186" s="115"/>
      <c r="AA186" s="115"/>
      <c r="AB186" s="115"/>
      <c r="AC186" s="115"/>
      <c r="AD186" s="115"/>
      <c r="AE186" s="115"/>
      <c r="AF186" s="115"/>
      <c r="AG186" s="115"/>
      <c r="AH186" s="115"/>
      <c r="AI186" s="115"/>
      <c r="AJ186" s="115"/>
      <c r="AK186" s="115"/>
      <c r="AL186" s="115"/>
      <c r="AM186" s="115"/>
      <c r="AN186" s="115"/>
      <c r="AO186" s="115"/>
      <c r="AP186" s="115"/>
      <c r="AQ186" s="115"/>
      <c r="AR186" s="115"/>
      <c r="AS186" s="115"/>
      <c r="AT186" s="115"/>
      <c r="AU186" s="115"/>
      <c r="AV186" s="115"/>
      <c r="AW186" s="115"/>
      <c r="AX186" s="115"/>
      <c r="AY186" s="115"/>
      <c r="AZ186" s="115"/>
      <c r="BA186" s="115"/>
      <c r="BB186" s="115"/>
      <c r="BC186" s="115"/>
      <c r="BD186" s="115"/>
      <c r="BE186" s="115"/>
      <c r="BF186" s="115"/>
      <c r="BG186" s="115"/>
      <c r="BH186" s="115"/>
      <c r="BI186" s="115"/>
      <c r="BJ186" s="115"/>
      <c r="BK186" s="115"/>
      <c r="BL186" s="115"/>
      <c r="BM186" s="115"/>
      <c r="BN186" s="115"/>
      <c r="BO186" s="115"/>
    </row>
    <row r="187" spans="1:67" ht="15.75" customHeight="1" thickBot="1" x14ac:dyDescent="0.4">
      <c r="A187" s="115"/>
      <c r="B187" s="1387"/>
      <c r="C187" s="1387"/>
      <c r="D187" s="115"/>
      <c r="E187" s="173"/>
      <c r="F187" s="115"/>
      <c r="G187" s="115"/>
      <c r="H187" s="115"/>
      <c r="I187" s="115"/>
      <c r="J187" s="115"/>
      <c r="K187" s="115"/>
      <c r="L187" s="115"/>
      <c r="M187" s="115"/>
      <c r="N187" s="115"/>
      <c r="O187" s="115"/>
      <c r="P187" s="115"/>
      <c r="Q187" s="115"/>
      <c r="R187" s="115"/>
      <c r="S187" s="115"/>
      <c r="T187" s="115"/>
      <c r="U187" s="115"/>
      <c r="V187" s="115"/>
      <c r="W187" s="115"/>
      <c r="X187" s="115"/>
      <c r="Y187" s="115"/>
      <c r="Z187" s="115"/>
      <c r="AA187" s="115"/>
      <c r="AB187" s="115"/>
      <c r="AC187" s="115"/>
      <c r="AD187" s="115"/>
      <c r="AE187" s="115"/>
      <c r="AF187" s="115"/>
      <c r="AG187" s="115"/>
      <c r="AH187" s="115"/>
      <c r="AI187" s="115"/>
      <c r="AJ187" s="115"/>
      <c r="AK187" s="115"/>
      <c r="AL187" s="115"/>
      <c r="AM187" s="115"/>
      <c r="AN187" s="115"/>
      <c r="AO187" s="115"/>
      <c r="AP187" s="115"/>
      <c r="AQ187" s="115"/>
      <c r="AR187" s="115"/>
      <c r="AS187" s="115"/>
      <c r="AT187" s="115"/>
      <c r="AU187" s="115"/>
      <c r="AV187" s="115"/>
      <c r="AW187" s="115"/>
      <c r="AX187" s="115"/>
      <c r="AY187" s="115"/>
      <c r="AZ187" s="115"/>
      <c r="BA187" s="115"/>
      <c r="BB187" s="115"/>
      <c r="BC187" s="115"/>
      <c r="BD187" s="115"/>
      <c r="BE187" s="115"/>
      <c r="BF187" s="115"/>
      <c r="BG187" s="115"/>
      <c r="BH187" s="115"/>
      <c r="BI187" s="115"/>
      <c r="BJ187" s="115"/>
      <c r="BK187" s="115"/>
      <c r="BL187" s="115"/>
      <c r="BM187" s="115"/>
      <c r="BN187" s="115"/>
      <c r="BO187" s="115"/>
    </row>
    <row r="188" spans="1:67" ht="15.75" customHeight="1" thickBot="1" x14ac:dyDescent="0.4">
      <c r="A188" s="115"/>
      <c r="B188" s="1387"/>
      <c r="C188" s="1387"/>
      <c r="D188" s="115"/>
      <c r="E188" s="173"/>
      <c r="F188" s="115"/>
      <c r="G188" s="115"/>
      <c r="H188" s="115"/>
      <c r="I188" s="115"/>
      <c r="J188" s="115"/>
      <c r="K188" s="115"/>
      <c r="L188" s="115"/>
      <c r="M188" s="115"/>
      <c r="N188" s="115"/>
      <c r="O188" s="115"/>
      <c r="P188" s="115"/>
      <c r="Q188" s="115"/>
      <c r="R188" s="115"/>
      <c r="S188" s="115"/>
      <c r="T188" s="115"/>
      <c r="U188" s="115"/>
      <c r="V188" s="115"/>
      <c r="W188" s="115"/>
      <c r="X188" s="115"/>
      <c r="Y188" s="115"/>
      <c r="Z188" s="115"/>
      <c r="AA188" s="115"/>
      <c r="AB188" s="115"/>
      <c r="AC188" s="115"/>
      <c r="AD188" s="115"/>
      <c r="AE188" s="115"/>
      <c r="AF188" s="115"/>
      <c r="AG188" s="115"/>
      <c r="AH188" s="115"/>
      <c r="AI188" s="115"/>
      <c r="AJ188" s="115"/>
      <c r="AK188" s="115"/>
      <c r="AL188" s="115"/>
      <c r="AM188" s="115"/>
      <c r="AN188" s="115"/>
      <c r="AO188" s="115"/>
      <c r="AP188" s="115"/>
      <c r="AQ188" s="115"/>
      <c r="AR188" s="115"/>
      <c r="AS188" s="115"/>
      <c r="AT188" s="115"/>
      <c r="AU188" s="115"/>
      <c r="AV188" s="115"/>
      <c r="AW188" s="115"/>
      <c r="AX188" s="115"/>
      <c r="AY188" s="115"/>
      <c r="AZ188" s="115"/>
      <c r="BA188" s="115"/>
      <c r="BB188" s="115"/>
      <c r="BC188" s="115"/>
      <c r="BD188" s="115"/>
      <c r="BE188" s="115"/>
      <c r="BF188" s="115"/>
      <c r="BG188" s="115"/>
      <c r="BH188" s="115"/>
      <c r="BI188" s="115"/>
      <c r="BJ188" s="115"/>
      <c r="BK188" s="115"/>
      <c r="BL188" s="115"/>
      <c r="BM188" s="115"/>
      <c r="BN188" s="115"/>
      <c r="BO188" s="115"/>
    </row>
    <row r="189" spans="1:67" ht="15.75" customHeight="1" thickBot="1" x14ac:dyDescent="0.4">
      <c r="A189" s="115"/>
      <c r="B189" s="1387"/>
      <c r="C189" s="1387"/>
      <c r="D189" s="115"/>
      <c r="E189" s="173"/>
      <c r="F189" s="115"/>
      <c r="G189" s="115"/>
      <c r="H189" s="115"/>
      <c r="I189" s="115"/>
      <c r="J189" s="115"/>
      <c r="K189" s="115"/>
      <c r="L189" s="115"/>
      <c r="M189" s="115"/>
      <c r="N189" s="115"/>
      <c r="O189" s="115"/>
      <c r="P189" s="115"/>
      <c r="Q189" s="115"/>
      <c r="R189" s="115"/>
      <c r="S189" s="115"/>
      <c r="T189" s="115"/>
      <c r="U189" s="115"/>
      <c r="V189" s="115"/>
      <c r="W189" s="115"/>
      <c r="X189" s="115"/>
      <c r="Y189" s="115"/>
      <c r="Z189" s="115"/>
      <c r="AA189" s="115"/>
      <c r="AB189" s="115"/>
      <c r="AC189" s="115"/>
      <c r="AD189" s="115"/>
      <c r="AE189" s="115"/>
      <c r="AF189" s="115"/>
      <c r="AG189" s="115"/>
      <c r="AH189" s="115"/>
      <c r="AI189" s="115"/>
      <c r="AJ189" s="115"/>
      <c r="AK189" s="115"/>
      <c r="AL189" s="115"/>
      <c r="AM189" s="115"/>
      <c r="AN189" s="115"/>
      <c r="AO189" s="115"/>
      <c r="AP189" s="115"/>
      <c r="AQ189" s="115"/>
      <c r="AR189" s="115"/>
      <c r="AS189" s="115"/>
      <c r="AT189" s="115"/>
      <c r="AU189" s="115"/>
      <c r="AV189" s="115"/>
      <c r="AW189" s="115"/>
      <c r="AX189" s="115"/>
      <c r="AY189" s="115"/>
      <c r="AZ189" s="115"/>
      <c r="BA189" s="115"/>
      <c r="BB189" s="115"/>
      <c r="BC189" s="115"/>
      <c r="BD189" s="115"/>
      <c r="BE189" s="115"/>
      <c r="BF189" s="115"/>
      <c r="BG189" s="115"/>
      <c r="BH189" s="115"/>
      <c r="BI189" s="115"/>
      <c r="BJ189" s="115"/>
      <c r="BK189" s="115"/>
      <c r="BL189" s="115"/>
      <c r="BM189" s="115"/>
      <c r="BN189" s="115"/>
      <c r="BO189" s="115"/>
    </row>
    <row r="190" spans="1:67" ht="15.75" customHeight="1" thickBot="1" x14ac:dyDescent="0.4">
      <c r="A190" s="115"/>
      <c r="B190" s="1387"/>
      <c r="C190" s="1387"/>
      <c r="D190" s="115"/>
      <c r="E190" s="173"/>
      <c r="F190" s="115"/>
      <c r="G190" s="115"/>
      <c r="H190" s="115"/>
      <c r="I190" s="115"/>
      <c r="J190" s="115"/>
      <c r="K190" s="115"/>
      <c r="L190" s="115"/>
      <c r="M190" s="115"/>
      <c r="N190" s="115"/>
      <c r="O190" s="115"/>
      <c r="P190" s="115"/>
      <c r="Q190" s="115"/>
      <c r="R190" s="115"/>
      <c r="S190" s="115"/>
      <c r="T190" s="115"/>
      <c r="U190" s="115"/>
      <c r="V190" s="115"/>
      <c r="W190" s="115"/>
      <c r="X190" s="115"/>
      <c r="Y190" s="115"/>
      <c r="Z190" s="115"/>
      <c r="AA190" s="115"/>
      <c r="AB190" s="115"/>
      <c r="AC190" s="115"/>
      <c r="AD190" s="115"/>
      <c r="AE190" s="115"/>
      <c r="AF190" s="115"/>
      <c r="AG190" s="115"/>
      <c r="AH190" s="115"/>
      <c r="AI190" s="115"/>
      <c r="AJ190" s="115"/>
      <c r="AK190" s="115"/>
      <c r="AL190" s="115"/>
      <c r="AM190" s="115"/>
      <c r="AN190" s="115"/>
      <c r="AO190" s="115"/>
      <c r="AP190" s="115"/>
      <c r="AQ190" s="115"/>
      <c r="AR190" s="115"/>
      <c r="AS190" s="115"/>
      <c r="AT190" s="115"/>
      <c r="AU190" s="115"/>
      <c r="AV190" s="115"/>
      <c r="AW190" s="115"/>
      <c r="AX190" s="115"/>
      <c r="AY190" s="115"/>
      <c r="AZ190" s="115"/>
      <c r="BA190" s="115"/>
      <c r="BB190" s="115"/>
      <c r="BC190" s="115"/>
      <c r="BD190" s="115"/>
      <c r="BE190" s="115"/>
      <c r="BF190" s="115"/>
      <c r="BG190" s="115"/>
      <c r="BH190" s="115"/>
      <c r="BI190" s="115"/>
      <c r="BJ190" s="115"/>
      <c r="BK190" s="115"/>
      <c r="BL190" s="115"/>
      <c r="BM190" s="115"/>
      <c r="BN190" s="115"/>
      <c r="BO190" s="115"/>
    </row>
    <row r="191" spans="1:67" ht="15.75" customHeight="1" thickBot="1" x14ac:dyDescent="0.4">
      <c r="A191" s="115"/>
      <c r="B191" s="1387"/>
      <c r="C191" s="1387"/>
      <c r="D191" s="115"/>
      <c r="E191" s="173"/>
      <c r="F191" s="115"/>
      <c r="G191" s="115"/>
      <c r="H191" s="115"/>
      <c r="I191" s="115"/>
      <c r="J191" s="115"/>
      <c r="K191" s="115"/>
      <c r="L191" s="115"/>
      <c r="M191" s="115"/>
      <c r="N191" s="115"/>
      <c r="O191" s="115"/>
      <c r="P191" s="115"/>
      <c r="Q191" s="115"/>
      <c r="R191" s="115"/>
      <c r="S191" s="115"/>
      <c r="T191" s="115"/>
      <c r="U191" s="115"/>
      <c r="V191" s="115"/>
      <c r="W191" s="115"/>
      <c r="X191" s="115"/>
      <c r="Y191" s="115"/>
      <c r="Z191" s="115"/>
      <c r="AA191" s="115"/>
      <c r="AB191" s="115"/>
      <c r="AC191" s="115"/>
      <c r="AD191" s="115"/>
      <c r="AE191" s="115"/>
      <c r="AF191" s="115"/>
      <c r="AG191" s="115"/>
      <c r="AH191" s="115"/>
      <c r="AI191" s="115"/>
      <c r="AJ191" s="115"/>
      <c r="AK191" s="115"/>
      <c r="AL191" s="115"/>
      <c r="AM191" s="115"/>
      <c r="AN191" s="115"/>
      <c r="AO191" s="115"/>
      <c r="AP191" s="115"/>
      <c r="AQ191" s="115"/>
      <c r="AR191" s="115"/>
      <c r="AS191" s="115"/>
      <c r="AT191" s="115"/>
      <c r="AU191" s="115"/>
      <c r="AV191" s="115"/>
      <c r="AW191" s="115"/>
      <c r="AX191" s="115"/>
      <c r="AY191" s="115"/>
      <c r="AZ191" s="115"/>
      <c r="BA191" s="115"/>
      <c r="BB191" s="115"/>
      <c r="BC191" s="115"/>
      <c r="BD191" s="115"/>
      <c r="BE191" s="115"/>
      <c r="BF191" s="115"/>
      <c r="BG191" s="115"/>
      <c r="BH191" s="115"/>
      <c r="BI191" s="115"/>
      <c r="BJ191" s="115"/>
      <c r="BK191" s="115"/>
      <c r="BL191" s="115"/>
      <c r="BM191" s="115"/>
      <c r="BN191" s="115"/>
      <c r="BO191" s="115"/>
    </row>
    <row r="192" spans="1:67" ht="15.75" customHeight="1" thickBot="1" x14ac:dyDescent="0.4">
      <c r="A192" s="115"/>
      <c r="B192" s="1387"/>
      <c r="C192" s="1387"/>
      <c r="D192" s="115"/>
      <c r="E192" s="173"/>
      <c r="F192" s="115"/>
      <c r="G192" s="115"/>
      <c r="H192" s="115"/>
      <c r="I192" s="115"/>
      <c r="J192" s="115"/>
      <c r="K192" s="115"/>
      <c r="L192" s="115"/>
      <c r="M192" s="115"/>
      <c r="N192" s="115"/>
      <c r="O192" s="115"/>
      <c r="P192" s="115"/>
      <c r="Q192" s="115"/>
      <c r="R192" s="115"/>
      <c r="S192" s="115"/>
      <c r="T192" s="115"/>
      <c r="U192" s="115"/>
      <c r="V192" s="115"/>
      <c r="W192" s="115"/>
      <c r="X192" s="115"/>
      <c r="Y192" s="115"/>
      <c r="Z192" s="115"/>
      <c r="AA192" s="115"/>
      <c r="AB192" s="115"/>
      <c r="AC192" s="115"/>
      <c r="AD192" s="115"/>
      <c r="AE192" s="115"/>
      <c r="AF192" s="115"/>
      <c r="AG192" s="115"/>
      <c r="AH192" s="115"/>
      <c r="AI192" s="115"/>
      <c r="AJ192" s="115"/>
      <c r="AK192" s="115"/>
      <c r="AL192" s="115"/>
      <c r="AM192" s="115"/>
      <c r="AN192" s="115"/>
      <c r="AO192" s="115"/>
      <c r="AP192" s="115"/>
      <c r="AQ192" s="115"/>
      <c r="AR192" s="115"/>
      <c r="AS192" s="115"/>
      <c r="AT192" s="115"/>
      <c r="AU192" s="115"/>
      <c r="AV192" s="115"/>
      <c r="AW192" s="115"/>
      <c r="AX192" s="115"/>
      <c r="AY192" s="115"/>
      <c r="AZ192" s="115"/>
      <c r="BA192" s="115"/>
      <c r="BB192" s="115"/>
      <c r="BC192" s="115"/>
      <c r="BD192" s="115"/>
      <c r="BE192" s="115"/>
      <c r="BF192" s="115"/>
      <c r="BG192" s="115"/>
      <c r="BH192" s="115"/>
      <c r="BI192" s="115"/>
      <c r="BJ192" s="115"/>
      <c r="BK192" s="115"/>
      <c r="BL192" s="115"/>
      <c r="BM192" s="115"/>
      <c r="BN192" s="115"/>
      <c r="BO192" s="115"/>
    </row>
    <row r="193" spans="1:67" ht="15.75" customHeight="1" thickBot="1" x14ac:dyDescent="0.4">
      <c r="A193" s="115"/>
      <c r="B193" s="1387"/>
      <c r="C193" s="1387"/>
      <c r="D193" s="115"/>
      <c r="E193" s="173"/>
      <c r="F193" s="115"/>
      <c r="G193" s="115"/>
      <c r="H193" s="115"/>
      <c r="I193" s="115"/>
      <c r="J193" s="115"/>
      <c r="K193" s="115"/>
      <c r="L193" s="115"/>
      <c r="M193" s="115"/>
      <c r="N193" s="115"/>
      <c r="O193" s="115"/>
      <c r="P193" s="115"/>
      <c r="Q193" s="115"/>
      <c r="R193" s="115"/>
      <c r="S193" s="115"/>
      <c r="T193" s="115"/>
      <c r="U193" s="115"/>
      <c r="V193" s="115"/>
      <c r="W193" s="115"/>
      <c r="X193" s="115"/>
      <c r="Y193" s="115"/>
      <c r="Z193" s="115"/>
      <c r="AA193" s="115"/>
      <c r="AB193" s="115"/>
      <c r="AC193" s="115"/>
      <c r="AD193" s="115"/>
      <c r="AE193" s="115"/>
      <c r="AF193" s="115"/>
      <c r="AG193" s="115"/>
      <c r="AH193" s="115"/>
      <c r="AI193" s="115"/>
      <c r="AJ193" s="115"/>
      <c r="AK193" s="115"/>
      <c r="AL193" s="115"/>
      <c r="AM193" s="115"/>
      <c r="AN193" s="115"/>
      <c r="AO193" s="115"/>
      <c r="AP193" s="115"/>
      <c r="AQ193" s="115"/>
      <c r="AR193" s="115"/>
      <c r="AS193" s="115"/>
      <c r="AT193" s="115"/>
      <c r="AU193" s="115"/>
      <c r="AV193" s="115"/>
      <c r="AW193" s="115"/>
      <c r="AX193" s="115"/>
      <c r="AY193" s="115"/>
      <c r="AZ193" s="115"/>
      <c r="BA193" s="115"/>
      <c r="BB193" s="115"/>
      <c r="BC193" s="115"/>
      <c r="BD193" s="115"/>
      <c r="BE193" s="115"/>
      <c r="BF193" s="115"/>
      <c r="BG193" s="115"/>
      <c r="BH193" s="115"/>
      <c r="BI193" s="115"/>
      <c r="BJ193" s="115"/>
      <c r="BK193" s="115"/>
      <c r="BL193" s="115"/>
      <c r="BM193" s="115"/>
      <c r="BN193" s="115"/>
      <c r="BO193" s="115"/>
    </row>
    <row r="194" spans="1:67" ht="15.75" customHeight="1" thickBot="1" x14ac:dyDescent="0.4">
      <c r="A194" s="115"/>
      <c r="B194" s="1387"/>
      <c r="C194" s="1387"/>
      <c r="D194" s="115"/>
      <c r="E194" s="173"/>
      <c r="F194" s="115"/>
      <c r="G194" s="115"/>
      <c r="H194" s="115"/>
      <c r="I194" s="115"/>
      <c r="J194" s="115"/>
      <c r="K194" s="115"/>
      <c r="L194" s="115"/>
      <c r="M194" s="115"/>
      <c r="N194" s="115"/>
      <c r="O194" s="115"/>
      <c r="P194" s="115"/>
      <c r="Q194" s="115"/>
      <c r="R194" s="115"/>
      <c r="S194" s="115"/>
      <c r="T194" s="115"/>
      <c r="U194" s="115"/>
      <c r="V194" s="115"/>
      <c r="W194" s="115"/>
      <c r="X194" s="115"/>
      <c r="Y194" s="115"/>
      <c r="Z194" s="115"/>
      <c r="AA194" s="115"/>
      <c r="AB194" s="115"/>
      <c r="AC194" s="115"/>
      <c r="AD194" s="115"/>
      <c r="AE194" s="115"/>
      <c r="AF194" s="115"/>
      <c r="AG194" s="115"/>
      <c r="AH194" s="115"/>
      <c r="AI194" s="115"/>
      <c r="AJ194" s="115"/>
      <c r="AK194" s="115"/>
      <c r="AL194" s="115"/>
      <c r="AM194" s="115"/>
      <c r="AN194" s="115"/>
      <c r="AO194" s="115"/>
      <c r="AP194" s="115"/>
      <c r="AQ194" s="115"/>
      <c r="AR194" s="115"/>
      <c r="AS194" s="115"/>
      <c r="AT194" s="115"/>
      <c r="AU194" s="115"/>
      <c r="AV194" s="115"/>
      <c r="AW194" s="115"/>
      <c r="AX194" s="115"/>
      <c r="AY194" s="115"/>
      <c r="AZ194" s="115"/>
      <c r="BA194" s="115"/>
      <c r="BB194" s="115"/>
      <c r="BC194" s="115"/>
      <c r="BD194" s="115"/>
      <c r="BE194" s="115"/>
      <c r="BF194" s="115"/>
      <c r="BG194" s="115"/>
      <c r="BH194" s="115"/>
      <c r="BI194" s="115"/>
      <c r="BJ194" s="115"/>
      <c r="BK194" s="115"/>
      <c r="BL194" s="115"/>
      <c r="BM194" s="115"/>
      <c r="BN194" s="115"/>
      <c r="BO194" s="115"/>
    </row>
    <row r="195" spans="1:67" ht="15.75" customHeight="1" thickBot="1" x14ac:dyDescent="0.4">
      <c r="A195" s="115"/>
      <c r="B195" s="1387"/>
      <c r="C195" s="1387"/>
      <c r="D195" s="115"/>
      <c r="E195" s="173"/>
      <c r="F195" s="115"/>
      <c r="G195" s="115"/>
      <c r="H195" s="115"/>
      <c r="I195" s="115"/>
      <c r="J195" s="115"/>
      <c r="K195" s="115"/>
      <c r="L195" s="115"/>
      <c r="M195" s="115"/>
      <c r="N195" s="115"/>
      <c r="O195" s="115"/>
      <c r="P195" s="115"/>
      <c r="Q195" s="115"/>
      <c r="R195" s="115"/>
      <c r="S195" s="115"/>
      <c r="T195" s="115"/>
      <c r="U195" s="115"/>
      <c r="V195" s="115"/>
      <c r="W195" s="115"/>
      <c r="X195" s="115"/>
      <c r="Y195" s="115"/>
      <c r="Z195" s="115"/>
      <c r="AA195" s="115"/>
      <c r="AB195" s="115"/>
      <c r="AC195" s="115"/>
      <c r="AD195" s="115"/>
      <c r="AE195" s="115"/>
      <c r="AF195" s="115"/>
      <c r="AG195" s="115"/>
      <c r="AH195" s="115"/>
      <c r="AI195" s="115"/>
      <c r="AJ195" s="115"/>
      <c r="AK195" s="115"/>
      <c r="AL195" s="115"/>
      <c r="AM195" s="115"/>
      <c r="AN195" s="115"/>
      <c r="AO195" s="115"/>
      <c r="AP195" s="115"/>
      <c r="AQ195" s="115"/>
      <c r="AR195" s="115"/>
      <c r="AS195" s="115"/>
      <c r="AT195" s="115"/>
      <c r="AU195" s="115"/>
      <c r="AV195" s="115"/>
      <c r="AW195" s="115"/>
      <c r="AX195" s="115"/>
      <c r="AY195" s="115"/>
      <c r="AZ195" s="115"/>
      <c r="BA195" s="115"/>
      <c r="BB195" s="115"/>
      <c r="BC195" s="115"/>
      <c r="BD195" s="115"/>
      <c r="BE195" s="115"/>
      <c r="BF195" s="115"/>
      <c r="BG195" s="115"/>
      <c r="BH195" s="115"/>
      <c r="BI195" s="115"/>
      <c r="BJ195" s="115"/>
      <c r="BK195" s="115"/>
      <c r="BL195" s="115"/>
      <c r="BM195" s="115"/>
      <c r="BN195" s="115"/>
      <c r="BO195" s="115"/>
    </row>
    <row r="196" spans="1:67" ht="15.75" customHeight="1" thickBot="1" x14ac:dyDescent="0.4">
      <c r="A196" s="115"/>
      <c r="B196" s="1387"/>
      <c r="C196" s="1387"/>
      <c r="D196" s="115"/>
      <c r="E196" s="173"/>
      <c r="F196" s="115"/>
      <c r="G196" s="115"/>
      <c r="H196" s="115"/>
      <c r="I196" s="115"/>
      <c r="J196" s="115"/>
      <c r="K196" s="115"/>
      <c r="L196" s="115"/>
      <c r="M196" s="115"/>
      <c r="N196" s="115"/>
      <c r="O196" s="115"/>
      <c r="P196" s="115"/>
      <c r="Q196" s="115"/>
      <c r="R196" s="115"/>
      <c r="S196" s="115"/>
      <c r="T196" s="115"/>
      <c r="U196" s="115"/>
      <c r="V196" s="115"/>
      <c r="W196" s="115"/>
      <c r="X196" s="115"/>
      <c r="Y196" s="115"/>
      <c r="Z196" s="115"/>
      <c r="AA196" s="115"/>
      <c r="AB196" s="115"/>
      <c r="AC196" s="115"/>
      <c r="AD196" s="115"/>
      <c r="AE196" s="115"/>
      <c r="AF196" s="115"/>
      <c r="AG196" s="115"/>
      <c r="AH196" s="115"/>
      <c r="AI196" s="115"/>
      <c r="AJ196" s="115"/>
      <c r="AK196" s="115"/>
      <c r="AL196" s="115"/>
      <c r="AM196" s="115"/>
      <c r="AN196" s="115"/>
      <c r="AO196" s="115"/>
      <c r="AP196" s="115"/>
      <c r="AQ196" s="115"/>
      <c r="AR196" s="115"/>
      <c r="AS196" s="115"/>
      <c r="AT196" s="115"/>
      <c r="AU196" s="115"/>
      <c r="AV196" s="115"/>
      <c r="AW196" s="115"/>
      <c r="AX196" s="115"/>
      <c r="AY196" s="115"/>
      <c r="AZ196" s="115"/>
      <c r="BA196" s="115"/>
      <c r="BB196" s="115"/>
      <c r="BC196" s="115"/>
      <c r="BD196" s="115"/>
      <c r="BE196" s="115"/>
      <c r="BF196" s="115"/>
      <c r="BG196" s="115"/>
      <c r="BH196" s="115"/>
      <c r="BI196" s="115"/>
      <c r="BJ196" s="115"/>
      <c r="BK196" s="115"/>
      <c r="BL196" s="115"/>
      <c r="BM196" s="115"/>
      <c r="BN196" s="115"/>
      <c r="BO196" s="115"/>
    </row>
    <row r="197" spans="1:67" ht="15.75" customHeight="1" thickBot="1" x14ac:dyDescent="0.4">
      <c r="A197" s="115"/>
      <c r="B197" s="1387"/>
      <c r="C197" s="1387"/>
      <c r="D197" s="115"/>
      <c r="E197" s="173"/>
      <c r="F197" s="115"/>
      <c r="G197" s="115"/>
      <c r="H197" s="115"/>
      <c r="I197" s="115"/>
      <c r="J197" s="115"/>
      <c r="K197" s="115"/>
      <c r="L197" s="115"/>
      <c r="M197" s="115"/>
      <c r="N197" s="115"/>
      <c r="O197" s="115"/>
      <c r="P197" s="115"/>
      <c r="Q197" s="115"/>
      <c r="R197" s="115"/>
      <c r="S197" s="115"/>
      <c r="T197" s="115"/>
      <c r="U197" s="115"/>
      <c r="V197" s="115"/>
      <c r="W197" s="115"/>
      <c r="X197" s="115"/>
      <c r="Y197" s="115"/>
      <c r="Z197" s="115"/>
      <c r="AA197" s="115"/>
      <c r="AB197" s="115"/>
      <c r="AC197" s="115"/>
      <c r="AD197" s="115"/>
      <c r="AE197" s="115"/>
      <c r="AF197" s="115"/>
      <c r="AG197" s="115"/>
      <c r="AH197" s="115"/>
      <c r="AI197" s="115"/>
      <c r="AJ197" s="115"/>
      <c r="AK197" s="115"/>
      <c r="AL197" s="115"/>
      <c r="AM197" s="115"/>
      <c r="AN197" s="115"/>
      <c r="AO197" s="115"/>
      <c r="AP197" s="115"/>
      <c r="AQ197" s="115"/>
      <c r="AR197" s="115"/>
      <c r="AS197" s="115"/>
      <c r="AT197" s="115"/>
      <c r="AU197" s="115"/>
      <c r="AV197" s="115"/>
      <c r="AW197" s="115"/>
      <c r="AX197" s="115"/>
      <c r="AY197" s="115"/>
      <c r="AZ197" s="115"/>
      <c r="BA197" s="115"/>
      <c r="BB197" s="115"/>
      <c r="BC197" s="115"/>
      <c r="BD197" s="115"/>
      <c r="BE197" s="115"/>
      <c r="BF197" s="115"/>
      <c r="BG197" s="115"/>
      <c r="BH197" s="115"/>
      <c r="BI197" s="115"/>
      <c r="BJ197" s="115"/>
      <c r="BK197" s="115"/>
      <c r="BL197" s="115"/>
      <c r="BM197" s="115"/>
      <c r="BN197" s="115"/>
      <c r="BO197" s="115"/>
    </row>
    <row r="198" spans="1:67" ht="15.75" customHeight="1" thickBot="1" x14ac:dyDescent="0.4">
      <c r="A198" s="115"/>
      <c r="B198" s="1387"/>
      <c r="C198" s="1387"/>
      <c r="D198" s="115"/>
      <c r="E198" s="173"/>
      <c r="F198" s="115"/>
      <c r="G198" s="115"/>
      <c r="H198" s="115"/>
      <c r="I198" s="115"/>
      <c r="J198" s="115"/>
      <c r="K198" s="115"/>
      <c r="L198" s="115"/>
      <c r="M198" s="115"/>
      <c r="N198" s="115"/>
      <c r="O198" s="115"/>
      <c r="P198" s="115"/>
      <c r="Q198" s="115"/>
      <c r="R198" s="115"/>
      <c r="S198" s="115"/>
      <c r="T198" s="115"/>
      <c r="U198" s="115"/>
      <c r="V198" s="115"/>
      <c r="W198" s="115"/>
      <c r="X198" s="115"/>
      <c r="Y198" s="115"/>
      <c r="Z198" s="115"/>
      <c r="AA198" s="115"/>
      <c r="AB198" s="115"/>
      <c r="AC198" s="115"/>
      <c r="AD198" s="115"/>
      <c r="AE198" s="115"/>
      <c r="AF198" s="115"/>
      <c r="AG198" s="115"/>
      <c r="AH198" s="115"/>
      <c r="AI198" s="115"/>
      <c r="AJ198" s="115"/>
      <c r="AK198" s="115"/>
      <c r="AL198" s="115"/>
      <c r="AM198" s="115"/>
      <c r="AN198" s="115"/>
      <c r="AO198" s="115"/>
      <c r="AP198" s="115"/>
      <c r="AQ198" s="115"/>
      <c r="AR198" s="115"/>
      <c r="AS198" s="115"/>
      <c r="AT198" s="115"/>
      <c r="AU198" s="115"/>
      <c r="AV198" s="115"/>
      <c r="AW198" s="115"/>
      <c r="AX198" s="115"/>
      <c r="AY198" s="115"/>
      <c r="AZ198" s="115"/>
      <c r="BA198" s="115"/>
      <c r="BB198" s="115"/>
      <c r="BC198" s="115"/>
      <c r="BD198" s="115"/>
      <c r="BE198" s="115"/>
      <c r="BF198" s="115"/>
      <c r="BG198" s="115"/>
      <c r="BH198" s="115"/>
      <c r="BI198" s="115"/>
      <c r="BJ198" s="115"/>
      <c r="BK198" s="115"/>
      <c r="BL198" s="115"/>
      <c r="BM198" s="115"/>
      <c r="BN198" s="115"/>
      <c r="BO198" s="115"/>
    </row>
    <row r="199" spans="1:67" ht="15.75" customHeight="1" thickBot="1" x14ac:dyDescent="0.4">
      <c r="A199" s="115"/>
      <c r="B199" s="1387"/>
      <c r="C199" s="1387"/>
      <c r="D199" s="115"/>
      <c r="E199" s="173"/>
      <c r="F199" s="115"/>
      <c r="G199" s="115"/>
      <c r="H199" s="115"/>
      <c r="I199" s="115"/>
      <c r="J199" s="115"/>
      <c r="K199" s="115"/>
      <c r="L199" s="115"/>
      <c r="M199" s="115"/>
      <c r="N199" s="115"/>
      <c r="O199" s="115"/>
      <c r="P199" s="115"/>
      <c r="Q199" s="115"/>
      <c r="R199" s="115"/>
      <c r="S199" s="115"/>
      <c r="T199" s="115"/>
      <c r="U199" s="115"/>
      <c r="V199" s="115"/>
      <c r="W199" s="115"/>
      <c r="X199" s="115"/>
      <c r="Y199" s="115"/>
      <c r="Z199" s="115"/>
      <c r="AA199" s="115"/>
      <c r="AB199" s="115"/>
      <c r="AC199" s="115"/>
      <c r="AD199" s="115"/>
      <c r="AE199" s="115"/>
      <c r="AF199" s="115"/>
      <c r="AG199" s="115"/>
      <c r="AH199" s="115"/>
      <c r="AI199" s="115"/>
      <c r="AJ199" s="115"/>
      <c r="AK199" s="115"/>
      <c r="AL199" s="115"/>
      <c r="AM199" s="115"/>
      <c r="AN199" s="115"/>
      <c r="AO199" s="115"/>
      <c r="AP199" s="115"/>
      <c r="AQ199" s="115"/>
      <c r="AR199" s="115"/>
      <c r="AS199" s="115"/>
      <c r="AT199" s="115"/>
      <c r="AU199" s="115"/>
      <c r="AV199" s="115"/>
      <c r="AW199" s="115"/>
      <c r="AX199" s="115"/>
      <c r="AY199" s="115"/>
      <c r="AZ199" s="115"/>
      <c r="BA199" s="115"/>
      <c r="BB199" s="115"/>
      <c r="BC199" s="115"/>
      <c r="BD199" s="115"/>
      <c r="BE199" s="115"/>
      <c r="BF199" s="115"/>
      <c r="BG199" s="115"/>
      <c r="BH199" s="115"/>
      <c r="BI199" s="115"/>
      <c r="BJ199" s="115"/>
      <c r="BK199" s="115"/>
      <c r="BL199" s="115"/>
      <c r="BM199" s="115"/>
      <c r="BN199" s="115"/>
      <c r="BO199" s="115"/>
    </row>
    <row r="200" spans="1:67" ht="15.75" customHeight="1" thickBot="1" x14ac:dyDescent="0.4">
      <c r="A200" s="115"/>
      <c r="B200" s="1387"/>
      <c r="C200" s="1387"/>
      <c r="D200" s="115"/>
      <c r="E200" s="173"/>
      <c r="F200" s="115"/>
      <c r="G200" s="115"/>
      <c r="H200" s="115"/>
      <c r="I200" s="115"/>
      <c r="J200" s="115"/>
      <c r="K200" s="115"/>
      <c r="L200" s="115"/>
      <c r="M200" s="115"/>
      <c r="N200" s="115"/>
      <c r="O200" s="115"/>
      <c r="P200" s="115"/>
      <c r="Q200" s="115"/>
      <c r="R200" s="115"/>
      <c r="S200" s="115"/>
      <c r="T200" s="115"/>
      <c r="U200" s="115"/>
      <c r="V200" s="115"/>
      <c r="W200" s="115"/>
      <c r="X200" s="115"/>
      <c r="Y200" s="115"/>
      <c r="Z200" s="115"/>
      <c r="AA200" s="115"/>
      <c r="AB200" s="115"/>
      <c r="AC200" s="115"/>
      <c r="AD200" s="115"/>
      <c r="AE200" s="115"/>
      <c r="AF200" s="115"/>
      <c r="AG200" s="115"/>
      <c r="AH200" s="115"/>
      <c r="AI200" s="115"/>
      <c r="AJ200" s="115"/>
      <c r="AK200" s="115"/>
      <c r="AL200" s="115"/>
      <c r="AM200" s="115"/>
      <c r="AN200" s="115"/>
      <c r="AO200" s="115"/>
      <c r="AP200" s="115"/>
      <c r="AQ200" s="115"/>
      <c r="AR200" s="115"/>
      <c r="AS200" s="115"/>
      <c r="AT200" s="115"/>
      <c r="AU200" s="115"/>
      <c r="AV200" s="115"/>
      <c r="AW200" s="115"/>
      <c r="AX200" s="115"/>
      <c r="AY200" s="115"/>
      <c r="AZ200" s="115"/>
      <c r="BA200" s="115"/>
      <c r="BB200" s="115"/>
      <c r="BC200" s="115"/>
      <c r="BD200" s="115"/>
      <c r="BE200" s="115"/>
      <c r="BF200" s="115"/>
      <c r="BG200" s="115"/>
      <c r="BH200" s="115"/>
      <c r="BI200" s="115"/>
      <c r="BJ200" s="115"/>
      <c r="BK200" s="115"/>
      <c r="BL200" s="115"/>
      <c r="BM200" s="115"/>
      <c r="BN200" s="115"/>
      <c r="BO200" s="115"/>
    </row>
    <row r="201" spans="1:67" ht="15.75" customHeight="1" thickBot="1" x14ac:dyDescent="0.4">
      <c r="A201" s="115"/>
      <c r="B201" s="1387"/>
      <c r="C201" s="1387"/>
      <c r="D201" s="115"/>
      <c r="E201" s="173"/>
      <c r="F201" s="115"/>
      <c r="G201" s="115"/>
      <c r="H201" s="115"/>
      <c r="I201" s="115"/>
      <c r="J201" s="115"/>
      <c r="K201" s="115"/>
      <c r="L201" s="115"/>
      <c r="M201" s="115"/>
      <c r="N201" s="115"/>
      <c r="O201" s="115"/>
      <c r="P201" s="115"/>
      <c r="Q201" s="115"/>
      <c r="R201" s="115"/>
      <c r="S201" s="115"/>
      <c r="T201" s="115"/>
      <c r="U201" s="115"/>
      <c r="V201" s="115"/>
      <c r="W201" s="115"/>
      <c r="X201" s="115"/>
      <c r="Y201" s="115"/>
      <c r="Z201" s="115"/>
      <c r="AA201" s="115"/>
      <c r="AB201" s="115"/>
      <c r="AC201" s="115"/>
      <c r="AD201" s="115"/>
      <c r="AE201" s="115"/>
      <c r="AF201" s="115"/>
      <c r="AG201" s="115"/>
      <c r="AH201" s="115"/>
      <c r="AI201" s="115"/>
      <c r="AJ201" s="115"/>
      <c r="AK201" s="115"/>
      <c r="AL201" s="115"/>
      <c r="AM201" s="115"/>
      <c r="AN201" s="115"/>
      <c r="AO201" s="115"/>
      <c r="AP201" s="115"/>
      <c r="AQ201" s="115"/>
      <c r="AR201" s="115"/>
      <c r="AS201" s="115"/>
      <c r="AT201" s="115"/>
      <c r="AU201" s="115"/>
      <c r="AV201" s="115"/>
      <c r="AW201" s="115"/>
      <c r="AX201" s="115"/>
      <c r="AY201" s="115"/>
      <c r="AZ201" s="115"/>
      <c r="BA201" s="115"/>
      <c r="BB201" s="115"/>
      <c r="BC201" s="115"/>
      <c r="BD201" s="115"/>
      <c r="BE201" s="115"/>
      <c r="BF201" s="115"/>
      <c r="BG201" s="115"/>
      <c r="BH201" s="115"/>
      <c r="BI201" s="115"/>
      <c r="BJ201" s="115"/>
      <c r="BK201" s="115"/>
      <c r="BL201" s="115"/>
      <c r="BM201" s="115"/>
      <c r="BN201" s="115"/>
      <c r="BO201" s="115"/>
    </row>
    <row r="202" spans="1:67" ht="15.75" customHeight="1" thickBot="1" x14ac:dyDescent="0.4">
      <c r="A202" s="115"/>
      <c r="B202" s="1387"/>
      <c r="C202" s="1387"/>
      <c r="D202" s="115"/>
      <c r="E202" s="173"/>
      <c r="F202" s="115"/>
      <c r="G202" s="115"/>
      <c r="H202" s="115"/>
      <c r="I202" s="115"/>
      <c r="J202" s="115"/>
      <c r="K202" s="115"/>
      <c r="L202" s="115"/>
      <c r="M202" s="115"/>
      <c r="N202" s="115"/>
      <c r="O202" s="115"/>
      <c r="P202" s="115"/>
      <c r="Q202" s="115"/>
      <c r="R202" s="115"/>
      <c r="S202" s="115"/>
      <c r="T202" s="115"/>
      <c r="U202" s="115"/>
      <c r="V202" s="115"/>
      <c r="W202" s="115"/>
      <c r="X202" s="115"/>
      <c r="Y202" s="115"/>
      <c r="Z202" s="115"/>
      <c r="AA202" s="115"/>
      <c r="AB202" s="115"/>
      <c r="AC202" s="115"/>
      <c r="AD202" s="115"/>
      <c r="AE202" s="115"/>
      <c r="AF202" s="115"/>
      <c r="AG202" s="115"/>
      <c r="AH202" s="115"/>
      <c r="AI202" s="115"/>
      <c r="AJ202" s="115"/>
      <c r="AK202" s="115"/>
      <c r="AL202" s="115"/>
      <c r="AM202" s="115"/>
      <c r="AN202" s="115"/>
      <c r="AO202" s="115"/>
      <c r="AP202" s="115"/>
      <c r="AQ202" s="115"/>
      <c r="AR202" s="115"/>
      <c r="AS202" s="115"/>
      <c r="AT202" s="115"/>
      <c r="AU202" s="115"/>
      <c r="AV202" s="115"/>
      <c r="AW202" s="115"/>
      <c r="AX202" s="115"/>
      <c r="AY202" s="115"/>
      <c r="AZ202" s="115"/>
      <c r="BA202" s="115"/>
      <c r="BB202" s="115"/>
      <c r="BC202" s="115"/>
      <c r="BD202" s="115"/>
      <c r="BE202" s="115"/>
      <c r="BF202" s="115"/>
      <c r="BG202" s="115"/>
      <c r="BH202" s="115"/>
      <c r="BI202" s="115"/>
      <c r="BJ202" s="115"/>
      <c r="BK202" s="115"/>
      <c r="BL202" s="115"/>
      <c r="BM202" s="115"/>
      <c r="BN202" s="115"/>
      <c r="BO202" s="115"/>
    </row>
    <row r="203" spans="1:67" ht="15.75" customHeight="1" thickBot="1" x14ac:dyDescent="0.4">
      <c r="A203" s="115"/>
      <c r="B203" s="1387"/>
      <c r="C203" s="1387"/>
      <c r="D203" s="115"/>
      <c r="E203" s="173"/>
      <c r="F203" s="115"/>
      <c r="G203" s="115"/>
      <c r="H203" s="115"/>
      <c r="I203" s="115"/>
      <c r="J203" s="115"/>
      <c r="K203" s="115"/>
      <c r="L203" s="115"/>
      <c r="M203" s="115"/>
      <c r="N203" s="115"/>
      <c r="O203" s="115"/>
      <c r="P203" s="115"/>
      <c r="Q203" s="115"/>
      <c r="R203" s="115"/>
      <c r="S203" s="115"/>
      <c r="T203" s="115"/>
      <c r="U203" s="115"/>
      <c r="V203" s="115"/>
      <c r="W203" s="115"/>
      <c r="X203" s="115"/>
      <c r="Y203" s="115"/>
      <c r="Z203" s="115"/>
      <c r="AA203" s="115"/>
      <c r="AB203" s="115"/>
      <c r="AC203" s="115"/>
      <c r="AD203" s="115"/>
      <c r="AE203" s="115"/>
      <c r="AF203" s="115"/>
      <c r="AG203" s="115"/>
      <c r="AH203" s="115"/>
      <c r="AI203" s="115"/>
      <c r="AJ203" s="115"/>
      <c r="AK203" s="115"/>
      <c r="AL203" s="115"/>
      <c r="AM203" s="115"/>
      <c r="AN203" s="115"/>
      <c r="AO203" s="115"/>
      <c r="AP203" s="115"/>
      <c r="AQ203" s="115"/>
      <c r="AR203" s="115"/>
      <c r="AS203" s="115"/>
      <c r="AT203" s="115"/>
      <c r="AU203" s="115"/>
      <c r="AV203" s="115"/>
      <c r="AW203" s="115"/>
      <c r="AX203" s="115"/>
      <c r="AY203" s="115"/>
      <c r="AZ203" s="115"/>
      <c r="BA203" s="115"/>
      <c r="BB203" s="115"/>
      <c r="BC203" s="115"/>
      <c r="BD203" s="115"/>
      <c r="BE203" s="115"/>
      <c r="BF203" s="115"/>
      <c r="BG203" s="115"/>
      <c r="BH203" s="115"/>
      <c r="BI203" s="115"/>
      <c r="BJ203" s="115"/>
      <c r="BK203" s="115"/>
      <c r="BL203" s="115"/>
      <c r="BM203" s="115"/>
      <c r="BN203" s="115"/>
      <c r="BO203" s="115"/>
    </row>
    <row r="204" spans="1:67" ht="15.75" customHeight="1" thickBot="1" x14ac:dyDescent="0.4">
      <c r="A204" s="115"/>
      <c r="B204" s="1387"/>
      <c r="C204" s="1387"/>
      <c r="D204" s="115"/>
      <c r="E204" s="173"/>
      <c r="F204" s="115"/>
      <c r="G204" s="115"/>
      <c r="H204" s="115"/>
      <c r="I204" s="115"/>
      <c r="J204" s="115"/>
      <c r="K204" s="115"/>
      <c r="L204" s="115"/>
      <c r="M204" s="115"/>
      <c r="N204" s="115"/>
      <c r="O204" s="115"/>
      <c r="P204" s="115"/>
      <c r="Q204" s="115"/>
      <c r="R204" s="115"/>
      <c r="S204" s="115"/>
      <c r="T204" s="115"/>
      <c r="U204" s="115"/>
      <c r="V204" s="115"/>
      <c r="W204" s="115"/>
      <c r="X204" s="115"/>
      <c r="Y204" s="115"/>
      <c r="Z204" s="115"/>
      <c r="AA204" s="115"/>
      <c r="AB204" s="115"/>
      <c r="AC204" s="115"/>
      <c r="AD204" s="115"/>
      <c r="AE204" s="115"/>
      <c r="AF204" s="115"/>
      <c r="AG204" s="115"/>
      <c r="AH204" s="115"/>
      <c r="AI204" s="115"/>
      <c r="AJ204" s="115"/>
      <c r="AK204" s="115"/>
      <c r="AL204" s="115"/>
      <c r="AM204" s="115"/>
      <c r="AN204" s="115"/>
      <c r="AO204" s="115"/>
      <c r="AP204" s="115"/>
      <c r="AQ204" s="115"/>
      <c r="AR204" s="115"/>
      <c r="AS204" s="115"/>
      <c r="AT204" s="115"/>
      <c r="AU204" s="115"/>
      <c r="AV204" s="115"/>
      <c r="AW204" s="115"/>
      <c r="AX204" s="115"/>
      <c r="AY204" s="115"/>
      <c r="AZ204" s="115"/>
      <c r="BA204" s="115"/>
      <c r="BB204" s="115"/>
      <c r="BC204" s="115"/>
      <c r="BD204" s="115"/>
      <c r="BE204" s="115"/>
      <c r="BF204" s="115"/>
      <c r="BG204" s="115"/>
      <c r="BH204" s="115"/>
      <c r="BI204" s="115"/>
      <c r="BJ204" s="115"/>
      <c r="BK204" s="115"/>
      <c r="BL204" s="115"/>
      <c r="BM204" s="115"/>
      <c r="BN204" s="115"/>
      <c r="BO204" s="115"/>
    </row>
    <row r="205" spans="1:67" ht="15.75" customHeight="1" thickBot="1" x14ac:dyDescent="0.4">
      <c r="A205" s="115"/>
      <c r="B205" s="1387"/>
      <c r="C205" s="1387"/>
      <c r="D205" s="115"/>
      <c r="E205" s="173"/>
      <c r="F205" s="115"/>
      <c r="G205" s="115"/>
      <c r="H205" s="115"/>
      <c r="I205" s="115"/>
      <c r="J205" s="115"/>
      <c r="K205" s="115"/>
      <c r="L205" s="115"/>
      <c r="M205" s="115"/>
      <c r="N205" s="115"/>
      <c r="O205" s="115"/>
      <c r="P205" s="115"/>
      <c r="Q205" s="115"/>
      <c r="R205" s="115"/>
      <c r="S205" s="115"/>
      <c r="T205" s="115"/>
      <c r="U205" s="115"/>
      <c r="V205" s="115"/>
      <c r="W205" s="115"/>
      <c r="X205" s="115"/>
      <c r="Y205" s="115"/>
      <c r="Z205" s="115"/>
      <c r="AA205" s="115"/>
      <c r="AB205" s="115"/>
      <c r="AC205" s="115"/>
      <c r="AD205" s="115"/>
      <c r="AE205" s="115"/>
      <c r="AF205" s="115"/>
      <c r="AG205" s="115"/>
      <c r="AH205" s="115"/>
      <c r="AI205" s="115"/>
      <c r="AJ205" s="115"/>
      <c r="AK205" s="115"/>
      <c r="AL205" s="115"/>
      <c r="AM205" s="115"/>
      <c r="AN205" s="115"/>
      <c r="AO205" s="115"/>
      <c r="AP205" s="115"/>
      <c r="AQ205" s="115"/>
      <c r="AR205" s="115"/>
      <c r="AS205" s="115"/>
      <c r="AT205" s="115"/>
      <c r="AU205" s="115"/>
      <c r="AV205" s="115"/>
      <c r="AW205" s="115"/>
      <c r="AX205" s="115"/>
      <c r="AY205" s="115"/>
      <c r="AZ205" s="115"/>
      <c r="BA205" s="115"/>
      <c r="BB205" s="115"/>
      <c r="BC205" s="115"/>
      <c r="BD205" s="115"/>
      <c r="BE205" s="115"/>
      <c r="BF205" s="115"/>
      <c r="BG205" s="115"/>
      <c r="BH205" s="115"/>
      <c r="BI205" s="115"/>
      <c r="BJ205" s="115"/>
      <c r="BK205" s="115"/>
      <c r="BL205" s="115"/>
      <c r="BM205" s="115"/>
      <c r="BN205" s="115"/>
      <c r="BO205" s="115"/>
    </row>
    <row r="206" spans="1:67" ht="15.75" customHeight="1" thickBot="1" x14ac:dyDescent="0.4">
      <c r="A206" s="115"/>
      <c r="B206" s="1387"/>
      <c r="C206" s="1387"/>
      <c r="D206" s="115"/>
      <c r="E206" s="173"/>
      <c r="F206" s="115"/>
      <c r="G206" s="115"/>
      <c r="H206" s="115"/>
      <c r="I206" s="115"/>
      <c r="J206" s="115"/>
      <c r="K206" s="115"/>
      <c r="L206" s="115"/>
      <c r="M206" s="115"/>
      <c r="N206" s="115"/>
      <c r="O206" s="115"/>
      <c r="P206" s="115"/>
      <c r="Q206" s="115"/>
      <c r="R206" s="115"/>
      <c r="S206" s="115"/>
      <c r="T206" s="115"/>
      <c r="U206" s="115"/>
      <c r="V206" s="115"/>
      <c r="W206" s="115"/>
      <c r="X206" s="115"/>
      <c r="Y206" s="115"/>
      <c r="Z206" s="115"/>
      <c r="AA206" s="115"/>
      <c r="AB206" s="115"/>
      <c r="AC206" s="115"/>
      <c r="AD206" s="115"/>
      <c r="AE206" s="115"/>
      <c r="AF206" s="115"/>
      <c r="AG206" s="115"/>
      <c r="AH206" s="115"/>
      <c r="AI206" s="115"/>
      <c r="AJ206" s="115"/>
      <c r="AK206" s="115"/>
      <c r="AL206" s="115"/>
      <c r="AM206" s="115"/>
      <c r="AN206" s="115"/>
      <c r="AO206" s="115"/>
      <c r="AP206" s="115"/>
      <c r="AQ206" s="115"/>
      <c r="AR206" s="115"/>
      <c r="AS206" s="115"/>
      <c r="AT206" s="115"/>
      <c r="AU206" s="115"/>
      <c r="AV206" s="115"/>
      <c r="AW206" s="115"/>
      <c r="AX206" s="115"/>
      <c r="AY206" s="115"/>
      <c r="AZ206" s="115"/>
      <c r="BA206" s="115"/>
      <c r="BB206" s="115"/>
      <c r="BC206" s="115"/>
      <c r="BD206" s="115"/>
      <c r="BE206" s="115"/>
      <c r="BF206" s="115"/>
      <c r="BG206" s="115"/>
      <c r="BH206" s="115"/>
      <c r="BI206" s="115"/>
      <c r="BJ206" s="115"/>
      <c r="BK206" s="115"/>
      <c r="BL206" s="115"/>
      <c r="BM206" s="115"/>
      <c r="BN206" s="115"/>
      <c r="BO206" s="115"/>
    </row>
    <row r="207" spans="1:67" ht="15.75" customHeight="1" thickBot="1" x14ac:dyDescent="0.4">
      <c r="A207" s="115"/>
      <c r="B207" s="1387"/>
      <c r="C207" s="1387"/>
      <c r="D207" s="115"/>
      <c r="E207" s="173"/>
      <c r="F207" s="115"/>
      <c r="G207" s="115"/>
      <c r="H207" s="115"/>
      <c r="I207" s="115"/>
      <c r="J207" s="115"/>
      <c r="K207" s="115"/>
      <c r="L207" s="115"/>
      <c r="M207" s="115"/>
      <c r="N207" s="115"/>
      <c r="O207" s="115"/>
      <c r="P207" s="115"/>
      <c r="Q207" s="115"/>
      <c r="R207" s="115"/>
      <c r="S207" s="115"/>
      <c r="T207" s="115"/>
      <c r="U207" s="115"/>
      <c r="V207" s="115"/>
      <c r="W207" s="115"/>
      <c r="X207" s="115"/>
      <c r="Y207" s="115"/>
      <c r="Z207" s="115"/>
      <c r="AA207" s="115"/>
      <c r="AB207" s="115"/>
      <c r="AC207" s="115"/>
      <c r="AD207" s="115"/>
      <c r="AE207" s="115"/>
      <c r="AF207" s="115"/>
      <c r="AG207" s="115"/>
      <c r="AH207" s="115"/>
      <c r="AI207" s="115"/>
      <c r="AJ207" s="115"/>
      <c r="AK207" s="115"/>
      <c r="AL207" s="115"/>
      <c r="AM207" s="115"/>
      <c r="AN207" s="115"/>
      <c r="AO207" s="115"/>
      <c r="AP207" s="115"/>
      <c r="AQ207" s="115"/>
      <c r="AR207" s="115"/>
      <c r="AS207" s="115"/>
      <c r="AT207" s="115"/>
      <c r="AU207" s="115"/>
      <c r="AV207" s="115"/>
      <c r="AW207" s="115"/>
      <c r="AX207" s="115"/>
      <c r="AY207" s="115"/>
      <c r="AZ207" s="115"/>
      <c r="BA207" s="115"/>
      <c r="BB207" s="115"/>
      <c r="BC207" s="115"/>
      <c r="BD207" s="115"/>
      <c r="BE207" s="115"/>
      <c r="BF207" s="115"/>
      <c r="BG207" s="115"/>
      <c r="BH207" s="115"/>
      <c r="BI207" s="115"/>
      <c r="BJ207" s="115"/>
      <c r="BK207" s="115"/>
      <c r="BL207" s="115"/>
      <c r="BM207" s="115"/>
      <c r="BN207" s="115"/>
      <c r="BO207" s="115"/>
    </row>
    <row r="208" spans="1:67" ht="15.75" customHeight="1" thickBot="1" x14ac:dyDescent="0.4">
      <c r="A208" s="115"/>
      <c r="B208" s="1387"/>
      <c r="C208" s="1387"/>
      <c r="D208" s="115"/>
      <c r="E208" s="173"/>
      <c r="F208" s="115"/>
      <c r="G208" s="115"/>
      <c r="H208" s="115"/>
      <c r="I208" s="115"/>
      <c r="J208" s="115"/>
      <c r="K208" s="115"/>
      <c r="L208" s="115"/>
      <c r="M208" s="115"/>
      <c r="N208" s="115"/>
      <c r="O208" s="115"/>
      <c r="P208" s="115"/>
      <c r="Q208" s="115"/>
      <c r="R208" s="115"/>
      <c r="S208" s="115"/>
      <c r="T208" s="115"/>
      <c r="U208" s="115"/>
      <c r="V208" s="115"/>
      <c r="W208" s="115"/>
      <c r="X208" s="115"/>
      <c r="Y208" s="115"/>
      <c r="Z208" s="115"/>
      <c r="AA208" s="115"/>
      <c r="AB208" s="115"/>
      <c r="AC208" s="115"/>
      <c r="AD208" s="115"/>
      <c r="AE208" s="115"/>
      <c r="AF208" s="115"/>
      <c r="AG208" s="115"/>
      <c r="AH208" s="115"/>
      <c r="AI208" s="115"/>
      <c r="AJ208" s="115"/>
      <c r="AK208" s="115"/>
      <c r="AL208" s="115"/>
      <c r="AM208" s="115"/>
      <c r="AN208" s="115"/>
      <c r="AO208" s="115"/>
      <c r="AP208" s="115"/>
      <c r="AQ208" s="115"/>
      <c r="AR208" s="115"/>
      <c r="AS208" s="115"/>
      <c r="AT208" s="115"/>
      <c r="AU208" s="115"/>
      <c r="AV208" s="115"/>
      <c r="AW208" s="115"/>
      <c r="AX208" s="115"/>
      <c r="AY208" s="115"/>
      <c r="AZ208" s="115"/>
      <c r="BA208" s="115"/>
      <c r="BB208" s="115"/>
      <c r="BC208" s="115"/>
      <c r="BD208" s="115"/>
      <c r="BE208" s="115"/>
      <c r="BF208" s="115"/>
      <c r="BG208" s="115"/>
      <c r="BH208" s="115"/>
      <c r="BI208" s="115"/>
      <c r="BJ208" s="115"/>
      <c r="BK208" s="115"/>
      <c r="BL208" s="115"/>
      <c r="BM208" s="115"/>
      <c r="BN208" s="115"/>
      <c r="BO208" s="115"/>
    </row>
    <row r="209" spans="1:67" ht="15.75" customHeight="1" thickBot="1" x14ac:dyDescent="0.4">
      <c r="A209" s="115"/>
      <c r="B209" s="1387"/>
      <c r="C209" s="1387"/>
      <c r="D209" s="115"/>
      <c r="E209" s="173"/>
      <c r="F209" s="115"/>
      <c r="G209" s="115"/>
      <c r="H209" s="115"/>
      <c r="I209" s="115"/>
      <c r="J209" s="115"/>
      <c r="K209" s="115"/>
      <c r="L209" s="115"/>
      <c r="M209" s="115"/>
      <c r="N209" s="115"/>
      <c r="O209" s="115"/>
      <c r="P209" s="115"/>
      <c r="Q209" s="115"/>
      <c r="R209" s="115"/>
      <c r="S209" s="115"/>
      <c r="T209" s="115"/>
      <c r="U209" s="115"/>
      <c r="V209" s="115"/>
      <c r="W209" s="115"/>
      <c r="X209" s="115"/>
      <c r="Y209" s="115"/>
      <c r="Z209" s="115"/>
      <c r="AA209" s="115"/>
      <c r="AB209" s="115"/>
      <c r="AC209" s="115"/>
      <c r="AD209" s="115"/>
      <c r="AE209" s="115"/>
      <c r="AF209" s="115"/>
      <c r="AG209" s="115"/>
      <c r="AH209" s="115"/>
      <c r="AI209" s="115"/>
      <c r="AJ209" s="115"/>
      <c r="AK209" s="115"/>
      <c r="AL209" s="115"/>
      <c r="AM209" s="115"/>
      <c r="AN209" s="115"/>
      <c r="AO209" s="115"/>
      <c r="AP209" s="115"/>
      <c r="AQ209" s="115"/>
      <c r="AR209" s="115"/>
      <c r="AS209" s="115"/>
      <c r="AT209" s="115"/>
      <c r="AU209" s="115"/>
      <c r="AV209" s="115"/>
      <c r="AW209" s="115"/>
      <c r="AX209" s="115"/>
      <c r="AY209" s="115"/>
      <c r="AZ209" s="115"/>
      <c r="BA209" s="115"/>
      <c r="BB209" s="115"/>
      <c r="BC209" s="115"/>
      <c r="BD209" s="115"/>
      <c r="BE209" s="115"/>
      <c r="BF209" s="115"/>
      <c r="BG209" s="115"/>
      <c r="BH209" s="115"/>
      <c r="BI209" s="115"/>
      <c r="BJ209" s="115"/>
      <c r="BK209" s="115"/>
      <c r="BL209" s="115"/>
      <c r="BM209" s="115"/>
      <c r="BN209" s="115"/>
      <c r="BO209" s="115"/>
    </row>
    <row r="210" spans="1:67" ht="15.75" customHeight="1" thickBot="1" x14ac:dyDescent="0.4">
      <c r="A210" s="115"/>
      <c r="B210" s="1387"/>
      <c r="C210" s="1387"/>
      <c r="D210" s="115"/>
      <c r="E210" s="173"/>
      <c r="F210" s="115"/>
      <c r="G210" s="115"/>
      <c r="H210" s="115"/>
      <c r="I210" s="115"/>
      <c r="J210" s="115"/>
      <c r="K210" s="115"/>
      <c r="L210" s="115"/>
      <c r="M210" s="115"/>
      <c r="N210" s="115"/>
      <c r="O210" s="115"/>
      <c r="P210" s="115"/>
      <c r="Q210" s="115"/>
      <c r="R210" s="115"/>
      <c r="S210" s="115"/>
      <c r="T210" s="115"/>
      <c r="U210" s="115"/>
      <c r="V210" s="115"/>
      <c r="W210" s="115"/>
      <c r="X210" s="115"/>
      <c r="Y210" s="115"/>
      <c r="Z210" s="115"/>
      <c r="AA210" s="115"/>
      <c r="AB210" s="115"/>
      <c r="AC210" s="115"/>
      <c r="AD210" s="115"/>
      <c r="AE210" s="115"/>
      <c r="AF210" s="115"/>
      <c r="AG210" s="115"/>
      <c r="AH210" s="115"/>
      <c r="AI210" s="115"/>
      <c r="AJ210" s="115"/>
      <c r="AK210" s="115"/>
      <c r="AL210" s="115"/>
      <c r="AM210" s="115"/>
      <c r="AN210" s="115"/>
      <c r="AO210" s="115"/>
      <c r="AP210" s="115"/>
      <c r="AQ210" s="115"/>
      <c r="AR210" s="115"/>
      <c r="AS210" s="115"/>
      <c r="AT210" s="115"/>
      <c r="AU210" s="115"/>
      <c r="AV210" s="115"/>
      <c r="AW210" s="115"/>
      <c r="AX210" s="115"/>
      <c r="AY210" s="115"/>
      <c r="AZ210" s="115"/>
      <c r="BA210" s="115"/>
      <c r="BB210" s="115"/>
      <c r="BC210" s="115"/>
      <c r="BD210" s="115"/>
      <c r="BE210" s="115"/>
      <c r="BF210" s="115"/>
      <c r="BG210" s="115"/>
      <c r="BH210" s="115"/>
      <c r="BI210" s="115"/>
      <c r="BJ210" s="115"/>
      <c r="BK210" s="115"/>
      <c r="BL210" s="115"/>
      <c r="BM210" s="115"/>
      <c r="BN210" s="115"/>
      <c r="BO210" s="115"/>
    </row>
    <row r="211" spans="1:67" ht="15.75" customHeight="1" thickBot="1" x14ac:dyDescent="0.4">
      <c r="A211" s="115"/>
      <c r="B211" s="1387"/>
      <c r="C211" s="1387"/>
      <c r="D211" s="115"/>
      <c r="E211" s="173"/>
      <c r="F211" s="115"/>
      <c r="G211" s="115"/>
      <c r="H211" s="115"/>
      <c r="I211" s="115"/>
      <c r="J211" s="115"/>
      <c r="K211" s="115"/>
      <c r="L211" s="115"/>
      <c r="M211" s="115"/>
      <c r="N211" s="115"/>
      <c r="O211" s="115"/>
      <c r="P211" s="115"/>
      <c r="Q211" s="115"/>
      <c r="R211" s="115"/>
      <c r="S211" s="115"/>
      <c r="T211" s="115"/>
      <c r="U211" s="115"/>
      <c r="V211" s="115"/>
      <c r="W211" s="115"/>
      <c r="X211" s="115"/>
      <c r="Y211" s="115"/>
      <c r="Z211" s="115"/>
      <c r="AA211" s="115"/>
      <c r="AB211" s="115"/>
      <c r="AC211" s="115"/>
      <c r="AD211" s="115"/>
      <c r="AE211" s="115"/>
      <c r="AF211" s="115"/>
      <c r="AG211" s="115"/>
      <c r="AH211" s="115"/>
      <c r="AI211" s="115"/>
      <c r="AJ211" s="115"/>
      <c r="AK211" s="115"/>
      <c r="AL211" s="115"/>
      <c r="AM211" s="115"/>
      <c r="AN211" s="115"/>
      <c r="AO211" s="115"/>
      <c r="AP211" s="115"/>
      <c r="AQ211" s="115"/>
      <c r="AR211" s="115"/>
      <c r="AS211" s="115"/>
      <c r="AT211" s="115"/>
      <c r="AU211" s="115"/>
      <c r="AV211" s="115"/>
      <c r="AW211" s="115"/>
      <c r="AX211" s="115"/>
      <c r="AY211" s="115"/>
      <c r="AZ211" s="115"/>
      <c r="BA211" s="115"/>
      <c r="BB211" s="115"/>
      <c r="BC211" s="115"/>
      <c r="BD211" s="115"/>
      <c r="BE211" s="115"/>
      <c r="BF211" s="115"/>
      <c r="BG211" s="115"/>
      <c r="BH211" s="115"/>
      <c r="BI211" s="115"/>
      <c r="BJ211" s="115"/>
      <c r="BK211" s="115"/>
      <c r="BL211" s="115"/>
      <c r="BM211" s="115"/>
      <c r="BN211" s="115"/>
      <c r="BO211" s="115"/>
    </row>
    <row r="212" spans="1:67" ht="15.75" customHeight="1" thickBot="1" x14ac:dyDescent="0.4">
      <c r="A212" s="115"/>
      <c r="B212" s="1387"/>
      <c r="C212" s="1387"/>
      <c r="D212" s="115"/>
      <c r="E212" s="173"/>
      <c r="F212" s="115"/>
      <c r="G212" s="115"/>
      <c r="H212" s="115"/>
      <c r="I212" s="115"/>
      <c r="J212" s="115"/>
      <c r="K212" s="115"/>
      <c r="L212" s="115"/>
      <c r="M212" s="115"/>
      <c r="N212" s="115"/>
      <c r="O212" s="115"/>
      <c r="P212" s="115"/>
      <c r="Q212" s="115"/>
      <c r="R212" s="115"/>
      <c r="S212" s="115"/>
      <c r="T212" s="115"/>
      <c r="U212" s="115"/>
      <c r="V212" s="115"/>
      <c r="W212" s="115"/>
      <c r="X212" s="115"/>
      <c r="Y212" s="115"/>
      <c r="Z212" s="115"/>
      <c r="AA212" s="115"/>
      <c r="AB212" s="115"/>
      <c r="AC212" s="115"/>
      <c r="AD212" s="115"/>
      <c r="AE212" s="115"/>
      <c r="AF212" s="115"/>
      <c r="AG212" s="115"/>
      <c r="AH212" s="115"/>
      <c r="AI212" s="115"/>
      <c r="AJ212" s="115"/>
      <c r="AK212" s="115"/>
      <c r="AL212" s="115"/>
      <c r="AM212" s="115"/>
      <c r="AN212" s="115"/>
      <c r="AO212" s="115"/>
      <c r="AP212" s="115"/>
      <c r="AQ212" s="115"/>
      <c r="AR212" s="115"/>
      <c r="AS212" s="115"/>
      <c r="AT212" s="115"/>
      <c r="AU212" s="115"/>
      <c r="AV212" s="115"/>
      <c r="AW212" s="115"/>
      <c r="AX212" s="115"/>
      <c r="AY212" s="115"/>
      <c r="AZ212" s="115"/>
      <c r="BA212" s="115"/>
      <c r="BB212" s="115"/>
      <c r="BC212" s="115"/>
      <c r="BD212" s="115"/>
      <c r="BE212" s="115"/>
      <c r="BF212" s="115"/>
      <c r="BG212" s="115"/>
      <c r="BH212" s="115"/>
      <c r="BI212" s="115"/>
      <c r="BJ212" s="115"/>
      <c r="BK212" s="115"/>
      <c r="BL212" s="115"/>
      <c r="BM212" s="115"/>
      <c r="BN212" s="115"/>
      <c r="BO212" s="115"/>
    </row>
    <row r="213" spans="1:67" ht="15.75" customHeight="1" thickBot="1" x14ac:dyDescent="0.4">
      <c r="A213" s="115"/>
      <c r="B213" s="1387"/>
      <c r="C213" s="1387"/>
      <c r="D213" s="115"/>
      <c r="E213" s="173"/>
      <c r="F213" s="115"/>
      <c r="G213" s="115"/>
      <c r="H213" s="115"/>
      <c r="I213" s="115"/>
      <c r="J213" s="115"/>
      <c r="K213" s="115"/>
      <c r="L213" s="115"/>
      <c r="M213" s="115"/>
      <c r="N213" s="115"/>
      <c r="O213" s="115"/>
      <c r="P213" s="115"/>
      <c r="Q213" s="115"/>
      <c r="R213" s="115"/>
      <c r="S213" s="115"/>
      <c r="T213" s="115"/>
      <c r="U213" s="115"/>
      <c r="V213" s="115"/>
      <c r="W213" s="115"/>
      <c r="X213" s="115"/>
      <c r="Y213" s="115"/>
      <c r="Z213" s="115"/>
      <c r="AA213" s="115"/>
      <c r="AB213" s="115"/>
      <c r="AC213" s="115"/>
      <c r="AD213" s="115"/>
      <c r="AE213" s="115"/>
      <c r="AF213" s="115"/>
      <c r="AG213" s="115"/>
      <c r="AH213" s="115"/>
      <c r="AI213" s="115"/>
      <c r="AJ213" s="115"/>
      <c r="AK213" s="115"/>
      <c r="AL213" s="115"/>
      <c r="AM213" s="115"/>
      <c r="AN213" s="115"/>
      <c r="AO213" s="115"/>
      <c r="AP213" s="115"/>
      <c r="AQ213" s="115"/>
      <c r="AR213" s="115"/>
      <c r="AS213" s="115"/>
      <c r="AT213" s="115"/>
      <c r="AU213" s="115"/>
      <c r="AV213" s="115"/>
      <c r="AW213" s="115"/>
      <c r="AX213" s="115"/>
      <c r="AY213" s="115"/>
      <c r="AZ213" s="115"/>
      <c r="BA213" s="115"/>
      <c r="BB213" s="115"/>
      <c r="BC213" s="115"/>
      <c r="BD213" s="115"/>
      <c r="BE213" s="115"/>
      <c r="BF213" s="115"/>
      <c r="BG213" s="115"/>
      <c r="BH213" s="115"/>
      <c r="BI213" s="115"/>
      <c r="BJ213" s="115"/>
      <c r="BK213" s="115"/>
      <c r="BL213" s="115"/>
      <c r="BM213" s="115"/>
      <c r="BN213" s="115"/>
      <c r="BO213" s="115"/>
    </row>
    <row r="214" spans="1:67" ht="15.75" customHeight="1" thickBot="1" x14ac:dyDescent="0.4">
      <c r="A214" s="115"/>
      <c r="B214" s="1387"/>
      <c r="C214" s="1387"/>
      <c r="D214" s="115"/>
      <c r="E214" s="173"/>
      <c r="F214" s="115"/>
      <c r="G214" s="115"/>
      <c r="H214" s="115"/>
      <c r="I214" s="115"/>
      <c r="J214" s="115"/>
      <c r="K214" s="115"/>
      <c r="L214" s="115"/>
      <c r="M214" s="115"/>
      <c r="N214" s="115"/>
      <c r="O214" s="115"/>
      <c r="P214" s="115"/>
      <c r="Q214" s="115"/>
      <c r="R214" s="115"/>
      <c r="S214" s="115"/>
      <c r="T214" s="115"/>
      <c r="U214" s="115"/>
      <c r="V214" s="115"/>
      <c r="W214" s="115"/>
      <c r="X214" s="115"/>
      <c r="Y214" s="115"/>
      <c r="Z214" s="115"/>
      <c r="AA214" s="115"/>
      <c r="AB214" s="115"/>
      <c r="AC214" s="115"/>
      <c r="AD214" s="115"/>
      <c r="AE214" s="115"/>
      <c r="AF214" s="115"/>
      <c r="AG214" s="115"/>
      <c r="AH214" s="115"/>
      <c r="AI214" s="115"/>
      <c r="AJ214" s="115"/>
      <c r="AK214" s="115"/>
      <c r="AL214" s="115"/>
      <c r="AM214" s="115"/>
      <c r="AN214" s="115"/>
      <c r="AO214" s="115"/>
      <c r="AP214" s="115"/>
      <c r="AQ214" s="115"/>
      <c r="AR214" s="115"/>
      <c r="AS214" s="115"/>
      <c r="AT214" s="115"/>
      <c r="AU214" s="115"/>
      <c r="AV214" s="115"/>
      <c r="AW214" s="115"/>
      <c r="AX214" s="115"/>
      <c r="AY214" s="115"/>
      <c r="AZ214" s="115"/>
      <c r="BA214" s="115"/>
      <c r="BB214" s="115"/>
      <c r="BC214" s="115"/>
      <c r="BD214" s="115"/>
      <c r="BE214" s="115"/>
      <c r="BF214" s="115"/>
      <c r="BG214" s="115"/>
      <c r="BH214" s="115"/>
      <c r="BI214" s="115"/>
      <c r="BJ214" s="115"/>
      <c r="BK214" s="115"/>
      <c r="BL214" s="115"/>
      <c r="BM214" s="115"/>
      <c r="BN214" s="115"/>
      <c r="BO214" s="115"/>
    </row>
    <row r="215" spans="1:67" ht="15.75" customHeight="1" thickBot="1" x14ac:dyDescent="0.4">
      <c r="A215" s="115"/>
      <c r="B215" s="1387"/>
      <c r="C215" s="1387"/>
      <c r="D215" s="115"/>
      <c r="E215" s="173"/>
      <c r="F215" s="115"/>
      <c r="G215" s="115"/>
      <c r="H215" s="115"/>
      <c r="I215" s="115"/>
      <c r="J215" s="115"/>
      <c r="K215" s="115"/>
      <c r="L215" s="115"/>
      <c r="M215" s="115"/>
      <c r="N215" s="115"/>
      <c r="O215" s="115"/>
      <c r="P215" s="115"/>
      <c r="Q215" s="115"/>
      <c r="R215" s="115"/>
      <c r="S215" s="115"/>
      <c r="T215" s="115"/>
      <c r="U215" s="115"/>
      <c r="V215" s="115"/>
      <c r="W215" s="115"/>
      <c r="X215" s="115"/>
      <c r="Y215" s="115"/>
      <c r="Z215" s="115"/>
      <c r="AA215" s="115"/>
      <c r="AB215" s="115"/>
      <c r="AC215" s="115"/>
      <c r="AD215" s="115"/>
      <c r="AE215" s="115"/>
      <c r="AF215" s="115"/>
      <c r="AG215" s="115"/>
      <c r="AH215" s="115"/>
      <c r="AI215" s="115"/>
      <c r="AJ215" s="115"/>
      <c r="AK215" s="115"/>
      <c r="AL215" s="115"/>
      <c r="AM215" s="115"/>
      <c r="AN215" s="115"/>
      <c r="AO215" s="115"/>
      <c r="AP215" s="115"/>
      <c r="AQ215" s="115"/>
      <c r="AR215" s="115"/>
      <c r="AS215" s="115"/>
      <c r="AT215" s="115"/>
      <c r="AU215" s="115"/>
      <c r="AV215" s="115"/>
      <c r="AW215" s="115"/>
      <c r="AX215" s="115"/>
      <c r="AY215" s="115"/>
      <c r="AZ215" s="115"/>
      <c r="BA215" s="115"/>
      <c r="BB215" s="115"/>
      <c r="BC215" s="115"/>
      <c r="BD215" s="115"/>
      <c r="BE215" s="115"/>
      <c r="BF215" s="115"/>
      <c r="BG215" s="115"/>
      <c r="BH215" s="115"/>
      <c r="BI215" s="115"/>
      <c r="BJ215" s="115"/>
      <c r="BK215" s="115"/>
      <c r="BL215" s="115"/>
      <c r="BM215" s="115"/>
      <c r="BN215" s="115"/>
      <c r="BO215" s="115"/>
    </row>
    <row r="216" spans="1:67" ht="15.75" customHeight="1" thickBot="1" x14ac:dyDescent="0.4">
      <c r="A216" s="115"/>
      <c r="B216" s="1387"/>
      <c r="C216" s="1387"/>
      <c r="D216" s="115"/>
      <c r="E216" s="173"/>
      <c r="F216" s="115"/>
      <c r="G216" s="115"/>
      <c r="H216" s="115"/>
      <c r="I216" s="115"/>
      <c r="J216" s="115"/>
      <c r="K216" s="115"/>
      <c r="L216" s="115"/>
      <c r="M216" s="115"/>
      <c r="N216" s="115"/>
      <c r="O216" s="115"/>
      <c r="P216" s="115"/>
      <c r="Q216" s="115"/>
      <c r="R216" s="115"/>
      <c r="S216" s="115"/>
      <c r="T216" s="115"/>
      <c r="U216" s="115"/>
      <c r="V216" s="115"/>
      <c r="W216" s="115"/>
      <c r="X216" s="115"/>
      <c r="Y216" s="115"/>
      <c r="Z216" s="115"/>
      <c r="AA216" s="115"/>
      <c r="AB216" s="115"/>
      <c r="AC216" s="115"/>
      <c r="AD216" s="115"/>
      <c r="AE216" s="115"/>
      <c r="AF216" s="115"/>
      <c r="AG216" s="115"/>
      <c r="AH216" s="115"/>
      <c r="AI216" s="115"/>
      <c r="AJ216" s="115"/>
      <c r="AK216" s="115"/>
      <c r="AL216" s="115"/>
      <c r="AM216" s="115"/>
      <c r="AN216" s="115"/>
      <c r="AO216" s="115"/>
      <c r="AP216" s="115"/>
      <c r="AQ216" s="115"/>
      <c r="AR216" s="115"/>
      <c r="AS216" s="115"/>
      <c r="AT216" s="115"/>
      <c r="AU216" s="115"/>
      <c r="AV216" s="115"/>
      <c r="AW216" s="115"/>
      <c r="AX216" s="115"/>
      <c r="AY216" s="115"/>
      <c r="AZ216" s="115"/>
      <c r="BA216" s="115"/>
      <c r="BB216" s="115"/>
      <c r="BC216" s="115"/>
      <c r="BD216" s="115"/>
      <c r="BE216" s="115"/>
      <c r="BF216" s="115"/>
      <c r="BG216" s="115"/>
      <c r="BH216" s="115"/>
      <c r="BI216" s="115"/>
      <c r="BJ216" s="115"/>
      <c r="BK216" s="115"/>
      <c r="BL216" s="115"/>
      <c r="BM216" s="115"/>
      <c r="BN216" s="115"/>
      <c r="BO216" s="115"/>
    </row>
    <row r="217" spans="1:67" ht="15.75" customHeight="1" thickBot="1" x14ac:dyDescent="0.4">
      <c r="A217" s="115"/>
      <c r="B217" s="1387"/>
      <c r="C217" s="1387"/>
      <c r="D217" s="115"/>
      <c r="E217" s="173"/>
      <c r="F217" s="115"/>
      <c r="G217" s="115"/>
      <c r="H217" s="115"/>
      <c r="I217" s="115"/>
      <c r="J217" s="115"/>
      <c r="K217" s="115"/>
      <c r="L217" s="115"/>
      <c r="M217" s="115"/>
      <c r="N217" s="115"/>
      <c r="O217" s="115"/>
      <c r="P217" s="115"/>
      <c r="Q217" s="115"/>
      <c r="R217" s="115"/>
      <c r="S217" s="115"/>
      <c r="T217" s="115"/>
      <c r="U217" s="115"/>
      <c r="V217" s="115"/>
      <c r="W217" s="115"/>
      <c r="X217" s="115"/>
      <c r="Y217" s="115"/>
      <c r="Z217" s="115"/>
      <c r="AA217" s="115"/>
      <c r="AB217" s="115"/>
      <c r="AC217" s="115"/>
      <c r="AD217" s="115"/>
      <c r="AE217" s="115"/>
      <c r="AF217" s="115"/>
      <c r="AG217" s="115"/>
      <c r="AH217" s="115"/>
      <c r="AI217" s="115"/>
      <c r="AJ217" s="115"/>
      <c r="AK217" s="115"/>
      <c r="AL217" s="115"/>
      <c r="AM217" s="115"/>
      <c r="AN217" s="115"/>
      <c r="AO217" s="115"/>
      <c r="AP217" s="115"/>
      <c r="AQ217" s="115"/>
      <c r="AR217" s="115"/>
      <c r="AS217" s="115"/>
      <c r="AT217" s="115"/>
      <c r="AU217" s="115"/>
      <c r="AV217" s="115"/>
      <c r="AW217" s="115"/>
      <c r="AX217" s="115"/>
      <c r="AY217" s="115"/>
      <c r="AZ217" s="115"/>
      <c r="BA217" s="115"/>
      <c r="BB217" s="115"/>
      <c r="BC217" s="115"/>
      <c r="BD217" s="115"/>
      <c r="BE217" s="115"/>
      <c r="BF217" s="115"/>
      <c r="BG217" s="115"/>
      <c r="BH217" s="115"/>
      <c r="BI217" s="115"/>
      <c r="BJ217" s="115"/>
      <c r="BK217" s="115"/>
      <c r="BL217" s="115"/>
      <c r="BM217" s="115"/>
      <c r="BN217" s="115"/>
      <c r="BO217" s="115"/>
    </row>
    <row r="218" spans="1:67" ht="15.75" customHeight="1" thickBot="1" x14ac:dyDescent="0.4">
      <c r="A218" s="115"/>
      <c r="B218" s="1387"/>
      <c r="C218" s="1387"/>
      <c r="D218" s="115"/>
      <c r="E218" s="173"/>
      <c r="F218" s="115"/>
      <c r="G218" s="115"/>
      <c r="H218" s="115"/>
      <c r="I218" s="115"/>
      <c r="J218" s="115"/>
      <c r="K218" s="115"/>
      <c r="L218" s="115"/>
      <c r="M218" s="115"/>
      <c r="N218" s="115"/>
      <c r="O218" s="115"/>
      <c r="P218" s="115"/>
      <c r="Q218" s="115"/>
      <c r="R218" s="115"/>
      <c r="S218" s="115"/>
      <c r="T218" s="115"/>
      <c r="U218" s="115"/>
      <c r="V218" s="115"/>
      <c r="W218" s="115"/>
      <c r="X218" s="115"/>
      <c r="Y218" s="115"/>
      <c r="Z218" s="115"/>
      <c r="AA218" s="115"/>
      <c r="AB218" s="115"/>
      <c r="AC218" s="115"/>
      <c r="AD218" s="115"/>
      <c r="AE218" s="115"/>
      <c r="AF218" s="115"/>
      <c r="AG218" s="115"/>
      <c r="AH218" s="115"/>
      <c r="AI218" s="115"/>
      <c r="AJ218" s="115"/>
      <c r="AK218" s="115"/>
      <c r="AL218" s="115"/>
      <c r="AM218" s="115"/>
      <c r="AN218" s="115"/>
      <c r="AO218" s="115"/>
      <c r="AP218" s="115"/>
      <c r="AQ218" s="115"/>
      <c r="AR218" s="115"/>
      <c r="AS218" s="115"/>
      <c r="AT218" s="115"/>
      <c r="AU218" s="115"/>
      <c r="AV218" s="115"/>
      <c r="AW218" s="115"/>
      <c r="AX218" s="115"/>
      <c r="AY218" s="115"/>
      <c r="AZ218" s="115"/>
      <c r="BA218" s="115"/>
      <c r="BB218" s="115"/>
      <c r="BC218" s="115"/>
      <c r="BD218" s="115"/>
      <c r="BE218" s="115"/>
      <c r="BF218" s="115"/>
      <c r="BG218" s="115"/>
      <c r="BH218" s="115"/>
      <c r="BI218" s="115"/>
      <c r="BJ218" s="115"/>
      <c r="BK218" s="115"/>
      <c r="BL218" s="115"/>
      <c r="BM218" s="115"/>
      <c r="BN218" s="115"/>
      <c r="BO218" s="115"/>
    </row>
    <row r="219" spans="1:67" ht="15.75" customHeight="1" thickBot="1" x14ac:dyDescent="0.4">
      <c r="A219" s="115"/>
      <c r="B219" s="1387"/>
      <c r="C219" s="1387"/>
      <c r="D219" s="115"/>
      <c r="E219" s="173"/>
      <c r="F219" s="115"/>
      <c r="G219" s="115"/>
      <c r="H219" s="115"/>
      <c r="I219" s="115"/>
      <c r="J219" s="115"/>
      <c r="K219" s="115"/>
      <c r="L219" s="115"/>
      <c r="M219" s="115"/>
      <c r="N219" s="115"/>
      <c r="O219" s="115"/>
      <c r="P219" s="115"/>
      <c r="Q219" s="115"/>
      <c r="R219" s="115"/>
      <c r="S219" s="115"/>
      <c r="T219" s="115"/>
      <c r="U219" s="115"/>
      <c r="V219" s="115"/>
      <c r="W219" s="115"/>
      <c r="X219" s="115"/>
      <c r="Y219" s="115"/>
      <c r="Z219" s="115"/>
      <c r="AA219" s="115"/>
      <c r="AB219" s="115"/>
      <c r="AC219" s="115"/>
      <c r="AD219" s="115"/>
      <c r="AE219" s="115"/>
      <c r="AF219" s="115"/>
      <c r="AG219" s="115"/>
      <c r="AH219" s="115"/>
      <c r="AI219" s="115"/>
      <c r="AJ219" s="115"/>
      <c r="AK219" s="115"/>
      <c r="AL219" s="115"/>
      <c r="AM219" s="115"/>
      <c r="AN219" s="115"/>
      <c r="AO219" s="115"/>
      <c r="AP219" s="115"/>
      <c r="AQ219" s="115"/>
      <c r="AR219" s="115"/>
      <c r="AS219" s="115"/>
      <c r="AT219" s="115"/>
      <c r="AU219" s="115"/>
      <c r="AV219" s="115"/>
      <c r="AW219" s="115"/>
      <c r="AX219" s="115"/>
      <c r="AY219" s="115"/>
      <c r="AZ219" s="115"/>
      <c r="BA219" s="115"/>
      <c r="BB219" s="115"/>
      <c r="BC219" s="115"/>
      <c r="BD219" s="115"/>
      <c r="BE219" s="115"/>
      <c r="BF219" s="115"/>
      <c r="BG219" s="115"/>
      <c r="BH219" s="115"/>
      <c r="BI219" s="115"/>
      <c r="BJ219" s="115"/>
      <c r="BK219" s="115"/>
      <c r="BL219" s="115"/>
      <c r="BM219" s="115"/>
      <c r="BN219" s="115"/>
      <c r="BO219" s="115"/>
    </row>
    <row r="220" spans="1:67" ht="15.75" customHeight="1" thickBot="1" x14ac:dyDescent="0.4">
      <c r="A220" s="115"/>
      <c r="B220" s="1387"/>
      <c r="C220" s="1387"/>
      <c r="D220" s="115"/>
      <c r="E220" s="173"/>
      <c r="F220" s="115"/>
      <c r="G220" s="115"/>
      <c r="H220" s="115"/>
      <c r="I220" s="115"/>
      <c r="J220" s="115"/>
      <c r="K220" s="115"/>
      <c r="L220" s="115"/>
      <c r="M220" s="115"/>
      <c r="N220" s="115"/>
      <c r="O220" s="115"/>
      <c r="P220" s="115"/>
      <c r="Q220" s="115"/>
      <c r="R220" s="115"/>
      <c r="S220" s="115"/>
      <c r="T220" s="115"/>
      <c r="U220" s="115"/>
      <c r="V220" s="115"/>
      <c r="W220" s="115"/>
      <c r="X220" s="115"/>
      <c r="Y220" s="115"/>
      <c r="Z220" s="115"/>
      <c r="AA220" s="115"/>
      <c r="AB220" s="115"/>
      <c r="AC220" s="115"/>
      <c r="AD220" s="115"/>
      <c r="AE220" s="115"/>
      <c r="AF220" s="115"/>
      <c r="AG220" s="115"/>
      <c r="AH220" s="115"/>
      <c r="AI220" s="115"/>
      <c r="AJ220" s="115"/>
      <c r="AK220" s="115"/>
      <c r="AL220" s="115"/>
      <c r="AM220" s="115"/>
      <c r="AN220" s="115"/>
      <c r="AO220" s="115"/>
      <c r="AP220" s="115"/>
      <c r="AQ220" s="115"/>
      <c r="AR220" s="115"/>
      <c r="AS220" s="115"/>
      <c r="AT220" s="115"/>
      <c r="AU220" s="115"/>
      <c r="AV220" s="115"/>
      <c r="AW220" s="115"/>
      <c r="AX220" s="115"/>
      <c r="AY220" s="115"/>
      <c r="AZ220" s="115"/>
      <c r="BA220" s="115"/>
      <c r="BB220" s="115"/>
      <c r="BC220" s="115"/>
      <c r="BD220" s="115"/>
      <c r="BE220" s="115"/>
      <c r="BF220" s="115"/>
      <c r="BG220" s="115"/>
      <c r="BH220" s="115"/>
      <c r="BI220" s="115"/>
      <c r="BJ220" s="115"/>
      <c r="BK220" s="115"/>
      <c r="BL220" s="115"/>
      <c r="BM220" s="115"/>
      <c r="BN220" s="115"/>
      <c r="BO220" s="115"/>
    </row>
    <row r="221" spans="1:67" ht="15.75" customHeight="1" thickBot="1" x14ac:dyDescent="0.4">
      <c r="A221" s="115"/>
      <c r="B221" s="1387"/>
      <c r="C221" s="1387"/>
      <c r="D221" s="115"/>
      <c r="E221" s="173"/>
      <c r="F221" s="115"/>
      <c r="G221" s="115"/>
      <c r="H221" s="115"/>
      <c r="I221" s="115"/>
      <c r="J221" s="115"/>
      <c r="K221" s="115"/>
      <c r="L221" s="115"/>
      <c r="M221" s="115"/>
      <c r="N221" s="115"/>
      <c r="O221" s="115"/>
      <c r="P221" s="115"/>
      <c r="Q221" s="115"/>
      <c r="R221" s="115"/>
      <c r="S221" s="115"/>
      <c r="T221" s="115"/>
      <c r="U221" s="115"/>
      <c r="V221" s="115"/>
      <c r="W221" s="115"/>
      <c r="X221" s="115"/>
      <c r="Y221" s="115"/>
      <c r="Z221" s="115"/>
      <c r="AA221" s="115"/>
      <c r="AB221" s="115"/>
      <c r="AC221" s="115"/>
      <c r="AD221" s="115"/>
      <c r="AE221" s="115"/>
      <c r="AF221" s="115"/>
      <c r="AG221" s="115"/>
      <c r="AH221" s="115"/>
      <c r="AI221" s="115"/>
      <c r="AJ221" s="115"/>
      <c r="AK221" s="115"/>
      <c r="AL221" s="115"/>
      <c r="AM221" s="115"/>
      <c r="AN221" s="115"/>
      <c r="AO221" s="115"/>
      <c r="AP221" s="115"/>
      <c r="AQ221" s="115"/>
      <c r="AR221" s="115"/>
      <c r="AS221" s="115"/>
      <c r="AT221" s="115"/>
      <c r="AU221" s="115"/>
      <c r="AV221" s="115"/>
      <c r="AW221" s="115"/>
      <c r="AX221" s="115"/>
      <c r="AY221" s="115"/>
      <c r="AZ221" s="115"/>
      <c r="BA221" s="115"/>
      <c r="BB221" s="115"/>
      <c r="BC221" s="115"/>
      <c r="BD221" s="115"/>
      <c r="BE221" s="115"/>
      <c r="BF221" s="115"/>
      <c r="BG221" s="115"/>
      <c r="BH221" s="115"/>
      <c r="BI221" s="115"/>
      <c r="BJ221" s="115"/>
      <c r="BK221" s="115"/>
      <c r="BL221" s="115"/>
      <c r="BM221" s="115"/>
      <c r="BN221" s="115"/>
      <c r="BO221" s="115"/>
    </row>
    <row r="222" spans="1:67" ht="15.75" customHeight="1" thickBot="1" x14ac:dyDescent="0.4">
      <c r="A222" s="115"/>
      <c r="B222" s="1387"/>
      <c r="C222" s="1387"/>
      <c r="D222" s="115"/>
      <c r="E222" s="173"/>
      <c r="F222" s="115"/>
      <c r="G222" s="115"/>
      <c r="H222" s="115"/>
      <c r="I222" s="115"/>
      <c r="J222" s="115"/>
      <c r="K222" s="115"/>
      <c r="L222" s="115"/>
      <c r="M222" s="115"/>
      <c r="N222" s="115"/>
      <c r="O222" s="115"/>
      <c r="P222" s="115"/>
      <c r="Q222" s="115"/>
      <c r="R222" s="115"/>
      <c r="S222" s="115"/>
      <c r="T222" s="115"/>
      <c r="U222" s="115"/>
      <c r="V222" s="115"/>
      <c r="W222" s="115"/>
      <c r="X222" s="115"/>
      <c r="Y222" s="115"/>
      <c r="Z222" s="115"/>
      <c r="AA222" s="115"/>
      <c r="AB222" s="115"/>
      <c r="AC222" s="115"/>
      <c r="AD222" s="115"/>
      <c r="AE222" s="115"/>
      <c r="AF222" s="115"/>
      <c r="AG222" s="115"/>
      <c r="AH222" s="115"/>
      <c r="AI222" s="115"/>
      <c r="AJ222" s="115"/>
      <c r="AK222" s="115"/>
      <c r="AL222" s="115"/>
      <c r="AM222" s="115"/>
      <c r="AN222" s="115"/>
      <c r="AO222" s="115"/>
      <c r="AP222" s="115"/>
      <c r="AQ222" s="115"/>
      <c r="AR222" s="115"/>
      <c r="AS222" s="115"/>
      <c r="AT222" s="115"/>
      <c r="AU222" s="115"/>
      <c r="AV222" s="115"/>
      <c r="AW222" s="115"/>
      <c r="AX222" s="115"/>
      <c r="AY222" s="115"/>
      <c r="AZ222" s="115"/>
      <c r="BA222" s="115"/>
      <c r="BB222" s="115"/>
      <c r="BC222" s="115"/>
      <c r="BD222" s="115"/>
      <c r="BE222" s="115"/>
      <c r="BF222" s="115"/>
      <c r="BG222" s="115"/>
      <c r="BH222" s="115"/>
      <c r="BI222" s="115"/>
      <c r="BJ222" s="115"/>
      <c r="BK222" s="115"/>
      <c r="BL222" s="115"/>
      <c r="BM222" s="115"/>
      <c r="BN222" s="115"/>
      <c r="BO222" s="115"/>
    </row>
    <row r="223" spans="1:67" ht="15.75" customHeight="1" thickBot="1" x14ac:dyDescent="0.4">
      <c r="A223" s="115"/>
      <c r="B223" s="1387"/>
      <c r="C223" s="1387"/>
      <c r="D223" s="115"/>
      <c r="E223" s="173"/>
      <c r="F223" s="115"/>
      <c r="G223" s="115"/>
      <c r="H223" s="115"/>
      <c r="I223" s="115"/>
      <c r="J223" s="115"/>
      <c r="K223" s="115"/>
      <c r="L223" s="115"/>
      <c r="M223" s="115"/>
      <c r="N223" s="115"/>
      <c r="O223" s="115"/>
      <c r="P223" s="115"/>
      <c r="Q223" s="115"/>
      <c r="R223" s="115"/>
      <c r="S223" s="115"/>
      <c r="T223" s="115"/>
      <c r="U223" s="115"/>
      <c r="V223" s="115"/>
      <c r="W223" s="115"/>
      <c r="X223" s="115"/>
      <c r="Y223" s="115"/>
      <c r="Z223" s="115"/>
      <c r="AA223" s="115"/>
      <c r="AB223" s="115"/>
      <c r="AC223" s="115"/>
      <c r="AD223" s="115"/>
      <c r="AE223" s="115"/>
      <c r="AF223" s="115"/>
      <c r="AG223" s="115"/>
      <c r="AH223" s="115"/>
      <c r="AI223" s="115"/>
      <c r="AJ223" s="115"/>
      <c r="AK223" s="115"/>
      <c r="AL223" s="115"/>
      <c r="AM223" s="115"/>
      <c r="AN223" s="115"/>
      <c r="AO223" s="115"/>
      <c r="AP223" s="115"/>
      <c r="AQ223" s="115"/>
      <c r="AR223" s="115"/>
      <c r="AS223" s="115"/>
      <c r="AT223" s="115"/>
      <c r="AU223" s="115"/>
      <c r="AV223" s="115"/>
      <c r="AW223" s="115"/>
      <c r="AX223" s="115"/>
      <c r="AY223" s="115"/>
      <c r="AZ223" s="115"/>
      <c r="BA223" s="115"/>
      <c r="BB223" s="115"/>
      <c r="BC223" s="115"/>
      <c r="BD223" s="115"/>
      <c r="BE223" s="115"/>
      <c r="BF223" s="115"/>
      <c r="BG223" s="115"/>
      <c r="BH223" s="115"/>
      <c r="BI223" s="115"/>
      <c r="BJ223" s="115"/>
      <c r="BK223" s="115"/>
      <c r="BL223" s="115"/>
      <c r="BM223" s="115"/>
      <c r="BN223" s="115"/>
      <c r="BO223" s="115"/>
    </row>
    <row r="224" spans="1:67" ht="15.75" customHeight="1" thickBot="1" x14ac:dyDescent="0.4">
      <c r="A224" s="115"/>
      <c r="B224" s="1387"/>
      <c r="C224" s="1387"/>
      <c r="D224" s="115"/>
      <c r="E224" s="173"/>
      <c r="F224" s="115"/>
      <c r="G224" s="115"/>
      <c r="H224" s="115"/>
      <c r="I224" s="115"/>
      <c r="J224" s="115"/>
      <c r="K224" s="115"/>
      <c r="L224" s="115"/>
      <c r="M224" s="115"/>
      <c r="N224" s="115"/>
      <c r="O224" s="115"/>
      <c r="P224" s="115"/>
      <c r="Q224" s="115"/>
      <c r="R224" s="115"/>
      <c r="S224" s="115"/>
      <c r="T224" s="115"/>
      <c r="U224" s="115"/>
      <c r="V224" s="115"/>
      <c r="W224" s="115"/>
      <c r="X224" s="115"/>
      <c r="Y224" s="115"/>
      <c r="Z224" s="115"/>
      <c r="AA224" s="115"/>
      <c r="AB224" s="115"/>
      <c r="AC224" s="115"/>
      <c r="AD224" s="115"/>
      <c r="AE224" s="115"/>
      <c r="AF224" s="115"/>
      <c r="AG224" s="115"/>
      <c r="AH224" s="115"/>
      <c r="AI224" s="115"/>
      <c r="AJ224" s="115"/>
      <c r="AK224" s="115"/>
      <c r="AL224" s="115"/>
      <c r="AM224" s="115"/>
      <c r="AN224" s="115"/>
      <c r="AO224" s="115"/>
      <c r="AP224" s="115"/>
      <c r="AQ224" s="115"/>
      <c r="AR224" s="115"/>
      <c r="AS224" s="115"/>
      <c r="AT224" s="115"/>
      <c r="AU224" s="115"/>
      <c r="AV224" s="115"/>
      <c r="AW224" s="115"/>
      <c r="AX224" s="115"/>
      <c r="AY224" s="115"/>
      <c r="AZ224" s="115"/>
      <c r="BA224" s="115"/>
      <c r="BB224" s="115"/>
      <c r="BC224" s="115"/>
      <c r="BD224" s="115"/>
      <c r="BE224" s="115"/>
      <c r="BF224" s="115"/>
      <c r="BG224" s="115"/>
      <c r="BH224" s="115"/>
      <c r="BI224" s="115"/>
      <c r="BJ224" s="115"/>
      <c r="BK224" s="115"/>
      <c r="BL224" s="115"/>
      <c r="BM224" s="115"/>
      <c r="BN224" s="115"/>
      <c r="BO224" s="115"/>
    </row>
    <row r="225" spans="1:67" ht="15.75" customHeight="1" thickBot="1" x14ac:dyDescent="0.4">
      <c r="A225" s="115"/>
      <c r="B225" s="1387"/>
      <c r="C225" s="1387"/>
      <c r="D225" s="115"/>
      <c r="E225" s="173"/>
      <c r="F225" s="115"/>
      <c r="G225" s="115"/>
      <c r="H225" s="115"/>
      <c r="I225" s="115"/>
      <c r="J225" s="115"/>
      <c r="K225" s="115"/>
      <c r="L225" s="115"/>
      <c r="M225" s="115"/>
      <c r="N225" s="115"/>
      <c r="O225" s="115"/>
      <c r="P225" s="115"/>
      <c r="Q225" s="115"/>
      <c r="R225" s="115"/>
      <c r="S225" s="115"/>
      <c r="T225" s="115"/>
      <c r="U225" s="115"/>
      <c r="V225" s="115"/>
      <c r="W225" s="115"/>
      <c r="X225" s="115"/>
      <c r="Y225" s="115"/>
      <c r="Z225" s="115"/>
      <c r="AA225" s="115"/>
      <c r="AB225" s="115"/>
      <c r="AC225" s="115"/>
      <c r="AD225" s="115"/>
      <c r="AE225" s="115"/>
      <c r="AF225" s="115"/>
      <c r="AG225" s="115"/>
      <c r="AH225" s="115"/>
      <c r="AI225" s="115"/>
      <c r="AJ225" s="115"/>
      <c r="AK225" s="115"/>
      <c r="AL225" s="115"/>
      <c r="AM225" s="115"/>
      <c r="AN225" s="115"/>
      <c r="AO225" s="115"/>
      <c r="AP225" s="115"/>
      <c r="AQ225" s="115"/>
      <c r="AR225" s="115"/>
      <c r="AS225" s="115"/>
      <c r="AT225" s="115"/>
      <c r="AU225" s="115"/>
      <c r="AV225" s="115"/>
      <c r="AW225" s="115"/>
      <c r="AX225" s="115"/>
      <c r="AY225" s="115"/>
      <c r="AZ225" s="115"/>
      <c r="BA225" s="115"/>
      <c r="BB225" s="115"/>
      <c r="BC225" s="115"/>
      <c r="BD225" s="115"/>
      <c r="BE225" s="115"/>
      <c r="BF225" s="115"/>
      <c r="BG225" s="115"/>
      <c r="BH225" s="115"/>
      <c r="BI225" s="115"/>
      <c r="BJ225" s="115"/>
      <c r="BK225" s="115"/>
      <c r="BL225" s="115"/>
      <c r="BM225" s="115"/>
      <c r="BN225" s="115"/>
      <c r="BO225" s="115"/>
    </row>
    <row r="226" spans="1:67" ht="15.75" customHeight="1" thickBot="1" x14ac:dyDescent="0.4">
      <c r="A226" s="115"/>
      <c r="B226" s="1387"/>
      <c r="C226" s="1387"/>
      <c r="D226" s="115"/>
      <c r="E226" s="173"/>
      <c r="F226" s="115"/>
      <c r="G226" s="115"/>
      <c r="H226" s="115"/>
      <c r="I226" s="115"/>
      <c r="J226" s="115"/>
      <c r="K226" s="115"/>
      <c r="L226" s="115"/>
      <c r="M226" s="115"/>
      <c r="N226" s="115"/>
      <c r="O226" s="115"/>
      <c r="P226" s="115"/>
      <c r="Q226" s="115"/>
      <c r="R226" s="115"/>
      <c r="S226" s="115"/>
      <c r="T226" s="115"/>
      <c r="U226" s="115"/>
      <c r="V226" s="115"/>
      <c r="W226" s="115"/>
      <c r="X226" s="115"/>
      <c r="Y226" s="115"/>
      <c r="Z226" s="115"/>
      <c r="AA226" s="115"/>
      <c r="AB226" s="115"/>
      <c r="AC226" s="115"/>
      <c r="AD226" s="115"/>
      <c r="AE226" s="115"/>
      <c r="AF226" s="115"/>
      <c r="AG226" s="115"/>
      <c r="AH226" s="115"/>
      <c r="AI226" s="115"/>
      <c r="AJ226" s="115"/>
      <c r="AK226" s="115"/>
      <c r="AL226" s="115"/>
      <c r="AM226" s="115"/>
      <c r="AN226" s="115"/>
      <c r="AO226" s="115"/>
      <c r="AP226" s="115"/>
      <c r="AQ226" s="115"/>
      <c r="AR226" s="115"/>
      <c r="AS226" s="115"/>
      <c r="AT226" s="115"/>
      <c r="AU226" s="115"/>
      <c r="AV226" s="115"/>
      <c r="AW226" s="115"/>
      <c r="AX226" s="115"/>
      <c r="AY226" s="115"/>
      <c r="AZ226" s="115"/>
      <c r="BA226" s="115"/>
      <c r="BB226" s="115"/>
      <c r="BC226" s="115"/>
      <c r="BD226" s="115"/>
      <c r="BE226" s="115"/>
      <c r="BF226" s="115"/>
      <c r="BG226" s="115"/>
      <c r="BH226" s="115"/>
      <c r="BI226" s="115"/>
      <c r="BJ226" s="115"/>
      <c r="BK226" s="115"/>
      <c r="BL226" s="115"/>
      <c r="BM226" s="115"/>
      <c r="BN226" s="115"/>
      <c r="BO226" s="115"/>
    </row>
    <row r="227" spans="1:67" ht="15.75" customHeight="1" thickBot="1" x14ac:dyDescent="0.4">
      <c r="A227" s="115"/>
      <c r="B227" s="1387"/>
      <c r="C227" s="1387"/>
      <c r="D227" s="115"/>
      <c r="E227" s="173"/>
      <c r="F227" s="115"/>
      <c r="G227" s="115"/>
      <c r="H227" s="115"/>
      <c r="I227" s="115"/>
      <c r="J227" s="115"/>
      <c r="K227" s="115"/>
      <c r="L227" s="115"/>
      <c r="M227" s="115"/>
      <c r="N227" s="115"/>
      <c r="O227" s="115"/>
      <c r="P227" s="115"/>
      <c r="Q227" s="115"/>
      <c r="R227" s="115"/>
      <c r="S227" s="115"/>
      <c r="T227" s="115"/>
      <c r="U227" s="115"/>
      <c r="V227" s="115"/>
      <c r="W227" s="115"/>
      <c r="X227" s="115"/>
      <c r="Y227" s="115"/>
      <c r="Z227" s="115"/>
      <c r="AA227" s="115"/>
      <c r="AB227" s="115"/>
      <c r="AC227" s="115"/>
      <c r="AD227" s="115"/>
      <c r="AE227" s="115"/>
      <c r="AF227" s="115"/>
      <c r="AG227" s="115"/>
      <c r="AH227" s="115"/>
      <c r="AI227" s="115"/>
      <c r="AJ227" s="115"/>
      <c r="AK227" s="115"/>
      <c r="AL227" s="115"/>
      <c r="AM227" s="115"/>
      <c r="AN227" s="115"/>
      <c r="AO227" s="115"/>
      <c r="AP227" s="115"/>
      <c r="AQ227" s="115"/>
      <c r="AR227" s="115"/>
      <c r="AS227" s="115"/>
      <c r="AT227" s="115"/>
      <c r="AU227" s="115"/>
      <c r="AV227" s="115"/>
      <c r="AW227" s="115"/>
      <c r="AX227" s="115"/>
      <c r="AY227" s="115"/>
      <c r="AZ227" s="115"/>
      <c r="BA227" s="115"/>
      <c r="BB227" s="115"/>
      <c r="BC227" s="115"/>
      <c r="BD227" s="115"/>
      <c r="BE227" s="115"/>
      <c r="BF227" s="115"/>
      <c r="BG227" s="115"/>
      <c r="BH227" s="115"/>
      <c r="BI227" s="115"/>
      <c r="BJ227" s="115"/>
      <c r="BK227" s="115"/>
      <c r="BL227" s="115"/>
      <c r="BM227" s="115"/>
      <c r="BN227" s="115"/>
      <c r="BO227" s="115"/>
    </row>
    <row r="228" spans="1:67" ht="15.75" customHeight="1" thickBot="1" x14ac:dyDescent="0.4">
      <c r="A228" s="115"/>
      <c r="B228" s="1387"/>
      <c r="C228" s="1387"/>
      <c r="D228" s="115"/>
      <c r="E228" s="173"/>
      <c r="F228" s="115"/>
      <c r="G228" s="115"/>
      <c r="H228" s="115"/>
      <c r="I228" s="115"/>
      <c r="J228" s="115"/>
      <c r="K228" s="115"/>
      <c r="L228" s="115"/>
      <c r="M228" s="115"/>
      <c r="N228" s="115"/>
      <c r="O228" s="115"/>
      <c r="P228" s="115"/>
      <c r="Q228" s="115"/>
      <c r="R228" s="115"/>
      <c r="S228" s="115"/>
      <c r="T228" s="115"/>
      <c r="U228" s="115"/>
      <c r="V228" s="115"/>
      <c r="W228" s="115"/>
      <c r="X228" s="115"/>
      <c r="Y228" s="115"/>
      <c r="Z228" s="115"/>
      <c r="AA228" s="115"/>
      <c r="AB228" s="115"/>
      <c r="AC228" s="115"/>
      <c r="AD228" s="115"/>
      <c r="AE228" s="115"/>
      <c r="AF228" s="115"/>
      <c r="AG228" s="115"/>
      <c r="AH228" s="115"/>
      <c r="AI228" s="115"/>
      <c r="AJ228" s="115"/>
      <c r="AK228" s="115"/>
      <c r="AL228" s="115"/>
      <c r="AM228" s="115"/>
      <c r="AN228" s="115"/>
      <c r="AO228" s="115"/>
      <c r="AP228" s="115"/>
      <c r="AQ228" s="115"/>
      <c r="AR228" s="115"/>
      <c r="AS228" s="115"/>
      <c r="AT228" s="115"/>
      <c r="AU228" s="115"/>
      <c r="AV228" s="115"/>
      <c r="AW228" s="115"/>
      <c r="AX228" s="115"/>
      <c r="AY228" s="115"/>
      <c r="AZ228" s="115"/>
      <c r="BA228" s="115"/>
      <c r="BB228" s="115"/>
      <c r="BC228" s="115"/>
      <c r="BD228" s="115"/>
      <c r="BE228" s="115"/>
      <c r="BF228" s="115"/>
      <c r="BG228" s="115"/>
      <c r="BH228" s="115"/>
      <c r="BI228" s="115"/>
      <c r="BJ228" s="115"/>
      <c r="BK228" s="115"/>
      <c r="BL228" s="115"/>
      <c r="BM228" s="115"/>
      <c r="BN228" s="115"/>
      <c r="BO228" s="115"/>
    </row>
    <row r="229" spans="1:67" ht="15.75" customHeight="1" thickBot="1" x14ac:dyDescent="0.4">
      <c r="A229" s="115"/>
      <c r="B229" s="1387"/>
      <c r="C229" s="1387"/>
      <c r="D229" s="115"/>
      <c r="E229" s="173"/>
      <c r="F229" s="115"/>
      <c r="G229" s="115"/>
      <c r="H229" s="115"/>
      <c r="I229" s="115"/>
      <c r="J229" s="115"/>
      <c r="K229" s="115"/>
      <c r="L229" s="115"/>
      <c r="M229" s="115"/>
      <c r="N229" s="115"/>
      <c r="O229" s="115"/>
      <c r="P229" s="115"/>
      <c r="Q229" s="115"/>
      <c r="R229" s="115"/>
      <c r="S229" s="115"/>
      <c r="T229" s="115"/>
      <c r="U229" s="115"/>
      <c r="V229" s="115"/>
      <c r="W229" s="115"/>
      <c r="X229" s="115"/>
      <c r="Y229" s="115"/>
      <c r="Z229" s="115"/>
      <c r="AA229" s="115"/>
      <c r="AB229" s="115"/>
      <c r="AC229" s="115"/>
      <c r="AD229" s="115"/>
      <c r="AE229" s="115"/>
      <c r="AF229" s="115"/>
      <c r="AG229" s="115"/>
      <c r="AH229" s="115"/>
      <c r="AI229" s="115"/>
      <c r="AJ229" s="115"/>
      <c r="AK229" s="115"/>
      <c r="AL229" s="115"/>
      <c r="AM229" s="115"/>
      <c r="AN229" s="115"/>
      <c r="AO229" s="115"/>
      <c r="AP229" s="115"/>
      <c r="AQ229" s="115"/>
      <c r="AR229" s="115"/>
      <c r="AS229" s="115"/>
      <c r="AT229" s="115"/>
      <c r="AU229" s="115"/>
      <c r="AV229" s="115"/>
      <c r="AW229" s="115"/>
      <c r="AX229" s="115"/>
      <c r="AY229" s="115"/>
      <c r="AZ229" s="115"/>
      <c r="BA229" s="115"/>
      <c r="BB229" s="115"/>
      <c r="BC229" s="115"/>
      <c r="BD229" s="115"/>
      <c r="BE229" s="115"/>
      <c r="BF229" s="115"/>
      <c r="BG229" s="115"/>
      <c r="BH229" s="115"/>
      <c r="BI229" s="115"/>
      <c r="BJ229" s="115"/>
      <c r="BK229" s="115"/>
      <c r="BL229" s="115"/>
      <c r="BM229" s="115"/>
      <c r="BN229" s="115"/>
      <c r="BO229" s="115"/>
    </row>
    <row r="230" spans="1:67" ht="15.75" customHeight="1" thickBot="1" x14ac:dyDescent="0.4">
      <c r="A230" s="115"/>
      <c r="B230" s="1387"/>
      <c r="C230" s="1387"/>
      <c r="D230" s="115"/>
      <c r="E230" s="173"/>
      <c r="F230" s="115"/>
      <c r="G230" s="115"/>
      <c r="H230" s="115"/>
      <c r="I230" s="115"/>
      <c r="J230" s="115"/>
      <c r="K230" s="115"/>
      <c r="L230" s="115"/>
      <c r="M230" s="115"/>
      <c r="N230" s="115"/>
      <c r="O230" s="115"/>
      <c r="P230" s="115"/>
      <c r="Q230" s="115"/>
      <c r="R230" s="115"/>
      <c r="S230" s="115"/>
      <c r="T230" s="115"/>
      <c r="U230" s="115"/>
      <c r="V230" s="115"/>
      <c r="W230" s="115"/>
      <c r="X230" s="115"/>
      <c r="Y230" s="115"/>
      <c r="Z230" s="115"/>
      <c r="AA230" s="115"/>
      <c r="AB230" s="115"/>
      <c r="AC230" s="115"/>
      <c r="AD230" s="115"/>
      <c r="AE230" s="115"/>
      <c r="AF230" s="115"/>
      <c r="AG230" s="115"/>
      <c r="AH230" s="115"/>
      <c r="AI230" s="115"/>
      <c r="AJ230" s="115"/>
      <c r="AK230" s="115"/>
      <c r="AL230" s="115"/>
      <c r="AM230" s="115"/>
      <c r="AN230" s="115"/>
      <c r="AO230" s="115"/>
      <c r="AP230" s="115"/>
      <c r="AQ230" s="115"/>
      <c r="AR230" s="115"/>
      <c r="AS230" s="115"/>
      <c r="AT230" s="115"/>
      <c r="AU230" s="115"/>
      <c r="AV230" s="115"/>
      <c r="AW230" s="115"/>
      <c r="AX230" s="115"/>
      <c r="AY230" s="115"/>
      <c r="AZ230" s="115"/>
      <c r="BA230" s="115"/>
      <c r="BB230" s="115"/>
      <c r="BC230" s="115"/>
      <c r="BD230" s="115"/>
      <c r="BE230" s="115"/>
      <c r="BF230" s="115"/>
      <c r="BG230" s="115"/>
      <c r="BH230" s="115"/>
      <c r="BI230" s="115"/>
      <c r="BJ230" s="115"/>
      <c r="BK230" s="115"/>
      <c r="BL230" s="115"/>
      <c r="BM230" s="115"/>
      <c r="BN230" s="115"/>
      <c r="BO230" s="115"/>
    </row>
    <row r="231" spans="1:67" ht="15.75" customHeight="1" thickBot="1" x14ac:dyDescent="0.4">
      <c r="A231" s="115"/>
      <c r="B231" s="1387"/>
      <c r="C231" s="1387"/>
      <c r="D231" s="115"/>
      <c r="E231" s="173"/>
      <c r="F231" s="115"/>
      <c r="G231" s="115"/>
      <c r="H231" s="115"/>
      <c r="I231" s="115"/>
      <c r="J231" s="115"/>
      <c r="K231" s="115"/>
      <c r="L231" s="115"/>
      <c r="M231" s="115"/>
      <c r="N231" s="115"/>
      <c r="O231" s="115"/>
      <c r="P231" s="115"/>
      <c r="Q231" s="115"/>
      <c r="R231" s="115"/>
      <c r="S231" s="115"/>
      <c r="T231" s="115"/>
      <c r="U231" s="115"/>
      <c r="V231" s="115"/>
      <c r="W231" s="115"/>
      <c r="X231" s="115"/>
      <c r="Y231" s="115"/>
      <c r="Z231" s="115"/>
      <c r="AA231" s="115"/>
      <c r="AB231" s="115"/>
      <c r="AC231" s="115"/>
      <c r="AD231" s="115"/>
      <c r="AE231" s="115"/>
      <c r="AF231" s="115"/>
      <c r="AG231" s="115"/>
      <c r="AH231" s="115"/>
      <c r="AI231" s="115"/>
      <c r="AJ231" s="115"/>
      <c r="AK231" s="115"/>
      <c r="AL231" s="115"/>
      <c r="AM231" s="115"/>
      <c r="AN231" s="115"/>
      <c r="AO231" s="115"/>
      <c r="AP231" s="115"/>
      <c r="AQ231" s="115"/>
      <c r="AR231" s="115"/>
      <c r="AS231" s="115"/>
      <c r="AT231" s="115"/>
      <c r="AU231" s="115"/>
      <c r="AV231" s="115"/>
      <c r="AW231" s="115"/>
      <c r="AX231" s="115"/>
      <c r="AY231" s="115"/>
      <c r="AZ231" s="115"/>
      <c r="BA231" s="115"/>
      <c r="BB231" s="115"/>
      <c r="BC231" s="115"/>
      <c r="BD231" s="115"/>
      <c r="BE231" s="115"/>
      <c r="BF231" s="115"/>
      <c r="BG231" s="115"/>
      <c r="BH231" s="115"/>
      <c r="BI231" s="115"/>
      <c r="BJ231" s="115"/>
      <c r="BK231" s="115"/>
      <c r="BL231" s="115"/>
      <c r="BM231" s="115"/>
      <c r="BN231" s="115"/>
      <c r="BO231" s="115"/>
    </row>
    <row r="232" spans="1:67" ht="15.75" customHeight="1" thickBot="1" x14ac:dyDescent="0.4">
      <c r="A232" s="115"/>
      <c r="B232" s="1387"/>
      <c r="C232" s="1387"/>
      <c r="D232" s="115"/>
      <c r="E232" s="173"/>
      <c r="F232" s="115"/>
      <c r="G232" s="115"/>
      <c r="H232" s="115"/>
      <c r="I232" s="115"/>
      <c r="J232" s="115"/>
      <c r="K232" s="115"/>
      <c r="L232" s="115"/>
      <c r="M232" s="115"/>
      <c r="N232" s="115"/>
      <c r="O232" s="115"/>
      <c r="P232" s="115"/>
      <c r="Q232" s="115"/>
      <c r="R232" s="115"/>
      <c r="S232" s="115"/>
      <c r="T232" s="115"/>
      <c r="U232" s="115"/>
      <c r="V232" s="115"/>
      <c r="W232" s="115"/>
      <c r="X232" s="115"/>
      <c r="Y232" s="115"/>
      <c r="Z232" s="115"/>
      <c r="AA232" s="115"/>
      <c r="AB232" s="115"/>
      <c r="AC232" s="115"/>
      <c r="AD232" s="115"/>
      <c r="AE232" s="115"/>
      <c r="AF232" s="115"/>
      <c r="AG232" s="115"/>
      <c r="AH232" s="115"/>
      <c r="AI232" s="115"/>
      <c r="AJ232" s="115"/>
      <c r="AK232" s="115"/>
      <c r="AL232" s="115"/>
      <c r="AM232" s="115"/>
      <c r="AN232" s="115"/>
      <c r="AO232" s="115"/>
      <c r="AP232" s="115"/>
      <c r="AQ232" s="115"/>
      <c r="AR232" s="115"/>
      <c r="AS232" s="115"/>
      <c r="AT232" s="115"/>
      <c r="AU232" s="115"/>
      <c r="AV232" s="115"/>
      <c r="AW232" s="115"/>
      <c r="AX232" s="115"/>
      <c r="AY232" s="115"/>
      <c r="AZ232" s="115"/>
      <c r="BA232" s="115"/>
      <c r="BB232" s="115"/>
      <c r="BC232" s="115"/>
      <c r="BD232" s="115"/>
      <c r="BE232" s="115"/>
      <c r="BF232" s="115"/>
      <c r="BG232" s="115"/>
      <c r="BH232" s="115"/>
      <c r="BI232" s="115"/>
      <c r="BJ232" s="115"/>
      <c r="BK232" s="115"/>
      <c r="BL232" s="115"/>
      <c r="BM232" s="115"/>
      <c r="BN232" s="115"/>
      <c r="BO232" s="115"/>
    </row>
    <row r="233" spans="1:67" ht="15.75" customHeight="1" thickBot="1" x14ac:dyDescent="0.4">
      <c r="A233" s="115"/>
      <c r="B233" s="1387"/>
      <c r="C233" s="1387"/>
      <c r="D233" s="115"/>
      <c r="E233" s="173"/>
      <c r="F233" s="115"/>
      <c r="G233" s="115"/>
      <c r="H233" s="115"/>
      <c r="I233" s="115"/>
      <c r="J233" s="115"/>
      <c r="K233" s="115"/>
      <c r="L233" s="115"/>
      <c r="M233" s="115"/>
      <c r="N233" s="115"/>
      <c r="O233" s="115"/>
      <c r="P233" s="115"/>
      <c r="Q233" s="115"/>
      <c r="R233" s="115"/>
      <c r="S233" s="115"/>
      <c r="T233" s="115"/>
      <c r="U233" s="115"/>
      <c r="V233" s="115"/>
      <c r="W233" s="115"/>
      <c r="X233" s="115"/>
      <c r="Y233" s="115"/>
      <c r="Z233" s="115"/>
      <c r="AA233" s="115"/>
      <c r="AB233" s="115"/>
      <c r="AC233" s="115"/>
      <c r="AD233" s="115"/>
      <c r="AE233" s="115"/>
      <c r="AF233" s="115"/>
      <c r="AG233" s="115"/>
      <c r="AH233" s="115"/>
      <c r="AI233" s="115"/>
      <c r="AJ233" s="115"/>
      <c r="AK233" s="115"/>
      <c r="AL233" s="115"/>
      <c r="AM233" s="115"/>
      <c r="AN233" s="115"/>
      <c r="AO233" s="115"/>
      <c r="AP233" s="115"/>
      <c r="AQ233" s="115"/>
      <c r="AR233" s="115"/>
      <c r="AS233" s="115"/>
      <c r="AT233" s="115"/>
      <c r="AU233" s="115"/>
      <c r="AV233" s="115"/>
      <c r="AW233" s="115"/>
      <c r="AX233" s="115"/>
      <c r="AY233" s="115"/>
      <c r="AZ233" s="115"/>
      <c r="BA233" s="115"/>
      <c r="BB233" s="115"/>
      <c r="BC233" s="115"/>
      <c r="BD233" s="115"/>
      <c r="BE233" s="115"/>
      <c r="BF233" s="115"/>
      <c r="BG233" s="115"/>
      <c r="BH233" s="115"/>
      <c r="BI233" s="115"/>
      <c r="BJ233" s="115"/>
      <c r="BK233" s="115"/>
      <c r="BL233" s="115"/>
      <c r="BM233" s="115"/>
      <c r="BN233" s="115"/>
      <c r="BO233" s="115"/>
    </row>
    <row r="234" spans="1:67" ht="15.75" customHeight="1" thickBot="1" x14ac:dyDescent="0.4">
      <c r="A234" s="115"/>
      <c r="B234" s="1387"/>
      <c r="C234" s="1387"/>
      <c r="D234" s="115"/>
      <c r="E234" s="173"/>
      <c r="F234" s="115"/>
      <c r="G234" s="115"/>
      <c r="H234" s="115"/>
      <c r="I234" s="115"/>
      <c r="J234" s="115"/>
      <c r="K234" s="115"/>
      <c r="L234" s="115"/>
      <c r="M234" s="115"/>
      <c r="N234" s="115"/>
      <c r="O234" s="115"/>
      <c r="P234" s="115"/>
      <c r="Q234" s="115"/>
      <c r="R234" s="115"/>
      <c r="S234" s="115"/>
      <c r="T234" s="115"/>
      <c r="U234" s="115"/>
      <c r="V234" s="115"/>
      <c r="W234" s="115"/>
      <c r="X234" s="115"/>
      <c r="Y234" s="115"/>
      <c r="Z234" s="115"/>
      <c r="AA234" s="115"/>
      <c r="AB234" s="115"/>
      <c r="AC234" s="115"/>
      <c r="AD234" s="115"/>
      <c r="AE234" s="115"/>
      <c r="AF234" s="115"/>
      <c r="AG234" s="115"/>
      <c r="AH234" s="115"/>
      <c r="AI234" s="115"/>
      <c r="AJ234" s="115"/>
      <c r="AK234" s="115"/>
      <c r="AL234" s="115"/>
      <c r="AM234" s="115"/>
      <c r="AN234" s="115"/>
      <c r="AO234" s="115"/>
      <c r="AP234" s="115"/>
      <c r="AQ234" s="115"/>
      <c r="AR234" s="115"/>
      <c r="AS234" s="115"/>
      <c r="AT234" s="115"/>
      <c r="AU234" s="115"/>
      <c r="AV234" s="115"/>
      <c r="AW234" s="115"/>
      <c r="AX234" s="115"/>
      <c r="AY234" s="115"/>
      <c r="AZ234" s="115"/>
      <c r="BA234" s="115"/>
      <c r="BB234" s="115"/>
      <c r="BC234" s="115"/>
      <c r="BD234" s="115"/>
      <c r="BE234" s="115"/>
      <c r="BF234" s="115"/>
      <c r="BG234" s="115"/>
      <c r="BH234" s="115"/>
      <c r="BI234" s="115"/>
      <c r="BJ234" s="115"/>
      <c r="BK234" s="115"/>
      <c r="BL234" s="115"/>
      <c r="BM234" s="115"/>
      <c r="BN234" s="115"/>
      <c r="BO234" s="115"/>
    </row>
    <row r="235" spans="1:67" ht="15.75" customHeight="1" thickBot="1" x14ac:dyDescent="0.4">
      <c r="A235" s="115"/>
      <c r="B235" s="1387"/>
      <c r="C235" s="1387"/>
      <c r="D235" s="115"/>
      <c r="E235" s="173"/>
      <c r="F235" s="115"/>
      <c r="G235" s="115"/>
      <c r="H235" s="115"/>
      <c r="I235" s="115"/>
      <c r="J235" s="115"/>
      <c r="K235" s="115"/>
      <c r="L235" s="115"/>
      <c r="M235" s="115"/>
      <c r="N235" s="115"/>
      <c r="O235" s="115"/>
      <c r="P235" s="115"/>
      <c r="Q235" s="115"/>
      <c r="R235" s="115"/>
      <c r="S235" s="115"/>
      <c r="T235" s="115"/>
      <c r="U235" s="115"/>
      <c r="V235" s="115"/>
      <c r="W235" s="115"/>
      <c r="X235" s="115"/>
      <c r="Y235" s="115"/>
      <c r="Z235" s="115"/>
      <c r="AA235" s="115"/>
      <c r="AB235" s="115"/>
      <c r="AC235" s="115"/>
      <c r="AD235" s="115"/>
      <c r="AE235" s="115"/>
      <c r="AF235" s="115"/>
      <c r="AG235" s="115"/>
      <c r="AH235" s="115"/>
      <c r="AI235" s="115"/>
      <c r="AJ235" s="115"/>
      <c r="AK235" s="115"/>
      <c r="AL235" s="115"/>
      <c r="AM235" s="115"/>
      <c r="AN235" s="115"/>
      <c r="AO235" s="115"/>
      <c r="AP235" s="115"/>
      <c r="AQ235" s="115"/>
      <c r="AR235" s="115"/>
      <c r="AS235" s="115"/>
      <c r="AT235" s="115"/>
      <c r="AU235" s="115"/>
      <c r="AV235" s="115"/>
      <c r="AW235" s="115"/>
      <c r="AX235" s="115"/>
      <c r="AY235" s="115"/>
      <c r="AZ235" s="115"/>
      <c r="BA235" s="115"/>
      <c r="BB235" s="115"/>
      <c r="BC235" s="115"/>
      <c r="BD235" s="115"/>
      <c r="BE235" s="115"/>
      <c r="BF235" s="115"/>
      <c r="BG235" s="115"/>
      <c r="BH235" s="115"/>
      <c r="BI235" s="115"/>
      <c r="BJ235" s="115"/>
      <c r="BK235" s="115"/>
      <c r="BL235" s="115"/>
      <c r="BM235" s="115"/>
      <c r="BN235" s="115"/>
      <c r="BO235" s="115"/>
    </row>
    <row r="236" spans="1:67" ht="15.75" customHeight="1" thickBot="1" x14ac:dyDescent="0.4">
      <c r="A236" s="115"/>
      <c r="B236" s="1387"/>
      <c r="C236" s="1387"/>
      <c r="D236" s="115"/>
      <c r="E236" s="173"/>
      <c r="F236" s="115"/>
      <c r="G236" s="115"/>
      <c r="H236" s="115"/>
      <c r="I236" s="115"/>
      <c r="J236" s="115"/>
      <c r="K236" s="115"/>
      <c r="L236" s="115"/>
      <c r="M236" s="115"/>
      <c r="N236" s="115"/>
      <c r="O236" s="115"/>
      <c r="P236" s="115"/>
      <c r="Q236" s="115"/>
      <c r="R236" s="115"/>
      <c r="S236" s="115"/>
      <c r="T236" s="115"/>
      <c r="U236" s="115"/>
      <c r="V236" s="115"/>
      <c r="W236" s="115"/>
      <c r="X236" s="115"/>
      <c r="Y236" s="115"/>
      <c r="Z236" s="115"/>
      <c r="AA236" s="115"/>
      <c r="AB236" s="115"/>
      <c r="AC236" s="115"/>
      <c r="AD236" s="115"/>
      <c r="AE236" s="115"/>
      <c r="AF236" s="115"/>
      <c r="AG236" s="115"/>
      <c r="AH236" s="115"/>
      <c r="AI236" s="115"/>
      <c r="AJ236" s="115"/>
      <c r="AK236" s="115"/>
      <c r="AL236" s="115"/>
      <c r="AM236" s="115"/>
      <c r="AN236" s="115"/>
      <c r="AO236" s="115"/>
      <c r="AP236" s="115"/>
      <c r="AQ236" s="115"/>
      <c r="AR236" s="115"/>
      <c r="AS236" s="115"/>
      <c r="AT236" s="115"/>
      <c r="AU236" s="115"/>
      <c r="AV236" s="115"/>
      <c r="AW236" s="115"/>
      <c r="AX236" s="115"/>
      <c r="AY236" s="115"/>
      <c r="AZ236" s="115"/>
      <c r="BA236" s="115"/>
      <c r="BB236" s="115"/>
      <c r="BC236" s="115"/>
      <c r="BD236" s="115"/>
      <c r="BE236" s="115"/>
      <c r="BF236" s="115"/>
      <c r="BG236" s="115"/>
      <c r="BH236" s="115"/>
      <c r="BI236" s="115"/>
      <c r="BJ236" s="115"/>
      <c r="BK236" s="115"/>
      <c r="BL236" s="115"/>
      <c r="BM236" s="115"/>
      <c r="BN236" s="115"/>
      <c r="BO236" s="115"/>
    </row>
    <row r="237" spans="1:67" ht="15.75" customHeight="1" thickBot="1" x14ac:dyDescent="0.4">
      <c r="A237" s="115"/>
      <c r="B237" s="1387"/>
      <c r="C237" s="1387"/>
      <c r="D237" s="115"/>
      <c r="E237" s="173"/>
      <c r="F237" s="115"/>
      <c r="G237" s="115"/>
      <c r="H237" s="115"/>
      <c r="I237" s="115"/>
      <c r="J237" s="115"/>
      <c r="K237" s="115"/>
      <c r="L237" s="115"/>
      <c r="M237" s="115"/>
      <c r="N237" s="115"/>
      <c r="O237" s="115"/>
      <c r="P237" s="115"/>
      <c r="Q237" s="115"/>
      <c r="R237" s="115"/>
      <c r="S237" s="115"/>
      <c r="T237" s="115"/>
      <c r="U237" s="115"/>
      <c r="V237" s="115"/>
      <c r="W237" s="115"/>
      <c r="X237" s="115"/>
      <c r="Y237" s="115"/>
      <c r="Z237" s="115"/>
      <c r="AA237" s="115"/>
      <c r="AB237" s="115"/>
      <c r="AC237" s="115"/>
      <c r="AD237" s="115"/>
      <c r="AE237" s="115"/>
      <c r="AF237" s="115"/>
      <c r="AG237" s="115"/>
      <c r="AH237" s="115"/>
      <c r="AI237" s="115"/>
      <c r="AJ237" s="115"/>
      <c r="AK237" s="115"/>
      <c r="AL237" s="115"/>
      <c r="AM237" s="115"/>
      <c r="AN237" s="115"/>
      <c r="AO237" s="115"/>
      <c r="AP237" s="115"/>
      <c r="AQ237" s="115"/>
      <c r="AR237" s="115"/>
      <c r="AS237" s="115"/>
      <c r="AT237" s="115"/>
      <c r="AU237" s="115"/>
      <c r="AV237" s="115"/>
      <c r="AW237" s="115"/>
      <c r="AX237" s="115"/>
      <c r="AY237" s="115"/>
      <c r="AZ237" s="115"/>
      <c r="BA237" s="115"/>
      <c r="BB237" s="115"/>
      <c r="BC237" s="115"/>
      <c r="BD237" s="115"/>
      <c r="BE237" s="115"/>
      <c r="BF237" s="115"/>
      <c r="BG237" s="115"/>
      <c r="BH237" s="115"/>
      <c r="BI237" s="115"/>
      <c r="BJ237" s="115"/>
      <c r="BK237" s="115"/>
      <c r="BL237" s="115"/>
      <c r="BM237" s="115"/>
      <c r="BN237" s="115"/>
      <c r="BO237" s="115"/>
    </row>
    <row r="238" spans="1:67" ht="15.75" customHeight="1" thickBot="1" x14ac:dyDescent="0.4">
      <c r="A238" s="115"/>
      <c r="B238" s="1387"/>
      <c r="C238" s="1387"/>
      <c r="D238" s="115"/>
      <c r="E238" s="173"/>
      <c r="F238" s="115"/>
      <c r="G238" s="115"/>
      <c r="H238" s="115"/>
      <c r="I238" s="115"/>
      <c r="J238" s="115"/>
      <c r="K238" s="115"/>
      <c r="L238" s="115"/>
      <c r="M238" s="115"/>
      <c r="N238" s="115"/>
      <c r="O238" s="115"/>
      <c r="P238" s="115"/>
      <c r="Q238" s="115"/>
      <c r="R238" s="115"/>
      <c r="S238" s="115"/>
      <c r="T238" s="115"/>
      <c r="U238" s="115"/>
      <c r="V238" s="115"/>
      <c r="W238" s="115"/>
      <c r="X238" s="115"/>
      <c r="Y238" s="115"/>
      <c r="Z238" s="115"/>
      <c r="AA238" s="115"/>
      <c r="AB238" s="115"/>
      <c r="AC238" s="115"/>
      <c r="AD238" s="115"/>
      <c r="AE238" s="115"/>
      <c r="AF238" s="115"/>
      <c r="AG238" s="115"/>
      <c r="AH238" s="115"/>
      <c r="AI238" s="115"/>
      <c r="AJ238" s="115"/>
      <c r="AK238" s="115"/>
      <c r="AL238" s="115"/>
      <c r="AM238" s="115"/>
      <c r="AN238" s="115"/>
      <c r="AO238" s="115"/>
      <c r="AP238" s="115"/>
      <c r="AQ238" s="115"/>
      <c r="AR238" s="115"/>
      <c r="AS238" s="115"/>
      <c r="AT238" s="115"/>
      <c r="AU238" s="115"/>
      <c r="AV238" s="115"/>
      <c r="AW238" s="115"/>
      <c r="AX238" s="115"/>
      <c r="AY238" s="115"/>
      <c r="AZ238" s="115"/>
      <c r="BA238" s="115"/>
      <c r="BB238" s="115"/>
      <c r="BC238" s="115"/>
      <c r="BD238" s="115"/>
      <c r="BE238" s="115"/>
      <c r="BF238" s="115"/>
      <c r="BG238" s="115"/>
      <c r="BH238" s="115"/>
      <c r="BI238" s="115"/>
      <c r="BJ238" s="115"/>
      <c r="BK238" s="115"/>
      <c r="BL238" s="115"/>
      <c r="BM238" s="115"/>
      <c r="BN238" s="115"/>
      <c r="BO238" s="115"/>
    </row>
    <row r="239" spans="1:67" ht="15.75" customHeight="1" thickBot="1" x14ac:dyDescent="0.4">
      <c r="A239" s="115"/>
      <c r="B239" s="1387"/>
      <c r="C239" s="1387"/>
      <c r="D239" s="115"/>
      <c r="E239" s="173"/>
      <c r="F239" s="115"/>
      <c r="G239" s="115"/>
      <c r="H239" s="115"/>
      <c r="I239" s="115"/>
      <c r="J239" s="115"/>
      <c r="K239" s="115"/>
      <c r="L239" s="115"/>
      <c r="M239" s="115"/>
      <c r="N239" s="115"/>
      <c r="O239" s="115"/>
      <c r="P239" s="115"/>
      <c r="Q239" s="115"/>
      <c r="R239" s="115"/>
      <c r="S239" s="115"/>
      <c r="T239" s="115"/>
      <c r="U239" s="115"/>
      <c r="V239" s="115"/>
      <c r="W239" s="115"/>
      <c r="X239" s="115"/>
      <c r="Y239" s="115"/>
      <c r="Z239" s="115"/>
      <c r="AA239" s="115"/>
      <c r="AB239" s="115"/>
      <c r="AC239" s="115"/>
      <c r="AD239" s="115"/>
      <c r="AE239" s="115"/>
      <c r="AF239" s="115"/>
      <c r="AG239" s="115"/>
      <c r="AH239" s="115"/>
      <c r="AI239" s="115"/>
      <c r="AJ239" s="115"/>
      <c r="AK239" s="115"/>
      <c r="AL239" s="115"/>
      <c r="AM239" s="115"/>
      <c r="AN239" s="115"/>
      <c r="AO239" s="115"/>
      <c r="AP239" s="115"/>
      <c r="AQ239" s="115"/>
      <c r="AR239" s="115"/>
      <c r="AS239" s="115"/>
      <c r="AT239" s="115"/>
      <c r="AU239" s="115"/>
      <c r="AV239" s="115"/>
      <c r="AW239" s="115"/>
      <c r="AX239" s="115"/>
      <c r="AY239" s="115"/>
      <c r="AZ239" s="115"/>
      <c r="BA239" s="115"/>
      <c r="BB239" s="115"/>
      <c r="BC239" s="115"/>
      <c r="BD239" s="115"/>
      <c r="BE239" s="115"/>
      <c r="BF239" s="115"/>
      <c r="BG239" s="115"/>
      <c r="BH239" s="115"/>
      <c r="BI239" s="115"/>
      <c r="BJ239" s="115"/>
      <c r="BK239" s="115"/>
      <c r="BL239" s="115"/>
      <c r="BM239" s="115"/>
      <c r="BN239" s="115"/>
      <c r="BO239" s="115"/>
    </row>
    <row r="240" spans="1:67" ht="15.75" customHeight="1" thickBot="1" x14ac:dyDescent="0.4">
      <c r="A240" s="115"/>
      <c r="B240" s="1387"/>
      <c r="C240" s="1387"/>
      <c r="D240" s="115"/>
      <c r="E240" s="173"/>
      <c r="F240" s="115"/>
      <c r="G240" s="115"/>
      <c r="H240" s="115"/>
      <c r="I240" s="115"/>
      <c r="J240" s="115"/>
      <c r="K240" s="115"/>
      <c r="L240" s="115"/>
      <c r="M240" s="115"/>
      <c r="N240" s="115"/>
      <c r="O240" s="115"/>
      <c r="P240" s="115"/>
      <c r="Q240" s="115"/>
      <c r="R240" s="115"/>
      <c r="S240" s="115"/>
      <c r="T240" s="115"/>
      <c r="U240" s="115"/>
      <c r="V240" s="115"/>
      <c r="W240" s="115"/>
      <c r="X240" s="115"/>
      <c r="Y240" s="115"/>
      <c r="Z240" s="115"/>
      <c r="AA240" s="115"/>
      <c r="AB240" s="115"/>
      <c r="AC240" s="115"/>
      <c r="AD240" s="115"/>
      <c r="AE240" s="115"/>
      <c r="AF240" s="115"/>
      <c r="AG240" s="115"/>
      <c r="AH240" s="115"/>
      <c r="AI240" s="115"/>
      <c r="AJ240" s="115"/>
      <c r="AK240" s="115"/>
      <c r="AL240" s="115"/>
      <c r="AM240" s="115"/>
      <c r="AN240" s="115"/>
      <c r="AO240" s="115"/>
      <c r="AP240" s="115"/>
      <c r="AQ240" s="115"/>
      <c r="AR240" s="115"/>
      <c r="AS240" s="115"/>
      <c r="AT240" s="115"/>
      <c r="AU240" s="115"/>
      <c r="AV240" s="115"/>
      <c r="AW240" s="115"/>
      <c r="AX240" s="115"/>
      <c r="AY240" s="115"/>
      <c r="AZ240" s="115"/>
      <c r="BA240" s="115"/>
      <c r="BB240" s="115"/>
      <c r="BC240" s="115"/>
      <c r="BD240" s="115"/>
      <c r="BE240" s="115"/>
      <c r="BF240" s="115"/>
      <c r="BG240" s="115"/>
      <c r="BH240" s="115"/>
      <c r="BI240" s="115"/>
      <c r="BJ240" s="115"/>
      <c r="BK240" s="115"/>
      <c r="BL240" s="115"/>
      <c r="BM240" s="115"/>
      <c r="BN240" s="115"/>
      <c r="BO240" s="115"/>
    </row>
    <row r="241" spans="1:67" ht="15.75" customHeight="1" thickBot="1" x14ac:dyDescent="0.4">
      <c r="A241" s="115"/>
      <c r="B241" s="1387"/>
      <c r="C241" s="1387"/>
      <c r="D241" s="115"/>
      <c r="E241" s="173"/>
      <c r="F241" s="115"/>
      <c r="G241" s="115"/>
      <c r="H241" s="115"/>
      <c r="I241" s="115"/>
      <c r="J241" s="115"/>
      <c r="K241" s="115"/>
      <c r="L241" s="115"/>
      <c r="M241" s="115"/>
      <c r="N241" s="115"/>
      <c r="O241" s="115"/>
      <c r="P241" s="115"/>
      <c r="Q241" s="115"/>
      <c r="R241" s="115"/>
      <c r="S241" s="115"/>
      <c r="T241" s="115"/>
      <c r="U241" s="115"/>
      <c r="V241" s="115"/>
      <c r="W241" s="115"/>
      <c r="X241" s="115"/>
      <c r="Y241" s="115"/>
      <c r="Z241" s="115"/>
      <c r="AA241" s="115"/>
      <c r="AB241" s="115"/>
      <c r="AC241" s="115"/>
      <c r="AD241" s="115"/>
      <c r="AE241" s="115"/>
      <c r="AF241" s="115"/>
      <c r="AG241" s="115"/>
      <c r="AH241" s="115"/>
      <c r="AI241" s="115"/>
      <c r="AJ241" s="115"/>
      <c r="AK241" s="115"/>
      <c r="AL241" s="115"/>
      <c r="AM241" s="115"/>
      <c r="AN241" s="115"/>
      <c r="AO241" s="115"/>
      <c r="AP241" s="115"/>
      <c r="AQ241" s="115"/>
      <c r="AR241" s="115"/>
      <c r="AS241" s="115"/>
      <c r="AT241" s="115"/>
      <c r="AU241" s="115"/>
      <c r="AV241" s="115"/>
      <c r="AW241" s="115"/>
      <c r="AX241" s="115"/>
      <c r="AY241" s="115"/>
      <c r="AZ241" s="115"/>
      <c r="BA241" s="115"/>
      <c r="BB241" s="115"/>
      <c r="BC241" s="115"/>
      <c r="BD241" s="115"/>
      <c r="BE241" s="115"/>
      <c r="BF241" s="115"/>
      <c r="BG241" s="115"/>
      <c r="BH241" s="115"/>
      <c r="BI241" s="115"/>
      <c r="BJ241" s="115"/>
      <c r="BK241" s="115"/>
      <c r="BL241" s="115"/>
      <c r="BM241" s="115"/>
      <c r="BN241" s="115"/>
      <c r="BO241" s="115"/>
    </row>
    <row r="242" spans="1:67" ht="15.75" customHeight="1" thickBot="1" x14ac:dyDescent="0.4">
      <c r="A242" s="115"/>
      <c r="B242" s="1387"/>
      <c r="C242" s="1387"/>
      <c r="D242" s="115"/>
      <c r="E242" s="173"/>
      <c r="F242" s="115"/>
      <c r="G242" s="115"/>
      <c r="H242" s="115"/>
      <c r="I242" s="115"/>
      <c r="J242" s="115"/>
      <c r="K242" s="115"/>
      <c r="L242" s="115"/>
      <c r="M242" s="115"/>
      <c r="N242" s="115"/>
      <c r="O242" s="115"/>
      <c r="P242" s="115"/>
      <c r="Q242" s="115"/>
      <c r="R242" s="115"/>
      <c r="S242" s="115"/>
      <c r="T242" s="115"/>
      <c r="U242" s="115"/>
      <c r="V242" s="115"/>
      <c r="W242" s="115"/>
      <c r="X242" s="115"/>
      <c r="Y242" s="115"/>
      <c r="Z242" s="115"/>
      <c r="AA242" s="115"/>
      <c r="AB242" s="115"/>
      <c r="AC242" s="115"/>
      <c r="AD242" s="115"/>
      <c r="AE242" s="115"/>
      <c r="AF242" s="115"/>
      <c r="AG242" s="115"/>
      <c r="AH242" s="115"/>
      <c r="AI242" s="115"/>
      <c r="AJ242" s="115"/>
      <c r="AK242" s="115"/>
      <c r="AL242" s="115"/>
      <c r="AM242" s="115"/>
      <c r="AN242" s="115"/>
      <c r="AO242" s="115"/>
      <c r="AP242" s="115"/>
      <c r="AQ242" s="115"/>
      <c r="AR242" s="115"/>
      <c r="AS242" s="115"/>
      <c r="AT242" s="115"/>
      <c r="AU242" s="115"/>
      <c r="AV242" s="115"/>
      <c r="AW242" s="115"/>
      <c r="AX242" s="115"/>
      <c r="AY242" s="115"/>
      <c r="AZ242" s="115"/>
      <c r="BA242" s="115"/>
      <c r="BB242" s="115"/>
      <c r="BC242" s="115"/>
      <c r="BD242" s="115"/>
      <c r="BE242" s="115"/>
      <c r="BF242" s="115"/>
      <c r="BG242" s="115"/>
      <c r="BH242" s="115"/>
      <c r="BI242" s="115"/>
      <c r="BJ242" s="115"/>
      <c r="BK242" s="115"/>
      <c r="BL242" s="115"/>
      <c r="BM242" s="115"/>
      <c r="BN242" s="115"/>
      <c r="BO242" s="115"/>
    </row>
    <row r="243" spans="1:67" ht="15.75" customHeight="1" thickBot="1" x14ac:dyDescent="0.4">
      <c r="A243" s="115"/>
      <c r="B243" s="1387"/>
      <c r="C243" s="1387"/>
      <c r="D243" s="115"/>
      <c r="E243" s="173"/>
      <c r="F243" s="115"/>
      <c r="G243" s="115"/>
      <c r="H243" s="115"/>
      <c r="I243" s="115"/>
      <c r="J243" s="115"/>
      <c r="K243" s="115"/>
      <c r="L243" s="115"/>
      <c r="M243" s="115"/>
      <c r="N243" s="115"/>
      <c r="O243" s="115"/>
      <c r="P243" s="115"/>
      <c r="Q243" s="115"/>
      <c r="R243" s="115"/>
      <c r="S243" s="115"/>
      <c r="T243" s="115"/>
      <c r="U243" s="115"/>
      <c r="V243" s="115"/>
      <c r="W243" s="115"/>
      <c r="X243" s="115"/>
      <c r="Y243" s="115"/>
      <c r="Z243" s="115"/>
      <c r="AA243" s="115"/>
      <c r="AB243" s="115"/>
      <c r="AC243" s="115"/>
      <c r="AD243" s="115"/>
      <c r="AE243" s="115"/>
      <c r="AF243" s="115"/>
      <c r="AG243" s="115"/>
      <c r="AH243" s="115"/>
      <c r="AI243" s="115"/>
      <c r="AJ243" s="115"/>
      <c r="AK243" s="115"/>
      <c r="AL243" s="115"/>
      <c r="AM243" s="115"/>
      <c r="AN243" s="115"/>
      <c r="AO243" s="115"/>
      <c r="AP243" s="115"/>
      <c r="AQ243" s="115"/>
      <c r="AR243" s="115"/>
      <c r="AS243" s="115"/>
      <c r="AT243" s="115"/>
      <c r="AU243" s="115"/>
      <c r="AV243" s="115"/>
      <c r="AW243" s="115"/>
      <c r="AX243" s="115"/>
      <c r="AY243" s="115"/>
      <c r="AZ243" s="115"/>
      <c r="BA243" s="115"/>
      <c r="BB243" s="115"/>
      <c r="BC243" s="115"/>
      <c r="BD243" s="115"/>
      <c r="BE243" s="115"/>
      <c r="BF243" s="115"/>
      <c r="BG243" s="115"/>
      <c r="BH243" s="115"/>
      <c r="BI243" s="115"/>
      <c r="BJ243" s="115"/>
      <c r="BK243" s="115"/>
      <c r="BL243" s="115"/>
      <c r="BM243" s="115"/>
      <c r="BN243" s="115"/>
      <c r="BO243" s="115"/>
    </row>
    <row r="244" spans="1:67" ht="15.75" customHeight="1" thickBot="1" x14ac:dyDescent="0.4">
      <c r="A244" s="115"/>
      <c r="B244" s="1387"/>
      <c r="C244" s="1387"/>
      <c r="D244" s="115"/>
      <c r="E244" s="173"/>
      <c r="F244" s="115"/>
      <c r="G244" s="115"/>
      <c r="H244" s="115"/>
      <c r="I244" s="115"/>
      <c r="J244" s="115"/>
      <c r="K244" s="115"/>
      <c r="L244" s="115"/>
      <c r="M244" s="115"/>
      <c r="N244" s="115"/>
      <c r="O244" s="115"/>
      <c r="P244" s="115"/>
      <c r="Q244" s="115"/>
      <c r="R244" s="115"/>
      <c r="S244" s="115"/>
      <c r="T244" s="115"/>
      <c r="U244" s="115"/>
      <c r="V244" s="115"/>
      <c r="W244" s="115"/>
      <c r="X244" s="115"/>
      <c r="Y244" s="115"/>
      <c r="Z244" s="115"/>
      <c r="AA244" s="115"/>
      <c r="AB244" s="115"/>
      <c r="AC244" s="115"/>
      <c r="AD244" s="115"/>
      <c r="AE244" s="115"/>
      <c r="AF244" s="115"/>
      <c r="AG244" s="115"/>
      <c r="AH244" s="115"/>
      <c r="AI244" s="115"/>
      <c r="AJ244" s="115"/>
      <c r="AK244" s="115"/>
      <c r="AL244" s="115"/>
      <c r="AM244" s="115"/>
      <c r="AN244" s="115"/>
      <c r="AO244" s="115"/>
      <c r="AP244" s="115"/>
      <c r="AQ244" s="115"/>
      <c r="AR244" s="115"/>
      <c r="AS244" s="115"/>
      <c r="AT244" s="115"/>
      <c r="AU244" s="115"/>
      <c r="AV244" s="115"/>
      <c r="AW244" s="115"/>
      <c r="AX244" s="115"/>
      <c r="AY244" s="115"/>
      <c r="AZ244" s="115"/>
      <c r="BA244" s="115"/>
      <c r="BB244" s="115"/>
      <c r="BC244" s="115"/>
      <c r="BD244" s="115"/>
      <c r="BE244" s="115"/>
      <c r="BF244" s="115"/>
      <c r="BG244" s="115"/>
      <c r="BH244" s="115"/>
      <c r="BI244" s="115"/>
      <c r="BJ244" s="115"/>
      <c r="BK244" s="115"/>
      <c r="BL244" s="115"/>
      <c r="BM244" s="115"/>
      <c r="BN244" s="115"/>
      <c r="BO244" s="115"/>
    </row>
    <row r="245" spans="1:67" ht="15.75" customHeight="1" thickBot="1" x14ac:dyDescent="0.4">
      <c r="A245" s="115"/>
      <c r="B245" s="1387"/>
      <c r="C245" s="1387"/>
      <c r="D245" s="115"/>
      <c r="E245" s="173"/>
      <c r="F245" s="115"/>
      <c r="G245" s="115"/>
      <c r="H245" s="115"/>
      <c r="I245" s="115"/>
      <c r="J245" s="115"/>
      <c r="K245" s="115"/>
      <c r="L245" s="115"/>
      <c r="M245" s="115"/>
      <c r="N245" s="115"/>
      <c r="O245" s="115"/>
      <c r="P245" s="115"/>
      <c r="Q245" s="115"/>
      <c r="R245" s="115"/>
      <c r="S245" s="115"/>
      <c r="T245" s="115"/>
      <c r="U245" s="115"/>
      <c r="V245" s="115"/>
      <c r="W245" s="115"/>
      <c r="X245" s="115"/>
      <c r="Y245" s="115"/>
      <c r="Z245" s="115"/>
      <c r="AA245" s="115"/>
      <c r="AB245" s="115"/>
      <c r="AC245" s="115"/>
      <c r="AD245" s="115"/>
      <c r="AE245" s="115"/>
      <c r="AF245" s="115"/>
      <c r="AG245" s="115"/>
      <c r="AH245" s="115"/>
      <c r="AI245" s="115"/>
      <c r="AJ245" s="115"/>
      <c r="AK245" s="115"/>
      <c r="AL245" s="115"/>
      <c r="AM245" s="115"/>
      <c r="AN245" s="115"/>
      <c r="AO245" s="115"/>
      <c r="AP245" s="115"/>
      <c r="AQ245" s="115"/>
      <c r="AR245" s="115"/>
      <c r="AS245" s="115"/>
      <c r="AT245" s="115"/>
      <c r="AU245" s="115"/>
      <c r="AV245" s="115"/>
      <c r="AW245" s="115"/>
      <c r="AX245" s="115"/>
      <c r="AY245" s="115"/>
      <c r="AZ245" s="115"/>
      <c r="BA245" s="115"/>
      <c r="BB245" s="115"/>
      <c r="BC245" s="115"/>
      <c r="BD245" s="115"/>
      <c r="BE245" s="115"/>
      <c r="BF245" s="115"/>
      <c r="BG245" s="115"/>
      <c r="BH245" s="115"/>
      <c r="BI245" s="115"/>
      <c r="BJ245" s="115"/>
      <c r="BK245" s="115"/>
      <c r="BL245" s="115"/>
      <c r="BM245" s="115"/>
      <c r="BN245" s="115"/>
      <c r="BO245" s="115"/>
    </row>
    <row r="246" spans="1:67" ht="15.75" customHeight="1" thickBot="1" x14ac:dyDescent="0.4">
      <c r="A246" s="115"/>
      <c r="B246" s="1387"/>
      <c r="C246" s="1387"/>
      <c r="D246" s="115"/>
      <c r="E246" s="173"/>
      <c r="F246" s="115"/>
      <c r="G246" s="115"/>
      <c r="H246" s="115"/>
      <c r="I246" s="115"/>
      <c r="J246" s="115"/>
      <c r="K246" s="115"/>
      <c r="L246" s="115"/>
      <c r="M246" s="115"/>
      <c r="N246" s="115"/>
      <c r="O246" s="115"/>
      <c r="P246" s="115"/>
      <c r="Q246" s="115"/>
      <c r="R246" s="115"/>
      <c r="S246" s="115"/>
      <c r="T246" s="115"/>
      <c r="U246" s="115"/>
      <c r="V246" s="115"/>
      <c r="W246" s="115"/>
      <c r="X246" s="115"/>
      <c r="Y246" s="115"/>
      <c r="Z246" s="115"/>
      <c r="AA246" s="115"/>
      <c r="AB246" s="115"/>
      <c r="AC246" s="115"/>
      <c r="AD246" s="115"/>
      <c r="AE246" s="115"/>
      <c r="AF246" s="115"/>
      <c r="AG246" s="115"/>
      <c r="AH246" s="115"/>
      <c r="AI246" s="115"/>
      <c r="AJ246" s="115"/>
      <c r="AK246" s="115"/>
      <c r="AL246" s="115"/>
      <c r="AM246" s="115"/>
      <c r="AN246" s="115"/>
      <c r="AO246" s="115"/>
      <c r="AP246" s="115"/>
      <c r="AQ246" s="115"/>
      <c r="AR246" s="115"/>
      <c r="AS246" s="115"/>
      <c r="AT246" s="115"/>
      <c r="AU246" s="115"/>
      <c r="AV246" s="115"/>
      <c r="AW246" s="115"/>
      <c r="AX246" s="115"/>
      <c r="AY246" s="115"/>
      <c r="AZ246" s="115"/>
      <c r="BA246" s="115"/>
      <c r="BB246" s="115"/>
      <c r="BC246" s="115"/>
      <c r="BD246" s="115"/>
      <c r="BE246" s="115"/>
      <c r="BF246" s="115"/>
      <c r="BG246" s="115"/>
      <c r="BH246" s="115"/>
      <c r="BI246" s="115"/>
      <c r="BJ246" s="115"/>
      <c r="BK246" s="115"/>
      <c r="BL246" s="115"/>
      <c r="BM246" s="115"/>
      <c r="BN246" s="115"/>
      <c r="BO246" s="115"/>
    </row>
    <row r="247" spans="1:67" ht="15.75" customHeight="1" thickBot="1" x14ac:dyDescent="0.4">
      <c r="A247" s="115"/>
      <c r="B247" s="1387"/>
      <c r="C247" s="1387"/>
      <c r="D247" s="115"/>
      <c r="E247" s="173"/>
      <c r="F247" s="115"/>
      <c r="G247" s="115"/>
      <c r="H247" s="115"/>
      <c r="I247" s="115"/>
      <c r="J247" s="115"/>
      <c r="K247" s="115"/>
      <c r="L247" s="115"/>
      <c r="M247" s="115"/>
      <c r="N247" s="115"/>
      <c r="O247" s="115"/>
      <c r="P247" s="115"/>
      <c r="Q247" s="115"/>
      <c r="R247" s="115"/>
      <c r="S247" s="115"/>
      <c r="T247" s="115"/>
      <c r="U247" s="115"/>
      <c r="V247" s="115"/>
      <c r="W247" s="115"/>
      <c r="X247" s="115"/>
      <c r="Y247" s="115"/>
      <c r="Z247" s="115"/>
      <c r="AA247" s="115"/>
      <c r="AB247" s="115"/>
      <c r="AC247" s="115"/>
      <c r="AD247" s="115"/>
      <c r="AE247" s="115"/>
      <c r="AF247" s="115"/>
      <c r="AG247" s="115"/>
      <c r="AH247" s="115"/>
      <c r="AI247" s="115"/>
      <c r="AJ247" s="115"/>
      <c r="AK247" s="115"/>
      <c r="AL247" s="115"/>
      <c r="AM247" s="115"/>
      <c r="AN247" s="115"/>
      <c r="AO247" s="115"/>
      <c r="AP247" s="115"/>
      <c r="AQ247" s="115"/>
      <c r="AR247" s="115"/>
      <c r="AS247" s="115"/>
      <c r="AT247" s="115"/>
      <c r="AU247" s="115"/>
      <c r="AV247" s="115"/>
      <c r="AW247" s="115"/>
      <c r="AX247" s="115"/>
      <c r="AY247" s="115"/>
      <c r="AZ247" s="115"/>
      <c r="BA247" s="115"/>
      <c r="BB247" s="115"/>
      <c r="BC247" s="115"/>
      <c r="BD247" s="115"/>
      <c r="BE247" s="115"/>
      <c r="BF247" s="115"/>
      <c r="BG247" s="115"/>
      <c r="BH247" s="115"/>
      <c r="BI247" s="115"/>
      <c r="BJ247" s="115"/>
      <c r="BK247" s="115"/>
      <c r="BL247" s="115"/>
      <c r="BM247" s="115"/>
      <c r="BN247" s="115"/>
      <c r="BO247" s="115"/>
    </row>
    <row r="248" spans="1:67" ht="15.75" customHeight="1" thickBot="1" x14ac:dyDescent="0.4">
      <c r="A248" s="115"/>
      <c r="B248" s="1387"/>
      <c r="C248" s="1387"/>
      <c r="D248" s="115"/>
      <c r="E248" s="173"/>
      <c r="F248" s="115"/>
      <c r="G248" s="115"/>
      <c r="H248" s="115"/>
      <c r="I248" s="115"/>
      <c r="J248" s="115"/>
      <c r="K248" s="115"/>
      <c r="L248" s="115"/>
      <c r="M248" s="115"/>
      <c r="N248" s="115"/>
      <c r="O248" s="115"/>
      <c r="P248" s="115"/>
      <c r="Q248" s="115"/>
      <c r="R248" s="115"/>
      <c r="S248" s="115"/>
      <c r="T248" s="115"/>
      <c r="U248" s="115"/>
      <c r="V248" s="115"/>
      <c r="W248" s="115"/>
      <c r="X248" s="115"/>
      <c r="Y248" s="115"/>
      <c r="Z248" s="115"/>
      <c r="AA248" s="115"/>
      <c r="AB248" s="115"/>
      <c r="AC248" s="115"/>
      <c r="AD248" s="115"/>
      <c r="AE248" s="115"/>
      <c r="AF248" s="115"/>
      <c r="AG248" s="115"/>
      <c r="AH248" s="115"/>
      <c r="AI248" s="115"/>
      <c r="AJ248" s="115"/>
      <c r="AK248" s="115"/>
      <c r="AL248" s="115"/>
      <c r="AM248" s="115"/>
      <c r="AN248" s="115"/>
      <c r="AO248" s="115"/>
      <c r="AP248" s="115"/>
      <c r="AQ248" s="115"/>
      <c r="AR248" s="115"/>
      <c r="AS248" s="115"/>
      <c r="AT248" s="115"/>
      <c r="AU248" s="115"/>
      <c r="AV248" s="115"/>
      <c r="AW248" s="115"/>
      <c r="AX248" s="115"/>
      <c r="AY248" s="115"/>
      <c r="AZ248" s="115"/>
      <c r="BA248" s="115"/>
      <c r="BB248" s="115"/>
      <c r="BC248" s="115"/>
      <c r="BD248" s="115"/>
      <c r="BE248" s="115"/>
      <c r="BF248" s="115"/>
      <c r="BG248" s="115"/>
      <c r="BH248" s="115"/>
      <c r="BI248" s="115"/>
      <c r="BJ248" s="115"/>
      <c r="BK248" s="115"/>
      <c r="BL248" s="115"/>
      <c r="BM248" s="115"/>
      <c r="BN248" s="115"/>
      <c r="BO248" s="115"/>
    </row>
    <row r="249" spans="1:67" ht="15.75" customHeight="1" thickBot="1" x14ac:dyDescent="0.4">
      <c r="A249" s="115"/>
      <c r="B249" s="1387"/>
      <c r="C249" s="1387"/>
      <c r="D249" s="115"/>
      <c r="E249" s="173"/>
      <c r="F249" s="115"/>
      <c r="G249" s="115"/>
      <c r="H249" s="115"/>
      <c r="I249" s="115"/>
      <c r="J249" s="115"/>
      <c r="K249" s="115"/>
      <c r="L249" s="115"/>
      <c r="M249" s="115"/>
      <c r="N249" s="115"/>
      <c r="O249" s="115"/>
      <c r="P249" s="115"/>
      <c r="Q249" s="115"/>
      <c r="R249" s="115"/>
      <c r="S249" s="115"/>
      <c r="T249" s="115"/>
      <c r="U249" s="115"/>
      <c r="V249" s="115"/>
      <c r="W249" s="115"/>
      <c r="X249" s="115"/>
      <c r="Y249" s="115"/>
      <c r="Z249" s="115"/>
      <c r="AA249" s="115"/>
      <c r="AB249" s="115"/>
      <c r="AC249" s="115"/>
      <c r="AD249" s="115"/>
      <c r="AE249" s="115"/>
      <c r="AF249" s="115"/>
      <c r="AG249" s="115"/>
      <c r="AH249" s="115"/>
      <c r="AI249" s="115"/>
      <c r="AJ249" s="115"/>
      <c r="AK249" s="115"/>
      <c r="AL249" s="115"/>
      <c r="AM249" s="115"/>
      <c r="AN249" s="115"/>
      <c r="AO249" s="115"/>
      <c r="AP249" s="115"/>
      <c r="AQ249" s="115"/>
      <c r="AR249" s="115"/>
      <c r="AS249" s="115"/>
      <c r="AT249" s="115"/>
      <c r="AU249" s="115"/>
      <c r="AV249" s="115"/>
      <c r="AW249" s="115"/>
      <c r="AX249" s="115"/>
      <c r="AY249" s="115"/>
      <c r="AZ249" s="115"/>
      <c r="BA249" s="115"/>
      <c r="BB249" s="115"/>
      <c r="BC249" s="115"/>
      <c r="BD249" s="115"/>
      <c r="BE249" s="115"/>
      <c r="BF249" s="115"/>
      <c r="BG249" s="115"/>
      <c r="BH249" s="115"/>
      <c r="BI249" s="115"/>
      <c r="BJ249" s="115"/>
      <c r="BK249" s="115"/>
      <c r="BL249" s="115"/>
      <c r="BM249" s="115"/>
      <c r="BN249" s="115"/>
      <c r="BO249" s="115"/>
    </row>
    <row r="250" spans="1:67" ht="15.75" customHeight="1" thickBot="1" x14ac:dyDescent="0.4">
      <c r="A250" s="115"/>
      <c r="B250" s="1387"/>
      <c r="C250" s="1387"/>
      <c r="D250" s="115"/>
      <c r="E250" s="173"/>
      <c r="F250" s="115"/>
      <c r="G250" s="115"/>
      <c r="H250" s="115"/>
      <c r="I250" s="115"/>
      <c r="J250" s="115"/>
      <c r="K250" s="115"/>
      <c r="L250" s="115"/>
      <c r="M250" s="115"/>
      <c r="N250" s="115"/>
      <c r="O250" s="115"/>
      <c r="P250" s="115"/>
      <c r="Q250" s="115"/>
      <c r="R250" s="115"/>
      <c r="S250" s="115"/>
      <c r="T250" s="115"/>
      <c r="U250" s="115"/>
      <c r="V250" s="115"/>
      <c r="W250" s="115"/>
      <c r="X250" s="115"/>
      <c r="Y250" s="115"/>
      <c r="Z250" s="115"/>
      <c r="AA250" s="115"/>
      <c r="AB250" s="115"/>
      <c r="AC250" s="115"/>
      <c r="AD250" s="115"/>
      <c r="AE250" s="115"/>
      <c r="AF250" s="115"/>
      <c r="AG250" s="115"/>
      <c r="AH250" s="115"/>
      <c r="AI250" s="115"/>
      <c r="AJ250" s="115"/>
      <c r="AK250" s="115"/>
      <c r="AL250" s="115"/>
      <c r="AM250" s="115"/>
      <c r="AN250" s="115"/>
      <c r="AO250" s="115"/>
      <c r="AP250" s="115"/>
      <c r="AQ250" s="115"/>
      <c r="AR250" s="115"/>
      <c r="AS250" s="115"/>
      <c r="AT250" s="115"/>
      <c r="AU250" s="115"/>
      <c r="AV250" s="115"/>
      <c r="AW250" s="115"/>
      <c r="AX250" s="115"/>
      <c r="AY250" s="115"/>
      <c r="AZ250" s="115"/>
      <c r="BA250" s="115"/>
      <c r="BB250" s="115"/>
      <c r="BC250" s="115"/>
      <c r="BD250" s="115"/>
      <c r="BE250" s="115"/>
      <c r="BF250" s="115"/>
      <c r="BG250" s="115"/>
      <c r="BH250" s="115"/>
      <c r="BI250" s="115"/>
      <c r="BJ250" s="115"/>
      <c r="BK250" s="115"/>
      <c r="BL250" s="115"/>
      <c r="BM250" s="115"/>
      <c r="BN250" s="115"/>
      <c r="BO250" s="115"/>
    </row>
    <row r="251" spans="1:67" ht="15.75" customHeight="1" thickBot="1" x14ac:dyDescent="0.4">
      <c r="A251" s="115"/>
      <c r="B251" s="1387"/>
      <c r="C251" s="1387"/>
      <c r="D251" s="115"/>
      <c r="E251" s="173"/>
      <c r="F251" s="115"/>
      <c r="G251" s="115"/>
      <c r="H251" s="115"/>
      <c r="I251" s="115"/>
      <c r="J251" s="115"/>
      <c r="K251" s="115"/>
      <c r="L251" s="115"/>
      <c r="M251" s="115"/>
      <c r="N251" s="115"/>
      <c r="O251" s="115"/>
      <c r="P251" s="115"/>
      <c r="Q251" s="115"/>
      <c r="R251" s="115"/>
      <c r="S251" s="115"/>
      <c r="T251" s="115"/>
      <c r="U251" s="115"/>
      <c r="V251" s="115"/>
      <c r="W251" s="115"/>
      <c r="X251" s="115"/>
      <c r="Y251" s="115"/>
      <c r="Z251" s="115"/>
      <c r="AA251" s="115"/>
      <c r="AB251" s="115"/>
      <c r="AC251" s="115"/>
      <c r="AD251" s="115"/>
      <c r="AE251" s="115"/>
      <c r="AF251" s="115"/>
      <c r="AG251" s="115"/>
      <c r="AH251" s="115"/>
      <c r="AI251" s="115"/>
      <c r="AJ251" s="115"/>
      <c r="AK251" s="115"/>
      <c r="AL251" s="115"/>
      <c r="AM251" s="115"/>
      <c r="AN251" s="115"/>
      <c r="AO251" s="115"/>
      <c r="AP251" s="115"/>
      <c r="AQ251" s="115"/>
      <c r="AR251" s="115"/>
      <c r="AS251" s="115"/>
      <c r="AT251" s="115"/>
      <c r="AU251" s="115"/>
      <c r="AV251" s="115"/>
      <c r="AW251" s="115"/>
      <c r="AX251" s="115"/>
      <c r="AY251" s="115"/>
      <c r="AZ251" s="115"/>
      <c r="BA251" s="115"/>
      <c r="BB251" s="115"/>
      <c r="BC251" s="115"/>
      <c r="BD251" s="115"/>
      <c r="BE251" s="115"/>
      <c r="BF251" s="115"/>
      <c r="BG251" s="115"/>
      <c r="BH251" s="115"/>
      <c r="BI251" s="115"/>
      <c r="BJ251" s="115"/>
      <c r="BK251" s="115"/>
      <c r="BL251" s="115"/>
      <c r="BM251" s="115"/>
      <c r="BN251" s="115"/>
      <c r="BO251" s="115"/>
    </row>
    <row r="252" spans="1:67" ht="15.75" customHeight="1" thickBot="1" x14ac:dyDescent="0.4">
      <c r="A252" s="115"/>
      <c r="B252" s="1387"/>
      <c r="C252" s="1387"/>
      <c r="D252" s="115"/>
      <c r="E252" s="173"/>
      <c r="F252" s="115"/>
      <c r="G252" s="115"/>
      <c r="H252" s="115"/>
      <c r="I252" s="115"/>
      <c r="J252" s="115"/>
      <c r="K252" s="115"/>
      <c r="L252" s="115"/>
      <c r="M252" s="115"/>
      <c r="N252" s="115"/>
      <c r="O252" s="115"/>
      <c r="P252" s="115"/>
      <c r="Q252" s="115"/>
      <c r="R252" s="115"/>
      <c r="S252" s="115"/>
      <c r="T252" s="115"/>
      <c r="U252" s="115"/>
      <c r="V252" s="115"/>
      <c r="W252" s="115"/>
      <c r="X252" s="115"/>
      <c r="Y252" s="115"/>
      <c r="Z252" s="115"/>
      <c r="AA252" s="115"/>
      <c r="AB252" s="115"/>
      <c r="AC252" s="115"/>
      <c r="AD252" s="115"/>
      <c r="AE252" s="115"/>
      <c r="AF252" s="115"/>
      <c r="AG252" s="115"/>
      <c r="AH252" s="115"/>
      <c r="AI252" s="115"/>
      <c r="AJ252" s="115"/>
      <c r="AK252" s="115"/>
      <c r="AL252" s="115"/>
      <c r="AM252" s="115"/>
      <c r="AN252" s="115"/>
      <c r="AO252" s="115"/>
      <c r="AP252" s="115"/>
      <c r="AQ252" s="115"/>
      <c r="AR252" s="115"/>
      <c r="AS252" s="115"/>
      <c r="AT252" s="115"/>
      <c r="AU252" s="115"/>
      <c r="AV252" s="115"/>
      <c r="AW252" s="115"/>
      <c r="AX252" s="115"/>
      <c r="AY252" s="115"/>
      <c r="AZ252" s="115"/>
      <c r="BA252" s="115"/>
      <c r="BB252" s="115"/>
      <c r="BC252" s="115"/>
      <c r="BD252" s="115"/>
      <c r="BE252" s="115"/>
      <c r="BF252" s="115"/>
      <c r="BG252" s="115"/>
      <c r="BH252" s="115"/>
      <c r="BI252" s="115"/>
      <c r="BJ252" s="115"/>
      <c r="BK252" s="115"/>
      <c r="BL252" s="115"/>
      <c r="BM252" s="115"/>
      <c r="BN252" s="115"/>
      <c r="BO252" s="115"/>
    </row>
    <row r="253" spans="1:67" ht="15.75" customHeight="1" thickBot="1" x14ac:dyDescent="0.4">
      <c r="A253" s="115"/>
      <c r="B253" s="1387"/>
      <c r="C253" s="1387"/>
      <c r="D253" s="115"/>
      <c r="E253" s="173"/>
      <c r="F253" s="115"/>
      <c r="G253" s="115"/>
      <c r="H253" s="115"/>
      <c r="I253" s="115"/>
      <c r="J253" s="115"/>
      <c r="K253" s="115"/>
      <c r="L253" s="115"/>
      <c r="M253" s="115"/>
      <c r="N253" s="115"/>
      <c r="O253" s="115"/>
      <c r="P253" s="115"/>
      <c r="Q253" s="115"/>
      <c r="R253" s="115"/>
      <c r="S253" s="115"/>
      <c r="T253" s="115"/>
      <c r="U253" s="115"/>
      <c r="V253" s="115"/>
      <c r="W253" s="115"/>
      <c r="X253" s="115"/>
      <c r="Y253" s="115"/>
      <c r="Z253" s="115"/>
      <c r="AA253" s="115"/>
      <c r="AB253" s="115"/>
      <c r="AC253" s="115"/>
      <c r="AD253" s="115"/>
      <c r="AE253" s="115"/>
      <c r="AF253" s="115"/>
      <c r="AG253" s="115"/>
      <c r="AH253" s="115"/>
      <c r="AI253" s="115"/>
      <c r="AJ253" s="115"/>
      <c r="AK253" s="115"/>
      <c r="AL253" s="115"/>
      <c r="AM253" s="115"/>
      <c r="AN253" s="115"/>
      <c r="AO253" s="115"/>
      <c r="AP253" s="115"/>
      <c r="AQ253" s="115"/>
      <c r="AR253" s="115"/>
      <c r="AS253" s="115"/>
      <c r="AT253" s="115"/>
      <c r="AU253" s="115"/>
      <c r="AV253" s="115"/>
      <c r="AW253" s="115"/>
      <c r="AX253" s="115"/>
      <c r="AY253" s="115"/>
      <c r="AZ253" s="115"/>
      <c r="BA253" s="115"/>
      <c r="BB253" s="115"/>
      <c r="BC253" s="115"/>
      <c r="BD253" s="115"/>
      <c r="BE253" s="115"/>
      <c r="BF253" s="115"/>
      <c r="BG253" s="115"/>
      <c r="BH253" s="115"/>
      <c r="BI253" s="115"/>
      <c r="BJ253" s="115"/>
      <c r="BK253" s="115"/>
      <c r="BL253" s="115"/>
      <c r="BM253" s="115"/>
      <c r="BN253" s="115"/>
      <c r="BO253" s="115"/>
    </row>
    <row r="254" spans="1:67" ht="15.75" customHeight="1" thickBot="1" x14ac:dyDescent="0.4">
      <c r="A254" s="115"/>
      <c r="B254" s="1387"/>
      <c r="C254" s="1387"/>
      <c r="D254" s="115"/>
      <c r="E254" s="173"/>
      <c r="F254" s="115"/>
      <c r="G254" s="115"/>
      <c r="H254" s="115"/>
      <c r="I254" s="115"/>
      <c r="J254" s="115"/>
      <c r="K254" s="115"/>
      <c r="L254" s="115"/>
      <c r="M254" s="115"/>
      <c r="N254" s="115"/>
      <c r="O254" s="115"/>
      <c r="P254" s="115"/>
      <c r="Q254" s="115"/>
      <c r="R254" s="115"/>
      <c r="S254" s="115"/>
      <c r="T254" s="115"/>
      <c r="U254" s="115"/>
      <c r="V254" s="115"/>
      <c r="W254" s="115"/>
      <c r="X254" s="115"/>
      <c r="Y254" s="115"/>
      <c r="Z254" s="115"/>
      <c r="AA254" s="115"/>
      <c r="AB254" s="115"/>
      <c r="AC254" s="115"/>
      <c r="AD254" s="115"/>
      <c r="AE254" s="115"/>
      <c r="AF254" s="115"/>
      <c r="AG254" s="115"/>
      <c r="AH254" s="115"/>
      <c r="AI254" s="115"/>
      <c r="AJ254" s="115"/>
      <c r="AK254" s="115"/>
      <c r="AL254" s="115"/>
      <c r="AM254" s="115"/>
      <c r="AN254" s="115"/>
      <c r="AO254" s="115"/>
      <c r="AP254" s="115"/>
      <c r="AQ254" s="115"/>
      <c r="AR254" s="115"/>
      <c r="AS254" s="115"/>
      <c r="AT254" s="115"/>
      <c r="AU254" s="115"/>
      <c r="AV254" s="115"/>
      <c r="AW254" s="115"/>
      <c r="AX254" s="115"/>
      <c r="AY254" s="115"/>
      <c r="AZ254" s="115"/>
      <c r="BA254" s="115"/>
      <c r="BB254" s="115"/>
      <c r="BC254" s="115"/>
      <c r="BD254" s="115"/>
      <c r="BE254" s="115"/>
      <c r="BF254" s="115"/>
      <c r="BG254" s="115"/>
      <c r="BH254" s="115"/>
      <c r="BI254" s="115"/>
      <c r="BJ254" s="115"/>
      <c r="BK254" s="115"/>
      <c r="BL254" s="115"/>
      <c r="BM254" s="115"/>
      <c r="BN254" s="115"/>
      <c r="BO254" s="115"/>
    </row>
    <row r="255" spans="1:67" ht="15.75" customHeight="1" thickBot="1" x14ac:dyDescent="0.4">
      <c r="A255" s="115"/>
      <c r="B255" s="1387"/>
      <c r="C255" s="1387"/>
      <c r="D255" s="115"/>
      <c r="E255" s="173"/>
      <c r="F255" s="115"/>
      <c r="G255" s="115"/>
      <c r="H255" s="115"/>
      <c r="I255" s="115"/>
      <c r="J255" s="115"/>
      <c r="K255" s="115"/>
      <c r="L255" s="115"/>
      <c r="M255" s="115"/>
      <c r="N255" s="115"/>
      <c r="O255" s="115"/>
      <c r="P255" s="115"/>
      <c r="Q255" s="115"/>
      <c r="R255" s="115"/>
      <c r="S255" s="115"/>
      <c r="T255" s="115"/>
      <c r="U255" s="115"/>
      <c r="V255" s="115"/>
      <c r="W255" s="115"/>
      <c r="X255" s="115"/>
      <c r="Y255" s="115"/>
      <c r="Z255" s="115"/>
      <c r="AA255" s="115"/>
      <c r="AB255" s="115"/>
      <c r="AC255" s="115"/>
      <c r="AD255" s="115"/>
      <c r="AE255" s="115"/>
      <c r="AF255" s="115"/>
      <c r="AG255" s="115"/>
      <c r="AH255" s="115"/>
      <c r="AI255" s="115"/>
      <c r="AJ255" s="115"/>
      <c r="AK255" s="115"/>
      <c r="AL255" s="115"/>
      <c r="AM255" s="115"/>
      <c r="AN255" s="115"/>
      <c r="AO255" s="115"/>
      <c r="AP255" s="115"/>
      <c r="AQ255" s="115"/>
      <c r="AR255" s="115"/>
      <c r="AS255" s="115"/>
      <c r="AT255" s="115"/>
      <c r="AU255" s="115"/>
      <c r="AV255" s="115"/>
      <c r="AW255" s="115"/>
      <c r="AX255" s="115"/>
      <c r="AY255" s="115"/>
      <c r="AZ255" s="115"/>
      <c r="BA255" s="115"/>
      <c r="BB255" s="115"/>
      <c r="BC255" s="115"/>
      <c r="BD255" s="115"/>
      <c r="BE255" s="115"/>
      <c r="BF255" s="115"/>
      <c r="BG255" s="115"/>
      <c r="BH255" s="115"/>
      <c r="BI255" s="115"/>
      <c r="BJ255" s="115"/>
      <c r="BK255" s="115"/>
      <c r="BL255" s="115"/>
      <c r="BM255" s="115"/>
      <c r="BN255" s="115"/>
      <c r="BO255" s="115"/>
    </row>
    <row r="256" spans="1:67" ht="15.75" customHeight="1" thickBot="1" x14ac:dyDescent="0.4">
      <c r="A256" s="115"/>
      <c r="B256" s="1387"/>
      <c r="C256" s="1387"/>
      <c r="D256" s="115"/>
      <c r="E256" s="173"/>
      <c r="F256" s="115"/>
      <c r="G256" s="115"/>
      <c r="H256" s="115"/>
      <c r="I256" s="115"/>
      <c r="J256" s="115"/>
      <c r="K256" s="115"/>
      <c r="L256" s="115"/>
      <c r="M256" s="115"/>
      <c r="N256" s="115"/>
      <c r="O256" s="115"/>
      <c r="P256" s="115"/>
      <c r="Q256" s="115"/>
      <c r="R256" s="115"/>
      <c r="S256" s="115"/>
      <c r="T256" s="115"/>
      <c r="U256" s="115"/>
      <c r="V256" s="115"/>
      <c r="W256" s="115"/>
      <c r="X256" s="115"/>
      <c r="Y256" s="115"/>
      <c r="Z256" s="115"/>
      <c r="AA256" s="115"/>
      <c r="AB256" s="115"/>
      <c r="AC256" s="115"/>
      <c r="AD256" s="115"/>
      <c r="AE256" s="115"/>
      <c r="AF256" s="115"/>
      <c r="AG256" s="115"/>
      <c r="AH256" s="115"/>
      <c r="AI256" s="115"/>
      <c r="AJ256" s="115"/>
      <c r="AK256" s="115"/>
      <c r="AL256" s="115"/>
      <c r="AM256" s="115"/>
      <c r="AN256" s="115"/>
      <c r="AO256" s="115"/>
      <c r="AP256" s="115"/>
      <c r="AQ256" s="115"/>
      <c r="AR256" s="115"/>
      <c r="AS256" s="115"/>
      <c r="AT256" s="115"/>
      <c r="AU256" s="115"/>
      <c r="AV256" s="115"/>
      <c r="AW256" s="115"/>
      <c r="AX256" s="115"/>
      <c r="AY256" s="115"/>
      <c r="AZ256" s="115"/>
      <c r="BA256" s="115"/>
      <c r="BB256" s="115"/>
      <c r="BC256" s="115"/>
      <c r="BD256" s="115"/>
      <c r="BE256" s="115"/>
      <c r="BF256" s="115"/>
      <c r="BG256" s="115"/>
      <c r="BH256" s="115"/>
      <c r="BI256" s="115"/>
      <c r="BJ256" s="115"/>
      <c r="BK256" s="115"/>
      <c r="BL256" s="115"/>
      <c r="BM256" s="115"/>
      <c r="BN256" s="115"/>
      <c r="BO256" s="115"/>
    </row>
    <row r="257" spans="1:67" ht="15.75" customHeight="1" thickBot="1" x14ac:dyDescent="0.4">
      <c r="A257" s="115"/>
      <c r="B257" s="1387"/>
      <c r="C257" s="1387"/>
      <c r="D257" s="115"/>
      <c r="E257" s="173"/>
      <c r="F257" s="115"/>
      <c r="G257" s="115"/>
      <c r="H257" s="115"/>
      <c r="I257" s="115"/>
      <c r="J257" s="115"/>
      <c r="K257" s="115"/>
      <c r="L257" s="115"/>
      <c r="M257" s="115"/>
      <c r="N257" s="115"/>
      <c r="O257" s="115"/>
      <c r="P257" s="115"/>
      <c r="Q257" s="115"/>
      <c r="R257" s="115"/>
      <c r="S257" s="115"/>
      <c r="T257" s="115"/>
      <c r="U257" s="115"/>
      <c r="V257" s="115"/>
      <c r="W257" s="115"/>
      <c r="X257" s="115"/>
      <c r="Y257" s="115"/>
      <c r="Z257" s="115"/>
      <c r="AA257" s="115"/>
      <c r="AB257" s="115"/>
      <c r="AC257" s="115"/>
      <c r="AD257" s="115"/>
      <c r="AE257" s="115"/>
      <c r="AF257" s="115"/>
      <c r="AG257" s="115"/>
      <c r="AH257" s="115"/>
      <c r="AI257" s="115"/>
      <c r="AJ257" s="115"/>
      <c r="AK257" s="115"/>
      <c r="AL257" s="115"/>
      <c r="AM257" s="115"/>
      <c r="AN257" s="115"/>
      <c r="AO257" s="115"/>
      <c r="AP257" s="115"/>
      <c r="AQ257" s="115"/>
      <c r="AR257" s="115"/>
      <c r="AS257" s="115"/>
      <c r="AT257" s="115"/>
      <c r="AU257" s="115"/>
      <c r="AV257" s="115"/>
      <c r="AW257" s="115"/>
      <c r="AX257" s="115"/>
      <c r="AY257" s="115"/>
      <c r="AZ257" s="115"/>
      <c r="BA257" s="115"/>
      <c r="BB257" s="115"/>
      <c r="BC257" s="115"/>
      <c r="BD257" s="115"/>
      <c r="BE257" s="115"/>
      <c r="BF257" s="115"/>
      <c r="BG257" s="115"/>
      <c r="BH257" s="115"/>
      <c r="BI257" s="115"/>
      <c r="BJ257" s="115"/>
      <c r="BK257" s="115"/>
      <c r="BL257" s="115"/>
      <c r="BM257" s="115"/>
      <c r="BN257" s="115"/>
      <c r="BO257" s="115"/>
    </row>
    <row r="258" spans="1:67" ht="15.75" customHeight="1" thickBot="1" x14ac:dyDescent="0.4">
      <c r="A258" s="115"/>
      <c r="B258" s="1387"/>
      <c r="C258" s="1387"/>
      <c r="D258" s="115"/>
      <c r="E258" s="173"/>
      <c r="F258" s="115"/>
      <c r="G258" s="115"/>
      <c r="H258" s="115"/>
      <c r="I258" s="115"/>
      <c r="J258" s="115"/>
      <c r="K258" s="115"/>
      <c r="L258" s="115"/>
      <c r="M258" s="115"/>
      <c r="N258" s="115"/>
      <c r="O258" s="115"/>
      <c r="P258" s="115"/>
      <c r="Q258" s="115"/>
      <c r="R258" s="115"/>
      <c r="S258" s="115"/>
      <c r="T258" s="115"/>
      <c r="U258" s="115"/>
      <c r="V258" s="115"/>
      <c r="W258" s="115"/>
      <c r="X258" s="115"/>
      <c r="Y258" s="115"/>
      <c r="Z258" s="115"/>
      <c r="AA258" s="115"/>
      <c r="AB258" s="115"/>
      <c r="AC258" s="115"/>
      <c r="AD258" s="115"/>
      <c r="AE258" s="115"/>
      <c r="AF258" s="115"/>
      <c r="AG258" s="115"/>
      <c r="AH258" s="115"/>
      <c r="AI258" s="115"/>
      <c r="AJ258" s="115"/>
      <c r="AK258" s="115"/>
      <c r="AL258" s="115"/>
      <c r="AM258" s="115"/>
      <c r="AN258" s="115"/>
      <c r="AO258" s="115"/>
      <c r="AP258" s="115"/>
      <c r="AQ258" s="115"/>
      <c r="AR258" s="115"/>
      <c r="AS258" s="115"/>
      <c r="AT258" s="115"/>
      <c r="AU258" s="115"/>
      <c r="AV258" s="115"/>
      <c r="AW258" s="115"/>
      <c r="AX258" s="115"/>
      <c r="AY258" s="115"/>
      <c r="AZ258" s="115"/>
      <c r="BA258" s="115"/>
      <c r="BB258" s="115"/>
      <c r="BC258" s="115"/>
      <c r="BD258" s="115"/>
      <c r="BE258" s="115"/>
      <c r="BF258" s="115"/>
      <c r="BG258" s="115"/>
      <c r="BH258" s="115"/>
      <c r="BI258" s="115"/>
      <c r="BJ258" s="115"/>
      <c r="BK258" s="115"/>
      <c r="BL258" s="115"/>
      <c r="BM258" s="115"/>
      <c r="BN258" s="115"/>
      <c r="BO258" s="115"/>
    </row>
    <row r="259" spans="1:67" ht="15.75" customHeight="1" thickBot="1" x14ac:dyDescent="0.4">
      <c r="A259" s="115"/>
      <c r="B259" s="1387"/>
      <c r="C259" s="1387"/>
      <c r="D259" s="115"/>
      <c r="E259" s="173"/>
      <c r="F259" s="115"/>
      <c r="G259" s="115"/>
      <c r="H259" s="115"/>
      <c r="I259" s="115"/>
      <c r="J259" s="115"/>
      <c r="K259" s="115"/>
      <c r="L259" s="115"/>
      <c r="M259" s="115"/>
      <c r="N259" s="115"/>
      <c r="O259" s="115"/>
      <c r="P259" s="115"/>
      <c r="Q259" s="115"/>
      <c r="R259" s="115"/>
      <c r="S259" s="115"/>
      <c r="T259" s="115"/>
      <c r="U259" s="115"/>
      <c r="V259" s="115"/>
      <c r="W259" s="115"/>
      <c r="X259" s="115"/>
      <c r="Y259" s="115"/>
      <c r="Z259" s="115"/>
      <c r="AA259" s="115"/>
      <c r="AB259" s="115"/>
      <c r="AC259" s="115"/>
      <c r="AD259" s="115"/>
      <c r="AE259" s="115"/>
      <c r="AF259" s="115"/>
      <c r="AG259" s="115"/>
      <c r="AH259" s="115"/>
      <c r="AI259" s="115"/>
      <c r="AJ259" s="115"/>
      <c r="AK259" s="115"/>
      <c r="AL259" s="115"/>
      <c r="AM259" s="115"/>
      <c r="AN259" s="115"/>
      <c r="AO259" s="115"/>
      <c r="AP259" s="115"/>
      <c r="AQ259" s="115"/>
      <c r="AR259" s="115"/>
      <c r="AS259" s="115"/>
      <c r="AT259" s="115"/>
      <c r="AU259" s="115"/>
      <c r="AV259" s="115"/>
      <c r="AW259" s="115"/>
      <c r="AX259" s="115"/>
      <c r="AY259" s="115"/>
      <c r="AZ259" s="115"/>
      <c r="BA259" s="115"/>
      <c r="BB259" s="115"/>
      <c r="BC259" s="115"/>
      <c r="BD259" s="115"/>
      <c r="BE259" s="115"/>
      <c r="BF259" s="115"/>
      <c r="BG259" s="115"/>
      <c r="BH259" s="115"/>
      <c r="BI259" s="115"/>
      <c r="BJ259" s="115"/>
      <c r="BK259" s="115"/>
      <c r="BL259" s="115"/>
      <c r="BM259" s="115"/>
      <c r="BN259" s="115"/>
      <c r="BO259" s="115"/>
    </row>
    <row r="260" spans="1:67" ht="15.75" customHeight="1" thickBot="1" x14ac:dyDescent="0.4">
      <c r="A260" s="115"/>
      <c r="B260" s="1387"/>
      <c r="C260" s="1387"/>
      <c r="D260" s="115"/>
      <c r="E260" s="173"/>
      <c r="F260" s="115"/>
      <c r="G260" s="115"/>
      <c r="H260" s="115"/>
      <c r="I260" s="115"/>
      <c r="J260" s="115"/>
      <c r="K260" s="115"/>
      <c r="L260" s="115"/>
      <c r="M260" s="115"/>
      <c r="N260" s="115"/>
      <c r="O260" s="115"/>
      <c r="P260" s="115"/>
      <c r="Q260" s="115"/>
      <c r="R260" s="115"/>
      <c r="S260" s="115"/>
      <c r="T260" s="115"/>
      <c r="U260" s="115"/>
      <c r="V260" s="115"/>
      <c r="W260" s="115"/>
      <c r="X260" s="115"/>
      <c r="Y260" s="115"/>
      <c r="Z260" s="115"/>
      <c r="AA260" s="115"/>
      <c r="AB260" s="115"/>
      <c r="AC260" s="115"/>
      <c r="AD260" s="115"/>
      <c r="AE260" s="115"/>
      <c r="AF260" s="115"/>
      <c r="AG260" s="115"/>
      <c r="AH260" s="115"/>
      <c r="AI260" s="115"/>
      <c r="AJ260" s="115"/>
      <c r="AK260" s="115"/>
      <c r="AL260" s="115"/>
      <c r="AM260" s="115"/>
      <c r="AN260" s="115"/>
      <c r="AO260" s="115"/>
      <c r="AP260" s="115"/>
      <c r="AQ260" s="115"/>
      <c r="AR260" s="115"/>
      <c r="AS260" s="115"/>
      <c r="AT260" s="115"/>
      <c r="AU260" s="115"/>
      <c r="AV260" s="115"/>
      <c r="AW260" s="115"/>
      <c r="AX260" s="115"/>
      <c r="AY260" s="115"/>
      <c r="AZ260" s="115"/>
      <c r="BA260" s="115"/>
      <c r="BB260" s="115"/>
      <c r="BC260" s="115"/>
      <c r="BD260" s="115"/>
      <c r="BE260" s="115"/>
      <c r="BF260" s="115"/>
      <c r="BG260" s="115"/>
      <c r="BH260" s="115"/>
      <c r="BI260" s="115"/>
      <c r="BJ260" s="115"/>
      <c r="BK260" s="115"/>
      <c r="BL260" s="115"/>
      <c r="BM260" s="115"/>
      <c r="BN260" s="115"/>
      <c r="BO260" s="115"/>
    </row>
    <row r="261" spans="1:67" ht="15.75" customHeight="1" thickBot="1" x14ac:dyDescent="0.4">
      <c r="A261" s="115"/>
      <c r="B261" s="1387"/>
      <c r="C261" s="1387"/>
      <c r="D261" s="115"/>
      <c r="E261" s="173"/>
      <c r="F261" s="115"/>
      <c r="G261" s="115"/>
      <c r="H261" s="115"/>
      <c r="I261" s="115"/>
      <c r="J261" s="115"/>
      <c r="K261" s="115"/>
      <c r="L261" s="115"/>
      <c r="M261" s="115"/>
      <c r="N261" s="115"/>
      <c r="O261" s="115"/>
      <c r="P261" s="115"/>
      <c r="Q261" s="115"/>
      <c r="R261" s="115"/>
      <c r="S261" s="115"/>
      <c r="T261" s="115"/>
      <c r="U261" s="115"/>
      <c r="V261" s="115"/>
      <c r="W261" s="115"/>
      <c r="X261" s="115"/>
      <c r="Y261" s="115"/>
      <c r="Z261" s="115"/>
      <c r="AA261" s="115"/>
      <c r="AB261" s="115"/>
      <c r="AC261" s="115"/>
      <c r="AD261" s="115"/>
      <c r="AE261" s="115"/>
      <c r="AF261" s="115"/>
      <c r="AG261" s="115"/>
      <c r="AH261" s="115"/>
      <c r="AI261" s="115"/>
      <c r="AJ261" s="115"/>
      <c r="AK261" s="115"/>
      <c r="AL261" s="115"/>
      <c r="AM261" s="115"/>
      <c r="AN261" s="115"/>
      <c r="AO261" s="115"/>
      <c r="AP261" s="115"/>
      <c r="AQ261" s="115"/>
      <c r="AR261" s="115"/>
      <c r="AS261" s="115"/>
      <c r="AT261" s="115"/>
      <c r="AU261" s="115"/>
      <c r="AV261" s="115"/>
      <c r="AW261" s="115"/>
      <c r="AX261" s="115"/>
      <c r="AY261" s="115"/>
      <c r="AZ261" s="115"/>
      <c r="BA261" s="115"/>
      <c r="BB261" s="115"/>
      <c r="BC261" s="115"/>
      <c r="BD261" s="115"/>
      <c r="BE261" s="115"/>
      <c r="BF261" s="115"/>
      <c r="BG261" s="115"/>
      <c r="BH261" s="115"/>
      <c r="BI261" s="115"/>
      <c r="BJ261" s="115"/>
      <c r="BK261" s="115"/>
      <c r="BL261" s="115"/>
      <c r="BM261" s="115"/>
      <c r="BN261" s="115"/>
      <c r="BO261" s="115"/>
    </row>
    <row r="262" spans="1:67" ht="15.75" customHeight="1" thickBot="1" x14ac:dyDescent="0.4">
      <c r="A262" s="115"/>
      <c r="B262" s="1387"/>
      <c r="C262" s="1387"/>
      <c r="D262" s="115"/>
      <c r="E262" s="173"/>
      <c r="F262" s="115"/>
      <c r="G262" s="115"/>
      <c r="H262" s="115"/>
      <c r="I262" s="115"/>
      <c r="J262" s="115"/>
      <c r="K262" s="115"/>
      <c r="L262" s="115"/>
      <c r="M262" s="115"/>
      <c r="N262" s="115"/>
      <c r="O262" s="115"/>
      <c r="P262" s="115"/>
      <c r="Q262" s="115"/>
      <c r="R262" s="115"/>
      <c r="S262" s="115"/>
      <c r="T262" s="115"/>
      <c r="U262" s="115"/>
      <c r="V262" s="115"/>
      <c r="W262" s="115"/>
      <c r="X262" s="115"/>
      <c r="Y262" s="115"/>
      <c r="Z262" s="115"/>
      <c r="AA262" s="115"/>
      <c r="AB262" s="115"/>
      <c r="AC262" s="115"/>
      <c r="AD262" s="115"/>
      <c r="AE262" s="115"/>
      <c r="AF262" s="115"/>
      <c r="AG262" s="115"/>
      <c r="AH262" s="115"/>
      <c r="AI262" s="115"/>
      <c r="AJ262" s="115"/>
      <c r="AK262" s="115"/>
      <c r="AL262" s="115"/>
      <c r="AM262" s="115"/>
      <c r="AN262" s="115"/>
      <c r="AO262" s="115"/>
      <c r="AP262" s="115"/>
      <c r="AQ262" s="115"/>
      <c r="AR262" s="115"/>
      <c r="AS262" s="115"/>
      <c r="AT262" s="115"/>
      <c r="AU262" s="115"/>
      <c r="AV262" s="115"/>
      <c r="AW262" s="115"/>
      <c r="AX262" s="115"/>
      <c r="AY262" s="115"/>
      <c r="AZ262" s="115"/>
      <c r="BA262" s="115"/>
      <c r="BB262" s="115"/>
      <c r="BC262" s="115"/>
      <c r="BD262" s="115"/>
      <c r="BE262" s="115"/>
      <c r="BF262" s="115"/>
      <c r="BG262" s="115"/>
      <c r="BH262" s="115"/>
      <c r="BI262" s="115"/>
      <c r="BJ262" s="115"/>
      <c r="BK262" s="115"/>
      <c r="BL262" s="115"/>
      <c r="BM262" s="115"/>
      <c r="BN262" s="115"/>
      <c r="BO262" s="115"/>
    </row>
    <row r="263" spans="1:67" ht="15.75" customHeight="1" thickBot="1" x14ac:dyDescent="0.4">
      <c r="A263" s="115"/>
      <c r="B263" s="1387"/>
      <c r="C263" s="1387"/>
      <c r="D263" s="115"/>
      <c r="E263" s="173"/>
      <c r="F263" s="115"/>
      <c r="G263" s="115"/>
      <c r="H263" s="115"/>
      <c r="I263" s="115"/>
      <c r="J263" s="115"/>
      <c r="K263" s="115"/>
      <c r="L263" s="115"/>
      <c r="M263" s="115"/>
      <c r="N263" s="115"/>
      <c r="O263" s="115"/>
      <c r="P263" s="115"/>
      <c r="Q263" s="115"/>
      <c r="R263" s="115"/>
      <c r="S263" s="115"/>
      <c r="T263" s="115"/>
      <c r="U263" s="115"/>
      <c r="V263" s="115"/>
      <c r="W263" s="115"/>
      <c r="X263" s="115"/>
      <c r="Y263" s="115"/>
      <c r="Z263" s="115"/>
      <c r="AA263" s="115"/>
      <c r="AB263" s="115"/>
      <c r="AC263" s="115"/>
      <c r="AD263" s="115"/>
      <c r="AE263" s="115"/>
      <c r="AF263" s="115"/>
      <c r="AG263" s="115"/>
      <c r="AH263" s="115"/>
      <c r="AI263" s="115"/>
      <c r="AJ263" s="115"/>
      <c r="AK263" s="115"/>
      <c r="AL263" s="115"/>
      <c r="AM263" s="115"/>
      <c r="AN263" s="115"/>
      <c r="AO263" s="115"/>
      <c r="AP263" s="115"/>
      <c r="AQ263" s="115"/>
      <c r="AR263" s="115"/>
      <c r="AS263" s="115"/>
      <c r="AT263" s="115"/>
      <c r="AU263" s="115"/>
      <c r="AV263" s="115"/>
      <c r="AW263" s="115"/>
      <c r="AX263" s="115"/>
      <c r="AY263" s="115"/>
      <c r="AZ263" s="115"/>
      <c r="BA263" s="115"/>
      <c r="BB263" s="115"/>
      <c r="BC263" s="115"/>
      <c r="BD263" s="115"/>
      <c r="BE263" s="115"/>
      <c r="BF263" s="115"/>
      <c r="BG263" s="115"/>
      <c r="BH263" s="115"/>
      <c r="BI263" s="115"/>
      <c r="BJ263" s="115"/>
      <c r="BK263" s="115"/>
      <c r="BL263" s="115"/>
      <c r="BM263" s="115"/>
      <c r="BN263" s="115"/>
      <c r="BO263" s="115"/>
    </row>
    <row r="264" spans="1:67" ht="15.75" customHeight="1" thickBot="1" x14ac:dyDescent="0.4">
      <c r="A264" s="115"/>
      <c r="B264" s="1387"/>
      <c r="C264" s="1387"/>
      <c r="D264" s="115"/>
      <c r="E264" s="173"/>
      <c r="F264" s="115"/>
      <c r="G264" s="115"/>
      <c r="H264" s="115"/>
      <c r="I264" s="115"/>
      <c r="J264" s="115"/>
      <c r="K264" s="115"/>
      <c r="L264" s="115"/>
      <c r="M264" s="115"/>
      <c r="N264" s="115"/>
      <c r="O264" s="115"/>
      <c r="P264" s="115"/>
      <c r="Q264" s="115"/>
      <c r="R264" s="115"/>
      <c r="S264" s="115"/>
      <c r="T264" s="115"/>
      <c r="U264" s="115"/>
      <c r="V264" s="115"/>
      <c r="W264" s="115"/>
      <c r="X264" s="115"/>
      <c r="Y264" s="115"/>
      <c r="Z264" s="115"/>
      <c r="AA264" s="115"/>
      <c r="AB264" s="115"/>
      <c r="AC264" s="115"/>
      <c r="AD264" s="115"/>
      <c r="AE264" s="115"/>
      <c r="AF264" s="115"/>
      <c r="AG264" s="115"/>
      <c r="AH264" s="115"/>
      <c r="AI264" s="115"/>
      <c r="AJ264" s="115"/>
      <c r="AK264" s="115"/>
      <c r="AL264" s="115"/>
      <c r="AM264" s="115"/>
      <c r="AN264" s="115"/>
      <c r="AO264" s="115"/>
      <c r="AP264" s="115"/>
      <c r="AQ264" s="115"/>
      <c r="AR264" s="115"/>
      <c r="AS264" s="115"/>
      <c r="AT264" s="115"/>
      <c r="AU264" s="115"/>
      <c r="AV264" s="115"/>
      <c r="AW264" s="115"/>
      <c r="AX264" s="115"/>
      <c r="AY264" s="115"/>
      <c r="AZ264" s="115"/>
      <c r="BA264" s="115"/>
      <c r="BB264" s="115"/>
      <c r="BC264" s="115"/>
      <c r="BD264" s="115"/>
      <c r="BE264" s="115"/>
      <c r="BF264" s="115"/>
      <c r="BG264" s="115"/>
      <c r="BH264" s="115"/>
      <c r="BI264" s="115"/>
      <c r="BJ264" s="115"/>
      <c r="BK264" s="115"/>
      <c r="BL264" s="115"/>
      <c r="BM264" s="115"/>
      <c r="BN264" s="115"/>
      <c r="BO264" s="115"/>
    </row>
    <row r="265" spans="1:67" ht="15.75" customHeight="1" thickBot="1" x14ac:dyDescent="0.4">
      <c r="A265" s="115"/>
      <c r="B265" s="1387"/>
      <c r="C265" s="1387"/>
      <c r="D265" s="115"/>
      <c r="E265" s="173"/>
      <c r="F265" s="115"/>
      <c r="G265" s="115"/>
      <c r="H265" s="115"/>
      <c r="I265" s="115"/>
      <c r="J265" s="115"/>
      <c r="K265" s="115"/>
      <c r="L265" s="115"/>
      <c r="M265" s="115"/>
      <c r="N265" s="115"/>
      <c r="O265" s="115"/>
      <c r="P265" s="115"/>
      <c r="Q265" s="115"/>
      <c r="R265" s="115"/>
      <c r="S265" s="115"/>
      <c r="T265" s="115"/>
      <c r="U265" s="115"/>
      <c r="V265" s="115"/>
      <c r="W265" s="115"/>
      <c r="X265" s="115"/>
      <c r="Y265" s="115"/>
      <c r="Z265" s="115"/>
      <c r="AA265" s="115"/>
      <c r="AB265" s="115"/>
      <c r="AC265" s="115"/>
      <c r="AD265" s="115"/>
      <c r="AE265" s="115"/>
      <c r="AF265" s="115"/>
      <c r="AG265" s="115"/>
      <c r="AH265" s="115"/>
      <c r="AI265" s="115"/>
      <c r="AJ265" s="115"/>
      <c r="AK265" s="115"/>
      <c r="AL265" s="115"/>
      <c r="AM265" s="115"/>
      <c r="AN265" s="115"/>
      <c r="AO265" s="115"/>
      <c r="AP265" s="115"/>
      <c r="AQ265" s="115"/>
      <c r="AR265" s="115"/>
      <c r="AS265" s="115"/>
      <c r="AT265" s="115"/>
      <c r="AU265" s="115"/>
      <c r="AV265" s="115"/>
      <c r="AW265" s="115"/>
      <c r="AX265" s="115"/>
      <c r="AY265" s="115"/>
      <c r="AZ265" s="115"/>
      <c r="BA265" s="115"/>
      <c r="BB265" s="115"/>
      <c r="BC265" s="115"/>
      <c r="BD265" s="115"/>
      <c r="BE265" s="115"/>
      <c r="BF265" s="115"/>
      <c r="BG265" s="115"/>
      <c r="BH265" s="115"/>
      <c r="BI265" s="115"/>
      <c r="BJ265" s="115"/>
      <c r="BK265" s="115"/>
      <c r="BL265" s="115"/>
      <c r="BM265" s="115"/>
      <c r="BN265" s="115"/>
      <c r="BO265" s="115"/>
    </row>
    <row r="266" spans="1:67" ht="15.75" customHeight="1" thickBot="1" x14ac:dyDescent="0.4">
      <c r="A266" s="115"/>
      <c r="B266" s="1387"/>
      <c r="C266" s="1387"/>
      <c r="D266" s="115"/>
      <c r="E266" s="173"/>
      <c r="F266" s="115"/>
      <c r="G266" s="115"/>
      <c r="H266" s="115"/>
      <c r="I266" s="115"/>
      <c r="J266" s="115"/>
      <c r="K266" s="115"/>
      <c r="L266" s="115"/>
      <c r="M266" s="115"/>
      <c r="N266" s="115"/>
      <c r="O266" s="115"/>
      <c r="P266" s="115"/>
      <c r="Q266" s="115"/>
      <c r="R266" s="115"/>
      <c r="S266" s="115"/>
      <c r="T266" s="115"/>
      <c r="U266" s="115"/>
      <c r="V266" s="115"/>
      <c r="W266" s="115"/>
      <c r="X266" s="115"/>
      <c r="Y266" s="115"/>
      <c r="Z266" s="115"/>
      <c r="AA266" s="115"/>
      <c r="AB266" s="115"/>
      <c r="AC266" s="115"/>
      <c r="AD266" s="115"/>
      <c r="AE266" s="115"/>
      <c r="AF266" s="115"/>
      <c r="AG266" s="115"/>
      <c r="AH266" s="115"/>
      <c r="AI266" s="115"/>
      <c r="AJ266" s="115"/>
      <c r="AK266" s="115"/>
      <c r="AL266" s="115"/>
      <c r="AM266" s="115"/>
      <c r="AN266" s="115"/>
      <c r="AO266" s="115"/>
      <c r="AP266" s="115"/>
      <c r="AQ266" s="115"/>
      <c r="AR266" s="115"/>
      <c r="AS266" s="115"/>
      <c r="AT266" s="115"/>
      <c r="AU266" s="115"/>
      <c r="AV266" s="115"/>
      <c r="AW266" s="115"/>
      <c r="AX266" s="115"/>
      <c r="AY266" s="115"/>
      <c r="AZ266" s="115"/>
      <c r="BA266" s="115"/>
      <c r="BB266" s="115"/>
      <c r="BC266" s="115"/>
      <c r="BD266" s="115"/>
      <c r="BE266" s="115"/>
      <c r="BF266" s="115"/>
      <c r="BG266" s="115"/>
      <c r="BH266" s="115"/>
      <c r="BI266" s="115"/>
      <c r="BJ266" s="115"/>
      <c r="BK266" s="115"/>
      <c r="BL266" s="115"/>
      <c r="BM266" s="115"/>
      <c r="BN266" s="115"/>
      <c r="BO266" s="115"/>
    </row>
    <row r="267" spans="1:67" ht="15.75" customHeight="1" thickBot="1" x14ac:dyDescent="0.4">
      <c r="A267" s="115"/>
      <c r="B267" s="1387"/>
      <c r="C267" s="1387"/>
      <c r="D267" s="115"/>
      <c r="E267" s="173"/>
      <c r="F267" s="115"/>
      <c r="G267" s="115"/>
      <c r="H267" s="115"/>
      <c r="I267" s="115"/>
      <c r="J267" s="115"/>
      <c r="K267" s="115"/>
      <c r="L267" s="115"/>
      <c r="M267" s="115"/>
      <c r="N267" s="115"/>
      <c r="O267" s="115"/>
      <c r="P267" s="115"/>
      <c r="Q267" s="115"/>
      <c r="R267" s="115"/>
      <c r="S267" s="115"/>
      <c r="T267" s="115"/>
      <c r="U267" s="115"/>
      <c r="V267" s="115"/>
      <c r="W267" s="115"/>
      <c r="X267" s="115"/>
      <c r="Y267" s="115"/>
      <c r="Z267" s="115"/>
      <c r="AA267" s="115"/>
      <c r="AB267" s="115"/>
      <c r="AC267" s="115"/>
      <c r="AD267" s="115"/>
      <c r="AE267" s="115"/>
      <c r="AF267" s="115"/>
      <c r="AG267" s="115"/>
      <c r="AH267" s="115"/>
      <c r="AI267" s="115"/>
      <c r="AJ267" s="115"/>
      <c r="AK267" s="115"/>
      <c r="AL267" s="115"/>
      <c r="AM267" s="115"/>
      <c r="AN267" s="115"/>
      <c r="AO267" s="115"/>
      <c r="AP267" s="115"/>
      <c r="AQ267" s="115"/>
      <c r="AR267" s="115"/>
      <c r="AS267" s="115"/>
      <c r="AT267" s="115"/>
      <c r="AU267" s="115"/>
      <c r="AV267" s="115"/>
      <c r="AW267" s="115"/>
      <c r="AX267" s="115"/>
      <c r="AY267" s="115"/>
      <c r="AZ267" s="115"/>
      <c r="BA267" s="115"/>
      <c r="BB267" s="115"/>
      <c r="BC267" s="115"/>
      <c r="BD267" s="115"/>
      <c r="BE267" s="115"/>
      <c r="BF267" s="115"/>
      <c r="BG267" s="115"/>
      <c r="BH267" s="115"/>
      <c r="BI267" s="115"/>
      <c r="BJ267" s="115"/>
      <c r="BK267" s="115"/>
      <c r="BL267" s="115"/>
      <c r="BM267" s="115"/>
      <c r="BN267" s="115"/>
      <c r="BO267" s="115"/>
    </row>
    <row r="268" spans="1:67" ht="15.75" customHeight="1" thickBot="1" x14ac:dyDescent="0.4">
      <c r="A268" s="115"/>
      <c r="B268" s="1387"/>
      <c r="C268" s="1387"/>
      <c r="D268" s="115"/>
      <c r="E268" s="173"/>
      <c r="F268" s="115"/>
      <c r="G268" s="115"/>
      <c r="H268" s="115"/>
      <c r="I268" s="115"/>
      <c r="J268" s="115"/>
      <c r="K268" s="115"/>
      <c r="L268" s="115"/>
      <c r="M268" s="115"/>
      <c r="N268" s="115"/>
      <c r="O268" s="115"/>
      <c r="P268" s="115"/>
      <c r="Q268" s="115"/>
      <c r="R268" s="115"/>
      <c r="S268" s="115"/>
      <c r="T268" s="115"/>
      <c r="U268" s="115"/>
      <c r="V268" s="115"/>
      <c r="W268" s="115"/>
      <c r="X268" s="115"/>
      <c r="Y268" s="115"/>
      <c r="Z268" s="115"/>
      <c r="AA268" s="115"/>
      <c r="AB268" s="115"/>
      <c r="AC268" s="115"/>
      <c r="AD268" s="115"/>
      <c r="AE268" s="115"/>
      <c r="AF268" s="115"/>
      <c r="AG268" s="115"/>
      <c r="AH268" s="115"/>
      <c r="AI268" s="115"/>
      <c r="AJ268" s="115"/>
      <c r="AK268" s="115"/>
      <c r="AL268" s="115"/>
      <c r="AM268" s="115"/>
      <c r="AN268" s="115"/>
      <c r="AO268" s="115"/>
      <c r="AP268" s="115"/>
      <c r="AQ268" s="115"/>
      <c r="AR268" s="115"/>
      <c r="AS268" s="115"/>
      <c r="AT268" s="115"/>
      <c r="AU268" s="115"/>
      <c r="AV268" s="115"/>
      <c r="AW268" s="115"/>
      <c r="AX268" s="115"/>
      <c r="AY268" s="115"/>
      <c r="AZ268" s="115"/>
      <c r="BA268" s="115"/>
      <c r="BB268" s="115"/>
      <c r="BC268" s="115"/>
      <c r="BD268" s="115"/>
      <c r="BE268" s="115"/>
      <c r="BF268" s="115"/>
      <c r="BG268" s="115"/>
      <c r="BH268" s="115"/>
      <c r="BI268" s="115"/>
      <c r="BJ268" s="115"/>
      <c r="BK268" s="115"/>
      <c r="BL268" s="115"/>
      <c r="BM268" s="115"/>
      <c r="BN268" s="115"/>
      <c r="BO268" s="115"/>
    </row>
    <row r="269" spans="1:67" ht="15.75" customHeight="1" thickBot="1" x14ac:dyDescent="0.4">
      <c r="A269" s="115"/>
      <c r="B269" s="1387"/>
      <c r="C269" s="1387"/>
      <c r="D269" s="115"/>
      <c r="E269" s="173"/>
      <c r="F269" s="115"/>
      <c r="G269" s="115"/>
      <c r="H269" s="115"/>
      <c r="I269" s="115"/>
      <c r="J269" s="115"/>
      <c r="K269" s="115"/>
      <c r="L269" s="115"/>
      <c r="M269" s="115"/>
      <c r="N269" s="115"/>
      <c r="O269" s="115"/>
      <c r="P269" s="115"/>
      <c r="Q269" s="115"/>
      <c r="R269" s="115"/>
      <c r="S269" s="115"/>
      <c r="T269" s="115"/>
      <c r="U269" s="115"/>
      <c r="V269" s="115"/>
      <c r="W269" s="115"/>
      <c r="X269" s="115"/>
      <c r="Y269" s="115"/>
      <c r="Z269" s="115"/>
      <c r="AA269" s="115"/>
      <c r="AB269" s="115"/>
      <c r="AC269" s="115"/>
      <c r="AD269" s="115"/>
      <c r="AE269" s="115"/>
      <c r="AF269" s="115"/>
      <c r="AG269" s="115"/>
      <c r="AH269" s="115"/>
      <c r="AI269" s="115"/>
      <c r="AJ269" s="115"/>
      <c r="AK269" s="115"/>
      <c r="AL269" s="115"/>
      <c r="AM269" s="115"/>
      <c r="AN269" s="115"/>
      <c r="AO269" s="115"/>
      <c r="AP269" s="115"/>
      <c r="AQ269" s="115"/>
      <c r="AR269" s="115"/>
      <c r="AS269" s="115"/>
      <c r="AT269" s="115"/>
      <c r="AU269" s="115"/>
      <c r="AV269" s="115"/>
      <c r="AW269" s="115"/>
      <c r="AX269" s="115"/>
      <c r="AY269" s="115"/>
      <c r="AZ269" s="115"/>
      <c r="BA269" s="115"/>
      <c r="BB269" s="115"/>
      <c r="BC269" s="115"/>
      <c r="BD269" s="115"/>
      <c r="BE269" s="115"/>
      <c r="BF269" s="115"/>
      <c r="BG269" s="115"/>
      <c r="BH269" s="115"/>
      <c r="BI269" s="115"/>
      <c r="BJ269" s="115"/>
      <c r="BK269" s="115"/>
      <c r="BL269" s="115"/>
      <c r="BM269" s="115"/>
      <c r="BN269" s="115"/>
      <c r="BO269" s="115"/>
    </row>
    <row r="270" spans="1:67" ht="15.75" customHeight="1" thickBot="1" x14ac:dyDescent="0.4">
      <c r="A270" s="115"/>
      <c r="B270" s="1387"/>
      <c r="C270" s="1387"/>
      <c r="D270" s="115"/>
      <c r="E270" s="173"/>
      <c r="F270" s="115"/>
      <c r="G270" s="115"/>
      <c r="H270" s="115"/>
      <c r="I270" s="115"/>
      <c r="J270" s="115"/>
      <c r="K270" s="115"/>
      <c r="L270" s="115"/>
      <c r="M270" s="115"/>
      <c r="N270" s="115"/>
      <c r="O270" s="115"/>
      <c r="P270" s="115"/>
      <c r="Q270" s="115"/>
      <c r="R270" s="115"/>
      <c r="S270" s="115"/>
      <c r="T270" s="115"/>
      <c r="U270" s="115"/>
      <c r="V270" s="115"/>
      <c r="W270" s="115"/>
      <c r="X270" s="115"/>
      <c r="Y270" s="115"/>
      <c r="Z270" s="115"/>
      <c r="AA270" s="115"/>
      <c r="AB270" s="115"/>
      <c r="AC270" s="115"/>
      <c r="AD270" s="115"/>
      <c r="AE270" s="115"/>
      <c r="AF270" s="115"/>
      <c r="AG270" s="115"/>
      <c r="AH270" s="115"/>
      <c r="AI270" s="115"/>
      <c r="AJ270" s="115"/>
      <c r="AK270" s="115"/>
      <c r="AL270" s="115"/>
      <c r="AM270" s="115"/>
      <c r="AN270" s="115"/>
      <c r="AO270" s="115"/>
      <c r="AP270" s="115"/>
      <c r="AQ270" s="115"/>
      <c r="AR270" s="115"/>
      <c r="AS270" s="115"/>
      <c r="AT270" s="115"/>
      <c r="AU270" s="115"/>
      <c r="AV270" s="115"/>
      <c r="AW270" s="115"/>
      <c r="AX270" s="115"/>
      <c r="AY270" s="115"/>
      <c r="AZ270" s="115"/>
      <c r="BA270" s="115"/>
      <c r="BB270" s="115"/>
      <c r="BC270" s="115"/>
      <c r="BD270" s="115"/>
      <c r="BE270" s="115"/>
      <c r="BF270" s="115"/>
      <c r="BG270" s="115"/>
      <c r="BH270" s="115"/>
      <c r="BI270" s="115"/>
      <c r="BJ270" s="115"/>
      <c r="BK270" s="115"/>
      <c r="BL270" s="115"/>
      <c r="BM270" s="115"/>
      <c r="BN270" s="115"/>
      <c r="BO270" s="115"/>
    </row>
    <row r="271" spans="1:67" ht="15.75" customHeight="1" thickBot="1" x14ac:dyDescent="0.4">
      <c r="A271" s="115"/>
      <c r="B271" s="1387"/>
      <c r="C271" s="1387"/>
      <c r="D271" s="115"/>
      <c r="E271" s="173"/>
      <c r="F271" s="115"/>
      <c r="G271" s="115"/>
      <c r="H271" s="115"/>
      <c r="I271" s="115"/>
      <c r="J271" s="115"/>
      <c r="K271" s="115"/>
      <c r="L271" s="115"/>
      <c r="M271" s="115"/>
      <c r="N271" s="115"/>
      <c r="O271" s="115"/>
      <c r="P271" s="115"/>
      <c r="Q271" s="115"/>
      <c r="R271" s="115"/>
      <c r="S271" s="115"/>
      <c r="T271" s="115"/>
      <c r="U271" s="115"/>
      <c r="V271" s="115"/>
      <c r="W271" s="115"/>
      <c r="X271" s="115"/>
      <c r="Y271" s="115"/>
      <c r="Z271" s="115"/>
      <c r="AA271" s="115"/>
      <c r="AB271" s="115"/>
      <c r="AC271" s="115"/>
      <c r="AD271" s="115"/>
      <c r="AE271" s="115"/>
      <c r="AF271" s="115"/>
      <c r="AG271" s="115"/>
      <c r="AH271" s="115"/>
      <c r="AI271" s="115"/>
      <c r="AJ271" s="115"/>
      <c r="AK271" s="115"/>
      <c r="AL271" s="115"/>
      <c r="AM271" s="115"/>
      <c r="AN271" s="115"/>
      <c r="AO271" s="115"/>
      <c r="AP271" s="115"/>
      <c r="AQ271" s="115"/>
      <c r="AR271" s="115"/>
      <c r="AS271" s="115"/>
      <c r="AT271" s="115"/>
      <c r="AU271" s="115"/>
      <c r="AV271" s="115"/>
      <c r="AW271" s="115"/>
      <c r="AX271" s="115"/>
      <c r="AY271" s="115"/>
      <c r="AZ271" s="115"/>
      <c r="BA271" s="115"/>
      <c r="BB271" s="115"/>
      <c r="BC271" s="115"/>
      <c r="BD271" s="115"/>
      <c r="BE271" s="115"/>
      <c r="BF271" s="115"/>
      <c r="BG271" s="115"/>
      <c r="BH271" s="115"/>
      <c r="BI271" s="115"/>
      <c r="BJ271" s="115"/>
      <c r="BK271" s="115"/>
      <c r="BL271" s="115"/>
      <c r="BM271" s="115"/>
      <c r="BN271" s="115"/>
      <c r="BO271" s="115"/>
    </row>
    <row r="272" spans="1:67" ht="15.75" customHeight="1" thickBot="1" x14ac:dyDescent="0.4">
      <c r="A272" s="115"/>
      <c r="B272" s="1387"/>
      <c r="C272" s="1387"/>
      <c r="D272" s="115"/>
      <c r="E272" s="173"/>
      <c r="F272" s="115"/>
      <c r="G272" s="115"/>
      <c r="H272" s="115"/>
      <c r="I272" s="115"/>
      <c r="J272" s="115"/>
      <c r="K272" s="115"/>
      <c r="L272" s="115"/>
      <c r="M272" s="115"/>
      <c r="N272" s="115"/>
      <c r="O272" s="115"/>
      <c r="P272" s="115"/>
      <c r="Q272" s="115"/>
      <c r="R272" s="115"/>
      <c r="S272" s="115"/>
      <c r="T272" s="115"/>
      <c r="U272" s="115"/>
      <c r="V272" s="115"/>
      <c r="W272" s="115"/>
      <c r="X272" s="115"/>
      <c r="Y272" s="115"/>
      <c r="Z272" s="115"/>
      <c r="AA272" s="115"/>
      <c r="AB272" s="115"/>
      <c r="AC272" s="115"/>
      <c r="AD272" s="115"/>
      <c r="AE272" s="115"/>
      <c r="AF272" s="115"/>
      <c r="AG272" s="115"/>
      <c r="AH272" s="115"/>
      <c r="AI272" s="115"/>
      <c r="AJ272" s="115"/>
      <c r="AK272" s="115"/>
      <c r="AL272" s="115"/>
      <c r="AM272" s="115"/>
      <c r="AN272" s="115"/>
      <c r="AO272" s="115"/>
      <c r="AP272" s="115"/>
      <c r="AQ272" s="115"/>
      <c r="AR272" s="115"/>
      <c r="AS272" s="115"/>
      <c r="AT272" s="115"/>
      <c r="AU272" s="115"/>
      <c r="AV272" s="115"/>
      <c r="AW272" s="115"/>
      <c r="AX272" s="115"/>
      <c r="AY272" s="115"/>
      <c r="AZ272" s="115"/>
      <c r="BA272" s="115"/>
      <c r="BB272" s="115"/>
      <c r="BC272" s="115"/>
      <c r="BD272" s="115"/>
      <c r="BE272" s="115"/>
      <c r="BF272" s="115"/>
      <c r="BG272" s="115"/>
      <c r="BH272" s="115"/>
      <c r="BI272" s="115"/>
      <c r="BJ272" s="115"/>
      <c r="BK272" s="115"/>
      <c r="BL272" s="115"/>
      <c r="BM272" s="115"/>
      <c r="BN272" s="115"/>
      <c r="BO272" s="115"/>
    </row>
    <row r="273" spans="1:67" ht="15.75" customHeight="1" thickBot="1" x14ac:dyDescent="0.4">
      <c r="A273" s="115"/>
      <c r="B273" s="1387"/>
      <c r="C273" s="1387"/>
      <c r="D273" s="115"/>
      <c r="E273" s="173"/>
      <c r="F273" s="115"/>
      <c r="G273" s="115"/>
      <c r="H273" s="115"/>
      <c r="I273" s="115"/>
      <c r="J273" s="115"/>
      <c r="K273" s="115"/>
      <c r="L273" s="115"/>
      <c r="M273" s="115"/>
      <c r="N273" s="115"/>
      <c r="O273" s="115"/>
      <c r="P273" s="115"/>
      <c r="Q273" s="115"/>
      <c r="R273" s="115"/>
      <c r="S273" s="115"/>
      <c r="T273" s="115"/>
      <c r="U273" s="115"/>
      <c r="V273" s="115"/>
      <c r="W273" s="115"/>
      <c r="X273" s="115"/>
      <c r="Y273" s="115"/>
      <c r="Z273" s="115"/>
      <c r="AA273" s="115"/>
      <c r="AB273" s="115"/>
      <c r="AC273" s="115"/>
      <c r="AD273" s="115"/>
      <c r="AE273" s="115"/>
      <c r="AF273" s="115"/>
      <c r="AG273" s="115"/>
      <c r="AH273" s="115"/>
      <c r="AI273" s="115"/>
      <c r="AJ273" s="115"/>
      <c r="AK273" s="115"/>
      <c r="AL273" s="115"/>
      <c r="AM273" s="115"/>
      <c r="AN273" s="115"/>
      <c r="AO273" s="115"/>
      <c r="AP273" s="115"/>
      <c r="AQ273" s="115"/>
      <c r="AR273" s="115"/>
      <c r="AS273" s="115"/>
      <c r="AT273" s="115"/>
      <c r="AU273" s="115"/>
      <c r="AV273" s="115"/>
      <c r="AW273" s="115"/>
      <c r="AX273" s="115"/>
      <c r="AY273" s="115"/>
      <c r="AZ273" s="115"/>
      <c r="BA273" s="115"/>
      <c r="BB273" s="115"/>
      <c r="BC273" s="115"/>
      <c r="BD273" s="115"/>
      <c r="BE273" s="115"/>
      <c r="BF273" s="115"/>
      <c r="BG273" s="115"/>
      <c r="BH273" s="115"/>
      <c r="BI273" s="115"/>
      <c r="BJ273" s="115"/>
      <c r="BK273" s="115"/>
      <c r="BL273" s="115"/>
      <c r="BM273" s="115"/>
      <c r="BN273" s="115"/>
      <c r="BO273" s="115"/>
    </row>
    <row r="274" spans="1:67" ht="15.75" customHeight="1" thickBot="1" x14ac:dyDescent="0.4">
      <c r="A274" s="115"/>
      <c r="B274" s="1387"/>
      <c r="C274" s="1387"/>
      <c r="D274" s="115"/>
      <c r="E274" s="173"/>
      <c r="F274" s="115"/>
      <c r="G274" s="115"/>
      <c r="H274" s="115"/>
      <c r="I274" s="115"/>
      <c r="J274" s="115"/>
      <c r="K274" s="115"/>
      <c r="L274" s="115"/>
      <c r="M274" s="115"/>
      <c r="N274" s="115"/>
      <c r="O274" s="115"/>
      <c r="P274" s="115"/>
      <c r="Q274" s="115"/>
      <c r="R274" s="115"/>
      <c r="S274" s="115"/>
      <c r="T274" s="115"/>
      <c r="U274" s="115"/>
      <c r="V274" s="115"/>
      <c r="W274" s="115"/>
      <c r="X274" s="115"/>
      <c r="Y274" s="115"/>
      <c r="Z274" s="115"/>
      <c r="AA274" s="115"/>
      <c r="AB274" s="115"/>
      <c r="AC274" s="115"/>
      <c r="AD274" s="115"/>
      <c r="AE274" s="115"/>
      <c r="AF274" s="115"/>
      <c r="AG274" s="115"/>
      <c r="AH274" s="115"/>
      <c r="AI274" s="115"/>
      <c r="AJ274" s="115"/>
      <c r="AK274" s="115"/>
      <c r="AL274" s="115"/>
      <c r="AM274" s="115"/>
      <c r="AN274" s="115"/>
      <c r="AO274" s="115"/>
      <c r="AP274" s="115"/>
      <c r="AQ274" s="115"/>
      <c r="AR274" s="115"/>
      <c r="AS274" s="115"/>
      <c r="AT274" s="115"/>
      <c r="AU274" s="115"/>
      <c r="AV274" s="115"/>
      <c r="AW274" s="115"/>
      <c r="AX274" s="115"/>
      <c r="AY274" s="115"/>
      <c r="AZ274" s="115"/>
      <c r="BA274" s="115"/>
      <c r="BB274" s="115"/>
      <c r="BC274" s="115"/>
      <c r="BD274" s="115"/>
      <c r="BE274" s="115"/>
      <c r="BF274" s="115"/>
      <c r="BG274" s="115"/>
      <c r="BH274" s="115"/>
      <c r="BI274" s="115"/>
      <c r="BJ274" s="115"/>
      <c r="BK274" s="115"/>
      <c r="BL274" s="115"/>
      <c r="BM274" s="115"/>
      <c r="BN274" s="115"/>
      <c r="BO274" s="115"/>
    </row>
    <row r="275" spans="1:67" ht="15.75" customHeight="1" thickBot="1" x14ac:dyDescent="0.4">
      <c r="A275" s="115"/>
      <c r="B275" s="1387"/>
      <c r="C275" s="1387"/>
      <c r="D275" s="115"/>
      <c r="E275" s="173"/>
      <c r="F275" s="115"/>
      <c r="G275" s="115"/>
      <c r="H275" s="115"/>
      <c r="I275" s="115"/>
      <c r="J275" s="115"/>
      <c r="K275" s="115"/>
      <c r="L275" s="115"/>
      <c r="M275" s="115"/>
      <c r="N275" s="115"/>
      <c r="O275" s="115"/>
      <c r="P275" s="115"/>
      <c r="Q275" s="115"/>
      <c r="R275" s="115"/>
      <c r="S275" s="115"/>
      <c r="T275" s="115"/>
      <c r="U275" s="115"/>
      <c r="V275" s="115"/>
      <c r="W275" s="115"/>
      <c r="X275" s="115"/>
      <c r="Y275" s="115"/>
      <c r="Z275" s="115"/>
      <c r="AA275" s="115"/>
      <c r="AB275" s="115"/>
      <c r="AC275" s="115"/>
      <c r="AD275" s="115"/>
      <c r="AE275" s="115"/>
      <c r="AF275" s="115"/>
      <c r="AG275" s="115"/>
      <c r="AH275" s="115"/>
      <c r="AI275" s="115"/>
      <c r="AJ275" s="115"/>
      <c r="AK275" s="115"/>
      <c r="AL275" s="115"/>
      <c r="AM275" s="115"/>
      <c r="AN275" s="115"/>
      <c r="AO275" s="115"/>
      <c r="AP275" s="115"/>
      <c r="AQ275" s="115"/>
      <c r="AR275" s="115"/>
      <c r="AS275" s="115"/>
      <c r="AT275" s="115"/>
      <c r="AU275" s="115"/>
      <c r="AV275" s="115"/>
      <c r="AW275" s="115"/>
      <c r="AX275" s="115"/>
      <c r="AY275" s="115"/>
      <c r="AZ275" s="115"/>
      <c r="BA275" s="115"/>
      <c r="BB275" s="115"/>
      <c r="BC275" s="115"/>
      <c r="BD275" s="115"/>
      <c r="BE275" s="115"/>
      <c r="BF275" s="115"/>
      <c r="BG275" s="115"/>
      <c r="BH275" s="115"/>
      <c r="BI275" s="115"/>
      <c r="BJ275" s="115"/>
      <c r="BK275" s="115"/>
      <c r="BL275" s="115"/>
      <c r="BM275" s="115"/>
      <c r="BN275" s="115"/>
      <c r="BO275" s="115"/>
    </row>
    <row r="276" spans="1:67" ht="15.75" customHeight="1" thickBot="1" x14ac:dyDescent="0.4">
      <c r="A276" s="115"/>
      <c r="B276" s="1387"/>
      <c r="C276" s="1387"/>
      <c r="D276" s="115"/>
      <c r="E276" s="173"/>
      <c r="F276" s="115"/>
      <c r="G276" s="115"/>
      <c r="H276" s="115"/>
      <c r="I276" s="115"/>
      <c r="J276" s="115"/>
      <c r="K276" s="115"/>
      <c r="L276" s="115"/>
      <c r="M276" s="115"/>
      <c r="N276" s="115"/>
      <c r="O276" s="115"/>
      <c r="P276" s="115"/>
      <c r="Q276" s="115"/>
      <c r="R276" s="115"/>
      <c r="S276" s="115"/>
      <c r="T276" s="115"/>
      <c r="U276" s="115"/>
      <c r="V276" s="115"/>
      <c r="W276" s="115"/>
      <c r="X276" s="115"/>
      <c r="Y276" s="115"/>
      <c r="Z276" s="115"/>
      <c r="AA276" s="115"/>
      <c r="AB276" s="115"/>
      <c r="AC276" s="115"/>
      <c r="AD276" s="115"/>
      <c r="AE276" s="115"/>
      <c r="AF276" s="115"/>
      <c r="AG276" s="115"/>
      <c r="AH276" s="115"/>
      <c r="AI276" s="115"/>
      <c r="AJ276" s="115"/>
      <c r="AK276" s="115"/>
      <c r="AL276" s="115"/>
      <c r="AM276" s="115"/>
      <c r="AN276" s="115"/>
      <c r="AO276" s="115"/>
      <c r="AP276" s="115"/>
      <c r="AQ276" s="115"/>
      <c r="AR276" s="115"/>
      <c r="AS276" s="115"/>
      <c r="AT276" s="115"/>
      <c r="AU276" s="115"/>
      <c r="AV276" s="115"/>
      <c r="AW276" s="115"/>
      <c r="AX276" s="115"/>
      <c r="AY276" s="115"/>
      <c r="AZ276" s="115"/>
      <c r="BA276" s="115"/>
      <c r="BB276" s="115"/>
      <c r="BC276" s="115"/>
      <c r="BD276" s="115"/>
      <c r="BE276" s="115"/>
      <c r="BF276" s="115"/>
      <c r="BG276" s="115"/>
      <c r="BH276" s="115"/>
      <c r="BI276" s="115"/>
      <c r="BJ276" s="115"/>
      <c r="BK276" s="115"/>
      <c r="BL276" s="115"/>
      <c r="BM276" s="115"/>
      <c r="BN276" s="115"/>
      <c r="BO276" s="115"/>
    </row>
    <row r="277" spans="1:67" ht="15.75" customHeight="1" thickBot="1" x14ac:dyDescent="0.4">
      <c r="A277" s="115"/>
      <c r="B277" s="1387"/>
      <c r="C277" s="1387"/>
      <c r="D277" s="115"/>
      <c r="E277" s="173"/>
      <c r="F277" s="115"/>
      <c r="G277" s="115"/>
      <c r="H277" s="115"/>
      <c r="I277" s="115"/>
      <c r="J277" s="115"/>
      <c r="K277" s="115"/>
      <c r="L277" s="115"/>
      <c r="M277" s="115"/>
      <c r="N277" s="115"/>
      <c r="O277" s="115"/>
      <c r="P277" s="115"/>
      <c r="Q277" s="115"/>
      <c r="R277" s="115"/>
      <c r="S277" s="115"/>
      <c r="T277" s="115"/>
      <c r="U277" s="115"/>
      <c r="V277" s="115"/>
      <c r="W277" s="115"/>
      <c r="X277" s="115"/>
      <c r="Y277" s="115"/>
      <c r="Z277" s="115"/>
      <c r="AA277" s="115"/>
      <c r="AB277" s="115"/>
      <c r="AC277" s="115"/>
      <c r="AD277" s="115"/>
      <c r="AE277" s="115"/>
      <c r="AF277" s="115"/>
      <c r="AG277" s="115"/>
      <c r="AH277" s="115"/>
      <c r="AI277" s="115"/>
      <c r="AJ277" s="115"/>
      <c r="AK277" s="115"/>
      <c r="AL277" s="115"/>
      <c r="AM277" s="115"/>
      <c r="AN277" s="115"/>
      <c r="AO277" s="115"/>
      <c r="AP277" s="115"/>
      <c r="AQ277" s="115"/>
      <c r="AR277" s="115"/>
      <c r="AS277" s="115"/>
      <c r="AT277" s="115"/>
      <c r="AU277" s="115"/>
      <c r="AV277" s="115"/>
      <c r="AW277" s="115"/>
      <c r="AX277" s="115"/>
      <c r="AY277" s="115"/>
      <c r="AZ277" s="115"/>
      <c r="BA277" s="115"/>
      <c r="BB277" s="115"/>
      <c r="BC277" s="115"/>
      <c r="BD277" s="115"/>
      <c r="BE277" s="115"/>
      <c r="BF277" s="115"/>
      <c r="BG277" s="115"/>
      <c r="BH277" s="115"/>
      <c r="BI277" s="115"/>
      <c r="BJ277" s="115"/>
      <c r="BK277" s="115"/>
      <c r="BL277" s="115"/>
      <c r="BM277" s="115"/>
      <c r="BN277" s="115"/>
      <c r="BO277" s="115"/>
    </row>
    <row r="278" spans="1:67" ht="15.75" customHeight="1" thickBot="1" x14ac:dyDescent="0.4">
      <c r="A278" s="115"/>
      <c r="B278" s="1387"/>
      <c r="C278" s="1387"/>
      <c r="D278" s="115"/>
      <c r="E278" s="173"/>
      <c r="F278" s="115"/>
      <c r="G278" s="115"/>
      <c r="H278" s="115"/>
      <c r="I278" s="115"/>
      <c r="J278" s="115"/>
      <c r="K278" s="115"/>
      <c r="L278" s="115"/>
      <c r="M278" s="115"/>
      <c r="N278" s="115"/>
      <c r="O278" s="115"/>
      <c r="P278" s="115"/>
      <c r="Q278" s="115"/>
      <c r="R278" s="115"/>
      <c r="S278" s="115"/>
      <c r="T278" s="115"/>
      <c r="U278" s="115"/>
      <c r="V278" s="115"/>
      <c r="W278" s="115"/>
      <c r="X278" s="115"/>
      <c r="Y278" s="115"/>
      <c r="Z278" s="115"/>
      <c r="AA278" s="115"/>
      <c r="AB278" s="115"/>
      <c r="AC278" s="115"/>
      <c r="AD278" s="115"/>
      <c r="AE278" s="115"/>
      <c r="AF278" s="115"/>
      <c r="AG278" s="115"/>
      <c r="AH278" s="115"/>
      <c r="AI278" s="115"/>
      <c r="AJ278" s="115"/>
      <c r="AK278" s="115"/>
      <c r="AL278" s="115"/>
      <c r="AM278" s="115"/>
      <c r="AN278" s="115"/>
      <c r="AO278" s="115"/>
      <c r="AP278" s="115"/>
      <c r="AQ278" s="115"/>
      <c r="AR278" s="115"/>
      <c r="AS278" s="115"/>
      <c r="AT278" s="115"/>
      <c r="AU278" s="115"/>
      <c r="AV278" s="115"/>
      <c r="AW278" s="115"/>
      <c r="AX278" s="115"/>
      <c r="AY278" s="115"/>
      <c r="AZ278" s="115"/>
      <c r="BA278" s="115"/>
      <c r="BB278" s="115"/>
      <c r="BC278" s="115"/>
      <c r="BD278" s="115"/>
      <c r="BE278" s="115"/>
      <c r="BF278" s="115"/>
      <c r="BG278" s="115"/>
      <c r="BH278" s="115"/>
      <c r="BI278" s="115"/>
      <c r="BJ278" s="115"/>
      <c r="BK278" s="115"/>
      <c r="BL278" s="115"/>
      <c r="BM278" s="115"/>
      <c r="BN278" s="115"/>
      <c r="BO278" s="115"/>
    </row>
    <row r="279" spans="1:67" ht="15.75" customHeight="1" thickBot="1" x14ac:dyDescent="0.4">
      <c r="A279" s="115"/>
      <c r="B279" s="1387"/>
      <c r="C279" s="1387"/>
      <c r="D279" s="115"/>
      <c r="E279" s="173"/>
      <c r="F279" s="115"/>
      <c r="G279" s="115"/>
      <c r="H279" s="115"/>
      <c r="I279" s="115"/>
      <c r="J279" s="115"/>
      <c r="K279" s="115"/>
      <c r="L279" s="115"/>
      <c r="M279" s="115"/>
      <c r="N279" s="115"/>
      <c r="O279" s="115"/>
      <c r="P279" s="115"/>
      <c r="Q279" s="115"/>
      <c r="R279" s="115"/>
      <c r="S279" s="115"/>
      <c r="T279" s="115"/>
      <c r="U279" s="115"/>
      <c r="V279" s="115"/>
      <c r="W279" s="115"/>
      <c r="X279" s="115"/>
      <c r="Y279" s="115"/>
      <c r="Z279" s="115"/>
      <c r="AA279" s="115"/>
      <c r="AB279" s="115"/>
      <c r="AC279" s="115"/>
      <c r="AD279" s="115"/>
      <c r="AE279" s="115"/>
      <c r="AF279" s="115"/>
      <c r="AG279" s="115"/>
      <c r="AH279" s="115"/>
      <c r="AI279" s="115"/>
      <c r="AJ279" s="115"/>
      <c r="AK279" s="115"/>
      <c r="AL279" s="115"/>
      <c r="AM279" s="115"/>
      <c r="AN279" s="115"/>
      <c r="AO279" s="115"/>
      <c r="AP279" s="115"/>
      <c r="AQ279" s="115"/>
      <c r="AR279" s="115"/>
      <c r="AS279" s="115"/>
      <c r="AT279" s="115"/>
      <c r="AU279" s="115"/>
      <c r="AV279" s="115"/>
      <c r="AW279" s="115"/>
      <c r="AX279" s="115"/>
      <c r="AY279" s="115"/>
      <c r="AZ279" s="115"/>
      <c r="BA279" s="115"/>
      <c r="BB279" s="115"/>
      <c r="BC279" s="115"/>
      <c r="BD279" s="115"/>
      <c r="BE279" s="115"/>
      <c r="BF279" s="115"/>
      <c r="BG279" s="115"/>
      <c r="BH279" s="115"/>
      <c r="BI279" s="115"/>
      <c r="BJ279" s="115"/>
      <c r="BK279" s="115"/>
      <c r="BL279" s="115"/>
      <c r="BM279" s="115"/>
      <c r="BN279" s="115"/>
      <c r="BO279" s="115"/>
    </row>
    <row r="280" spans="1:67" ht="15.75" customHeight="1" thickBot="1" x14ac:dyDescent="0.4">
      <c r="A280" s="115"/>
      <c r="B280" s="1387"/>
      <c r="C280" s="1387"/>
      <c r="D280" s="115"/>
      <c r="E280" s="173"/>
      <c r="F280" s="115"/>
      <c r="G280" s="115"/>
      <c r="H280" s="115"/>
      <c r="I280" s="115"/>
      <c r="J280" s="115"/>
      <c r="K280" s="115"/>
      <c r="L280" s="115"/>
      <c r="M280" s="115"/>
      <c r="N280" s="115"/>
      <c r="O280" s="115"/>
      <c r="P280" s="115"/>
      <c r="Q280" s="115"/>
      <c r="R280" s="115"/>
      <c r="S280" s="115"/>
      <c r="T280" s="115"/>
      <c r="U280" s="115"/>
      <c r="V280" s="115"/>
      <c r="W280" s="115"/>
      <c r="X280" s="115"/>
      <c r="Y280" s="115"/>
      <c r="Z280" s="115"/>
      <c r="AA280" s="115"/>
      <c r="AB280" s="115"/>
      <c r="AC280" s="115"/>
      <c r="AD280" s="115"/>
      <c r="AE280" s="115"/>
      <c r="AF280" s="115"/>
      <c r="AG280" s="115"/>
      <c r="AH280" s="115"/>
      <c r="AI280" s="115"/>
      <c r="AJ280" s="115"/>
      <c r="AK280" s="115"/>
      <c r="AL280" s="115"/>
      <c r="AM280" s="115"/>
      <c r="AN280" s="115"/>
      <c r="AO280" s="115"/>
      <c r="AP280" s="115"/>
      <c r="AQ280" s="115"/>
      <c r="AR280" s="115"/>
      <c r="AS280" s="115"/>
      <c r="AT280" s="115"/>
      <c r="AU280" s="115"/>
      <c r="AV280" s="115"/>
      <c r="AW280" s="115"/>
      <c r="AX280" s="115"/>
      <c r="AY280" s="115"/>
      <c r="AZ280" s="115"/>
      <c r="BA280" s="115"/>
      <c r="BB280" s="115"/>
      <c r="BC280" s="115"/>
      <c r="BD280" s="115"/>
      <c r="BE280" s="115"/>
      <c r="BF280" s="115"/>
      <c r="BG280" s="115"/>
      <c r="BH280" s="115"/>
      <c r="BI280" s="115"/>
      <c r="BJ280" s="115"/>
      <c r="BK280" s="115"/>
      <c r="BL280" s="115"/>
      <c r="BM280" s="115"/>
      <c r="BN280" s="115"/>
      <c r="BO280" s="115"/>
    </row>
    <row r="281" spans="1:67" ht="15.75" customHeight="1" thickBot="1" x14ac:dyDescent="0.4">
      <c r="A281" s="115"/>
      <c r="B281" s="1387"/>
      <c r="C281" s="1387"/>
      <c r="D281" s="115"/>
      <c r="E281" s="173"/>
      <c r="F281" s="115"/>
      <c r="G281" s="115"/>
      <c r="H281" s="115"/>
      <c r="I281" s="115"/>
      <c r="J281" s="115"/>
      <c r="K281" s="115"/>
      <c r="L281" s="115"/>
      <c r="M281" s="115"/>
      <c r="N281" s="115"/>
      <c r="O281" s="115"/>
      <c r="P281" s="115"/>
      <c r="Q281" s="115"/>
      <c r="R281" s="115"/>
      <c r="S281" s="115"/>
      <c r="T281" s="115"/>
      <c r="U281" s="115"/>
      <c r="V281" s="115"/>
      <c r="W281" s="115"/>
      <c r="X281" s="115"/>
      <c r="Y281" s="115"/>
      <c r="Z281" s="115"/>
      <c r="AA281" s="115"/>
      <c r="AB281" s="115"/>
      <c r="AC281" s="115"/>
      <c r="AD281" s="115"/>
      <c r="AE281" s="115"/>
      <c r="AF281" s="115"/>
      <c r="AG281" s="115"/>
      <c r="AH281" s="115"/>
      <c r="AI281" s="115"/>
      <c r="AJ281" s="115"/>
      <c r="AK281" s="115"/>
      <c r="AL281" s="115"/>
      <c r="AM281" s="115"/>
      <c r="AN281" s="115"/>
      <c r="AO281" s="115"/>
      <c r="AP281" s="115"/>
      <c r="AQ281" s="115"/>
      <c r="AR281" s="115"/>
      <c r="AS281" s="115"/>
      <c r="AT281" s="115"/>
      <c r="AU281" s="115"/>
      <c r="AV281" s="115"/>
      <c r="AW281" s="115"/>
      <c r="AX281" s="115"/>
      <c r="AY281" s="115"/>
      <c r="AZ281" s="115"/>
      <c r="BA281" s="115"/>
      <c r="BB281" s="115"/>
      <c r="BC281" s="115"/>
      <c r="BD281" s="115"/>
      <c r="BE281" s="115"/>
      <c r="BF281" s="115"/>
      <c r="BG281" s="115"/>
      <c r="BH281" s="115"/>
      <c r="BI281" s="115"/>
      <c r="BJ281" s="115"/>
      <c r="BK281" s="115"/>
      <c r="BL281" s="115"/>
      <c r="BM281" s="115"/>
      <c r="BN281" s="115"/>
      <c r="BO281" s="115"/>
    </row>
    <row r="282" spans="1:67" ht="15.75" customHeight="1" thickBot="1" x14ac:dyDescent="0.4">
      <c r="A282" s="115"/>
      <c r="B282" s="1387"/>
      <c r="C282" s="1387"/>
      <c r="D282" s="115"/>
      <c r="E282" s="173"/>
      <c r="F282" s="115"/>
      <c r="G282" s="115"/>
      <c r="H282" s="115"/>
      <c r="I282" s="115"/>
      <c r="J282" s="115"/>
      <c r="K282" s="115"/>
      <c r="L282" s="115"/>
      <c r="M282" s="115"/>
      <c r="N282" s="115"/>
      <c r="O282" s="115"/>
      <c r="P282" s="115"/>
      <c r="Q282" s="115"/>
      <c r="R282" s="115"/>
      <c r="S282" s="115"/>
      <c r="T282" s="115"/>
      <c r="U282" s="115"/>
      <c r="V282" s="115"/>
      <c r="W282" s="115"/>
      <c r="X282" s="115"/>
      <c r="Y282" s="115"/>
      <c r="Z282" s="115"/>
      <c r="AA282" s="115"/>
      <c r="AB282" s="115"/>
      <c r="AC282" s="115"/>
      <c r="AD282" s="115"/>
      <c r="AE282" s="115"/>
      <c r="AF282" s="115"/>
      <c r="AG282" s="115"/>
      <c r="AH282" s="115"/>
      <c r="AI282" s="115"/>
      <c r="AJ282" s="115"/>
      <c r="AK282" s="115"/>
      <c r="AL282" s="115"/>
      <c r="AM282" s="115"/>
      <c r="AN282" s="115"/>
      <c r="AO282" s="115"/>
      <c r="AP282" s="115"/>
      <c r="AQ282" s="115"/>
      <c r="AR282" s="115"/>
      <c r="AS282" s="115"/>
      <c r="AT282" s="115"/>
      <c r="AU282" s="115"/>
      <c r="AV282" s="115"/>
      <c r="AW282" s="115"/>
      <c r="AX282" s="115"/>
      <c r="AY282" s="115"/>
      <c r="AZ282" s="115"/>
      <c r="BA282" s="115"/>
      <c r="BB282" s="115"/>
      <c r="BC282" s="115"/>
      <c r="BD282" s="115"/>
      <c r="BE282" s="115"/>
      <c r="BF282" s="115"/>
      <c r="BG282" s="115"/>
      <c r="BH282" s="115"/>
      <c r="BI282" s="115"/>
      <c r="BJ282" s="115"/>
      <c r="BK282" s="115"/>
      <c r="BL282" s="115"/>
      <c r="BM282" s="115"/>
      <c r="BN282" s="115"/>
      <c r="BO282" s="115"/>
    </row>
    <row r="283" spans="1:67" ht="15.75" customHeight="1" thickBot="1" x14ac:dyDescent="0.4">
      <c r="A283" s="115"/>
      <c r="B283" s="1387"/>
      <c r="C283" s="1387"/>
      <c r="D283" s="115"/>
      <c r="E283" s="173"/>
      <c r="F283" s="115"/>
      <c r="G283" s="115"/>
      <c r="H283" s="115"/>
      <c r="I283" s="115"/>
      <c r="J283" s="115"/>
      <c r="K283" s="115"/>
      <c r="L283" s="115"/>
      <c r="M283" s="115"/>
      <c r="N283" s="115"/>
      <c r="O283" s="115"/>
      <c r="P283" s="115"/>
      <c r="Q283" s="115"/>
      <c r="R283" s="115"/>
      <c r="S283" s="115"/>
      <c r="T283" s="115"/>
      <c r="U283" s="115"/>
      <c r="V283" s="115"/>
      <c r="W283" s="115"/>
      <c r="X283" s="115"/>
      <c r="Y283" s="115"/>
      <c r="Z283" s="115"/>
      <c r="AA283" s="115"/>
      <c r="AB283" s="115"/>
      <c r="AC283" s="115"/>
      <c r="AD283" s="115"/>
      <c r="AE283" s="115"/>
      <c r="AF283" s="115"/>
      <c r="AG283" s="115"/>
      <c r="AH283" s="115"/>
      <c r="AI283" s="115"/>
      <c r="AJ283" s="115"/>
      <c r="AK283" s="115"/>
      <c r="AL283" s="115"/>
      <c r="AM283" s="115"/>
      <c r="AN283" s="115"/>
      <c r="AO283" s="115"/>
      <c r="AP283" s="115"/>
      <c r="AQ283" s="115"/>
      <c r="AR283" s="115"/>
      <c r="AS283" s="115"/>
      <c r="AT283" s="115"/>
      <c r="AU283" s="115"/>
      <c r="AV283" s="115"/>
      <c r="AW283" s="115"/>
      <c r="AX283" s="115"/>
      <c r="AY283" s="115"/>
      <c r="AZ283" s="115"/>
      <c r="BA283" s="115"/>
      <c r="BB283" s="115"/>
      <c r="BC283" s="115"/>
      <c r="BD283" s="115"/>
      <c r="BE283" s="115"/>
      <c r="BF283" s="115"/>
      <c r="BG283" s="115"/>
      <c r="BH283" s="115"/>
      <c r="BI283" s="115"/>
      <c r="BJ283" s="115"/>
      <c r="BK283" s="115"/>
      <c r="BL283" s="115"/>
      <c r="BM283" s="115"/>
      <c r="BN283" s="115"/>
      <c r="BO283" s="115"/>
    </row>
    <row r="284" spans="1:67" ht="15.75" customHeight="1" thickBot="1" x14ac:dyDescent="0.4">
      <c r="A284" s="115"/>
      <c r="B284" s="1387"/>
      <c r="C284" s="1387"/>
      <c r="D284" s="115"/>
      <c r="E284" s="173"/>
      <c r="F284" s="115"/>
      <c r="G284" s="115"/>
      <c r="H284" s="115"/>
      <c r="I284" s="115"/>
      <c r="J284" s="115"/>
      <c r="K284" s="115"/>
      <c r="L284" s="115"/>
      <c r="M284" s="115"/>
      <c r="N284" s="115"/>
      <c r="O284" s="115"/>
      <c r="P284" s="115"/>
      <c r="Q284" s="115"/>
      <c r="R284" s="115"/>
      <c r="S284" s="115"/>
      <c r="T284" s="115"/>
      <c r="U284" s="115"/>
      <c r="V284" s="115"/>
      <c r="W284" s="115"/>
      <c r="X284" s="115"/>
      <c r="Y284" s="115"/>
      <c r="Z284" s="115"/>
      <c r="AA284" s="115"/>
      <c r="AB284" s="115"/>
      <c r="AC284" s="115"/>
      <c r="AD284" s="115"/>
      <c r="AE284" s="115"/>
      <c r="AF284" s="115"/>
      <c r="AG284" s="115"/>
      <c r="AH284" s="115"/>
      <c r="AI284" s="115"/>
      <c r="AJ284" s="115"/>
      <c r="AK284" s="115"/>
      <c r="AL284" s="115"/>
      <c r="AM284" s="115"/>
      <c r="AN284" s="115"/>
      <c r="AO284" s="115"/>
      <c r="AP284" s="115"/>
      <c r="AQ284" s="115"/>
      <c r="AR284" s="115"/>
      <c r="AS284" s="115"/>
      <c r="AT284" s="115"/>
      <c r="AU284" s="115"/>
      <c r="AV284" s="115"/>
      <c r="AW284" s="115"/>
      <c r="AX284" s="115"/>
      <c r="AY284" s="115"/>
      <c r="AZ284" s="115"/>
      <c r="BA284" s="115"/>
      <c r="BB284" s="115"/>
      <c r="BC284" s="115"/>
      <c r="BD284" s="115"/>
      <c r="BE284" s="115"/>
      <c r="BF284" s="115"/>
      <c r="BG284" s="115"/>
      <c r="BH284" s="115"/>
      <c r="BI284" s="115"/>
      <c r="BJ284" s="115"/>
      <c r="BK284" s="115"/>
      <c r="BL284" s="115"/>
      <c r="BM284" s="115"/>
      <c r="BN284" s="115"/>
      <c r="BO284" s="115"/>
    </row>
    <row r="285" spans="1:67" ht="15.75" customHeight="1" thickBot="1" x14ac:dyDescent="0.4">
      <c r="A285" s="115"/>
      <c r="B285" s="1387"/>
      <c r="C285" s="1387"/>
      <c r="D285" s="115"/>
      <c r="E285" s="173"/>
      <c r="F285" s="115"/>
      <c r="G285" s="115"/>
      <c r="H285" s="115"/>
      <c r="I285" s="115"/>
      <c r="J285" s="115"/>
      <c r="K285" s="115"/>
      <c r="L285" s="115"/>
      <c r="M285" s="115"/>
      <c r="N285" s="115"/>
      <c r="O285" s="115"/>
      <c r="P285" s="115"/>
      <c r="Q285" s="115"/>
      <c r="R285" s="115"/>
      <c r="S285" s="115"/>
      <c r="T285" s="115"/>
      <c r="U285" s="115"/>
      <c r="V285" s="115"/>
      <c r="W285" s="115"/>
      <c r="X285" s="115"/>
      <c r="Y285" s="115"/>
      <c r="Z285" s="115"/>
      <c r="AA285" s="115"/>
      <c r="AB285" s="115"/>
      <c r="AC285" s="115"/>
      <c r="AD285" s="115"/>
      <c r="AE285" s="115"/>
      <c r="AF285" s="115"/>
      <c r="AG285" s="115"/>
      <c r="AH285" s="115"/>
      <c r="AI285" s="115"/>
      <c r="AJ285" s="115"/>
      <c r="AK285" s="115"/>
      <c r="AL285" s="115"/>
      <c r="AM285" s="115"/>
      <c r="AN285" s="115"/>
      <c r="AO285" s="115"/>
      <c r="AP285" s="115"/>
      <c r="AQ285" s="115"/>
      <c r="AR285" s="115"/>
      <c r="AS285" s="115"/>
      <c r="AT285" s="115"/>
      <c r="AU285" s="115"/>
      <c r="AV285" s="115"/>
      <c r="AW285" s="115"/>
      <c r="AX285" s="115"/>
      <c r="AY285" s="115"/>
      <c r="AZ285" s="115"/>
      <c r="BA285" s="115"/>
      <c r="BB285" s="115"/>
      <c r="BC285" s="115"/>
      <c r="BD285" s="115"/>
      <c r="BE285" s="115"/>
      <c r="BF285" s="115"/>
      <c r="BG285" s="115"/>
      <c r="BH285" s="115"/>
      <c r="BI285" s="115"/>
      <c r="BJ285" s="115"/>
      <c r="BK285" s="115"/>
      <c r="BL285" s="115"/>
      <c r="BM285" s="115"/>
      <c r="BN285" s="115"/>
      <c r="BO285" s="115"/>
    </row>
    <row r="286" spans="1:67" ht="15.75" customHeight="1" thickBot="1" x14ac:dyDescent="0.4">
      <c r="A286" s="115"/>
      <c r="B286" s="1387"/>
      <c r="C286" s="1387"/>
      <c r="D286" s="115"/>
      <c r="E286" s="173"/>
      <c r="F286" s="115"/>
      <c r="G286" s="115"/>
      <c r="H286" s="115"/>
      <c r="I286" s="115"/>
      <c r="J286" s="115"/>
      <c r="K286" s="115"/>
      <c r="L286" s="115"/>
      <c r="M286" s="115"/>
      <c r="N286" s="115"/>
      <c r="O286" s="115"/>
      <c r="P286" s="115"/>
      <c r="Q286" s="115"/>
      <c r="R286" s="115"/>
      <c r="S286" s="115"/>
      <c r="T286" s="115"/>
      <c r="U286" s="115"/>
      <c r="V286" s="115"/>
      <c r="W286" s="115"/>
      <c r="X286" s="115"/>
      <c r="Y286" s="115"/>
      <c r="Z286" s="115"/>
      <c r="AA286" s="115"/>
      <c r="AB286" s="115"/>
      <c r="AC286" s="115"/>
      <c r="AD286" s="115"/>
      <c r="AE286" s="115"/>
      <c r="AF286" s="115"/>
      <c r="AG286" s="115"/>
      <c r="AH286" s="115"/>
      <c r="AI286" s="115"/>
      <c r="AJ286" s="115"/>
      <c r="AK286" s="115"/>
      <c r="AL286" s="115"/>
      <c r="AM286" s="115"/>
      <c r="AN286" s="115"/>
      <c r="AO286" s="115"/>
      <c r="AP286" s="115"/>
      <c r="AQ286" s="115"/>
      <c r="AR286" s="115"/>
      <c r="AS286" s="115"/>
      <c r="AT286" s="115"/>
      <c r="AU286" s="115"/>
      <c r="AV286" s="115"/>
      <c r="AW286" s="115"/>
      <c r="AX286" s="115"/>
      <c r="AY286" s="115"/>
      <c r="AZ286" s="115"/>
      <c r="BA286" s="115"/>
      <c r="BB286" s="115"/>
      <c r="BC286" s="115"/>
      <c r="BD286" s="115"/>
      <c r="BE286" s="115"/>
      <c r="BF286" s="115"/>
      <c r="BG286" s="115"/>
      <c r="BH286" s="115"/>
      <c r="BI286" s="115"/>
      <c r="BJ286" s="115"/>
      <c r="BK286" s="115"/>
      <c r="BL286" s="115"/>
      <c r="BM286" s="115"/>
      <c r="BN286" s="115"/>
      <c r="BO286" s="115"/>
    </row>
    <row r="287" spans="1:67" ht="15.75" customHeight="1" thickBot="1" x14ac:dyDescent="0.4">
      <c r="A287" s="115"/>
      <c r="B287" s="1387"/>
      <c r="C287" s="1387"/>
      <c r="D287" s="115"/>
      <c r="E287" s="173"/>
      <c r="F287" s="115"/>
      <c r="G287" s="115"/>
      <c r="H287" s="115"/>
      <c r="I287" s="115"/>
      <c r="J287" s="115"/>
      <c r="K287" s="115"/>
      <c r="L287" s="115"/>
      <c r="M287" s="115"/>
      <c r="N287" s="115"/>
      <c r="O287" s="115"/>
      <c r="P287" s="115"/>
      <c r="Q287" s="115"/>
      <c r="R287" s="115"/>
      <c r="S287" s="115"/>
      <c r="T287" s="115"/>
      <c r="U287" s="115"/>
      <c r="V287" s="115"/>
      <c r="W287" s="115"/>
      <c r="X287" s="115"/>
      <c r="Y287" s="115"/>
      <c r="Z287" s="115"/>
      <c r="AA287" s="115"/>
      <c r="AB287" s="115"/>
      <c r="AC287" s="115"/>
      <c r="AD287" s="115"/>
      <c r="AE287" s="115"/>
      <c r="AF287" s="115"/>
      <c r="AG287" s="115"/>
      <c r="AH287" s="115"/>
      <c r="AI287" s="115"/>
      <c r="AJ287" s="115"/>
      <c r="AK287" s="115"/>
      <c r="AL287" s="115"/>
      <c r="AM287" s="115"/>
      <c r="AN287" s="115"/>
      <c r="AO287" s="115"/>
      <c r="AP287" s="115"/>
      <c r="AQ287" s="115"/>
      <c r="AR287" s="115"/>
      <c r="AS287" s="115"/>
      <c r="AT287" s="115"/>
      <c r="AU287" s="115"/>
      <c r="AV287" s="115"/>
      <c r="AW287" s="115"/>
      <c r="AX287" s="115"/>
      <c r="AY287" s="115"/>
      <c r="AZ287" s="115"/>
      <c r="BA287" s="115"/>
      <c r="BB287" s="115"/>
      <c r="BC287" s="115"/>
      <c r="BD287" s="115"/>
      <c r="BE287" s="115"/>
      <c r="BF287" s="115"/>
      <c r="BG287" s="115"/>
      <c r="BH287" s="115"/>
      <c r="BI287" s="115"/>
      <c r="BJ287" s="115"/>
      <c r="BK287" s="115"/>
      <c r="BL287" s="115"/>
      <c r="BM287" s="115"/>
      <c r="BN287" s="115"/>
      <c r="BO287" s="115"/>
    </row>
    <row r="288" spans="1:67" ht="15.75" customHeight="1" thickBot="1" x14ac:dyDescent="0.4">
      <c r="A288" s="115"/>
      <c r="B288" s="1387"/>
      <c r="C288" s="1387"/>
      <c r="D288" s="115"/>
      <c r="E288" s="173"/>
      <c r="F288" s="115"/>
      <c r="G288" s="115"/>
      <c r="H288" s="115"/>
      <c r="I288" s="115"/>
      <c r="J288" s="115"/>
      <c r="K288" s="115"/>
      <c r="L288" s="115"/>
      <c r="M288" s="115"/>
      <c r="N288" s="115"/>
      <c r="O288" s="115"/>
      <c r="P288" s="115"/>
      <c r="Q288" s="115"/>
      <c r="R288" s="115"/>
      <c r="S288" s="115"/>
      <c r="T288" s="115"/>
      <c r="U288" s="115"/>
      <c r="V288" s="115"/>
      <c r="W288" s="115"/>
      <c r="X288" s="115"/>
      <c r="Y288" s="115"/>
      <c r="Z288" s="115"/>
      <c r="AA288" s="115"/>
      <c r="AB288" s="115"/>
      <c r="AC288" s="115"/>
      <c r="AD288" s="115"/>
      <c r="AE288" s="115"/>
      <c r="AF288" s="115"/>
      <c r="AG288" s="115"/>
      <c r="AH288" s="115"/>
      <c r="AI288" s="115"/>
      <c r="AJ288" s="115"/>
      <c r="AK288" s="115"/>
      <c r="AL288" s="115"/>
      <c r="AM288" s="115"/>
      <c r="AN288" s="115"/>
      <c r="AO288" s="115"/>
      <c r="AP288" s="115"/>
      <c r="AQ288" s="115"/>
      <c r="AR288" s="115"/>
      <c r="AS288" s="115"/>
      <c r="AT288" s="115"/>
      <c r="AU288" s="115"/>
      <c r="AV288" s="115"/>
      <c r="AW288" s="115"/>
      <c r="AX288" s="115"/>
      <c r="AY288" s="115"/>
      <c r="AZ288" s="115"/>
      <c r="BA288" s="115"/>
      <c r="BB288" s="115"/>
      <c r="BC288" s="115"/>
      <c r="BD288" s="115"/>
      <c r="BE288" s="115"/>
      <c r="BF288" s="115"/>
      <c r="BG288" s="115"/>
      <c r="BH288" s="115"/>
      <c r="BI288" s="115"/>
      <c r="BJ288" s="115"/>
      <c r="BK288" s="115"/>
      <c r="BL288" s="115"/>
      <c r="BM288" s="115"/>
      <c r="BN288" s="115"/>
      <c r="BO288" s="115"/>
    </row>
    <row r="289" spans="1:67" ht="15.75" customHeight="1" thickBot="1" x14ac:dyDescent="0.4">
      <c r="A289" s="115"/>
      <c r="B289" s="1387"/>
      <c r="C289" s="1387"/>
      <c r="D289" s="115"/>
      <c r="E289" s="173"/>
      <c r="F289" s="115"/>
      <c r="G289" s="115"/>
      <c r="H289" s="115"/>
      <c r="I289" s="115"/>
      <c r="J289" s="115"/>
      <c r="K289" s="115"/>
      <c r="L289" s="115"/>
      <c r="M289" s="115"/>
      <c r="N289" s="115"/>
      <c r="O289" s="115"/>
      <c r="P289" s="115"/>
      <c r="Q289" s="115"/>
      <c r="R289" s="115"/>
      <c r="S289" s="115"/>
      <c r="T289" s="115"/>
      <c r="U289" s="115"/>
      <c r="V289" s="115"/>
      <c r="W289" s="115"/>
      <c r="X289" s="115"/>
      <c r="Y289" s="115"/>
      <c r="Z289" s="115"/>
      <c r="AA289" s="115"/>
      <c r="AB289" s="115"/>
      <c r="AC289" s="115"/>
      <c r="AD289" s="115"/>
      <c r="AE289" s="115"/>
      <c r="AF289" s="115"/>
      <c r="AG289" s="115"/>
      <c r="AH289" s="115"/>
      <c r="AI289" s="115"/>
      <c r="AJ289" s="115"/>
      <c r="AK289" s="115"/>
      <c r="AL289" s="115"/>
      <c r="AM289" s="115"/>
      <c r="AN289" s="115"/>
      <c r="AO289" s="115"/>
      <c r="AP289" s="115"/>
      <c r="AQ289" s="115"/>
      <c r="AR289" s="115"/>
      <c r="AS289" s="115"/>
      <c r="AT289" s="115"/>
      <c r="AU289" s="115"/>
      <c r="AV289" s="115"/>
      <c r="AW289" s="115"/>
      <c r="AX289" s="115"/>
      <c r="AY289" s="115"/>
      <c r="AZ289" s="115"/>
      <c r="BA289" s="115"/>
      <c r="BB289" s="115"/>
      <c r="BC289" s="115"/>
      <c r="BD289" s="115"/>
      <c r="BE289" s="115"/>
      <c r="BF289" s="115"/>
      <c r="BG289" s="115"/>
      <c r="BH289" s="115"/>
      <c r="BI289" s="115"/>
      <c r="BJ289" s="115"/>
      <c r="BK289" s="115"/>
      <c r="BL289" s="115"/>
      <c r="BM289" s="115"/>
      <c r="BN289" s="115"/>
      <c r="BO289" s="115"/>
    </row>
    <row r="290" spans="1:67" ht="15.75" customHeight="1" thickBot="1" x14ac:dyDescent="0.4">
      <c r="A290" s="115"/>
      <c r="B290" s="1387"/>
      <c r="C290" s="1387"/>
      <c r="D290" s="115"/>
      <c r="E290" s="173"/>
      <c r="F290" s="115"/>
      <c r="G290" s="115"/>
      <c r="H290" s="115"/>
      <c r="I290" s="115"/>
      <c r="J290" s="115"/>
      <c r="K290" s="115"/>
      <c r="L290" s="115"/>
      <c r="M290" s="115"/>
      <c r="N290" s="115"/>
      <c r="O290" s="115"/>
      <c r="P290" s="115"/>
      <c r="Q290" s="115"/>
      <c r="R290" s="115"/>
      <c r="S290" s="115"/>
      <c r="T290" s="115"/>
      <c r="U290" s="115"/>
      <c r="V290" s="115"/>
      <c r="W290" s="115"/>
      <c r="X290" s="115"/>
      <c r="Y290" s="115"/>
      <c r="Z290" s="115"/>
      <c r="AA290" s="115"/>
      <c r="AB290" s="115"/>
      <c r="AC290" s="115"/>
      <c r="AD290" s="115"/>
      <c r="AE290" s="115"/>
      <c r="AF290" s="115"/>
      <c r="AG290" s="115"/>
      <c r="AH290" s="115"/>
      <c r="AI290" s="115"/>
      <c r="AJ290" s="115"/>
      <c r="AK290" s="115"/>
      <c r="AL290" s="115"/>
      <c r="AM290" s="115"/>
      <c r="AN290" s="115"/>
      <c r="AO290" s="115"/>
      <c r="AP290" s="115"/>
      <c r="AQ290" s="115"/>
      <c r="AR290" s="115"/>
      <c r="AS290" s="115"/>
      <c r="AT290" s="115"/>
      <c r="AU290" s="115"/>
      <c r="AV290" s="115"/>
      <c r="AW290" s="115"/>
      <c r="AX290" s="115"/>
      <c r="AY290" s="115"/>
      <c r="AZ290" s="115"/>
      <c r="BA290" s="115"/>
      <c r="BB290" s="115"/>
      <c r="BC290" s="115"/>
      <c r="BD290" s="115"/>
      <c r="BE290" s="115"/>
      <c r="BF290" s="115"/>
      <c r="BG290" s="115"/>
      <c r="BH290" s="115"/>
      <c r="BI290" s="115"/>
      <c r="BJ290" s="115"/>
      <c r="BK290" s="115"/>
      <c r="BL290" s="115"/>
      <c r="BM290" s="115"/>
      <c r="BN290" s="115"/>
      <c r="BO290" s="115"/>
    </row>
    <row r="291" spans="1:67" ht="15.75" customHeight="1" thickBot="1" x14ac:dyDescent="0.4">
      <c r="A291" s="115"/>
      <c r="B291" s="1387"/>
      <c r="C291" s="1387"/>
      <c r="D291" s="115"/>
      <c r="E291" s="173"/>
      <c r="F291" s="115"/>
      <c r="G291" s="115"/>
      <c r="H291" s="115"/>
      <c r="I291" s="115"/>
      <c r="J291" s="115"/>
      <c r="K291" s="115"/>
      <c r="L291" s="115"/>
      <c r="M291" s="115"/>
      <c r="N291" s="115"/>
      <c r="O291" s="115"/>
      <c r="P291" s="115"/>
      <c r="Q291" s="115"/>
      <c r="R291" s="115"/>
      <c r="S291" s="115"/>
      <c r="T291" s="115"/>
      <c r="U291" s="115"/>
      <c r="V291" s="115"/>
      <c r="W291" s="115"/>
      <c r="X291" s="115"/>
      <c r="Y291" s="115"/>
      <c r="Z291" s="115"/>
      <c r="AA291" s="115"/>
      <c r="AB291" s="115"/>
      <c r="AC291" s="115"/>
      <c r="AD291" s="115"/>
      <c r="AE291" s="115"/>
      <c r="AF291" s="115"/>
      <c r="AG291" s="115"/>
      <c r="AH291" s="115"/>
      <c r="AI291" s="115"/>
      <c r="AJ291" s="115"/>
      <c r="AK291" s="115"/>
      <c r="AL291" s="115"/>
      <c r="AM291" s="115"/>
      <c r="AN291" s="115"/>
      <c r="AO291" s="115"/>
      <c r="AP291" s="115"/>
      <c r="AQ291" s="115"/>
      <c r="AR291" s="115"/>
      <c r="AS291" s="115"/>
      <c r="AT291" s="115"/>
      <c r="AU291" s="115"/>
      <c r="AV291" s="115"/>
      <c r="AW291" s="115"/>
      <c r="AX291" s="115"/>
      <c r="AY291" s="115"/>
      <c r="AZ291" s="115"/>
      <c r="BA291" s="115"/>
      <c r="BB291" s="115"/>
      <c r="BC291" s="115"/>
      <c r="BD291" s="115"/>
      <c r="BE291" s="115"/>
      <c r="BF291" s="115"/>
      <c r="BG291" s="115"/>
      <c r="BH291" s="115"/>
      <c r="BI291" s="115"/>
      <c r="BJ291" s="115"/>
      <c r="BK291" s="115"/>
      <c r="BL291" s="115"/>
      <c r="BM291" s="115"/>
      <c r="BN291" s="115"/>
      <c r="BO291" s="115"/>
    </row>
    <row r="292" spans="1:67" ht="15.75" customHeight="1" thickBot="1" x14ac:dyDescent="0.4">
      <c r="A292" s="115"/>
      <c r="B292" s="1387"/>
      <c r="C292" s="1387"/>
      <c r="D292" s="115"/>
      <c r="E292" s="173"/>
      <c r="F292" s="115"/>
      <c r="G292" s="115"/>
      <c r="H292" s="115"/>
      <c r="I292" s="115"/>
      <c r="J292" s="115"/>
      <c r="K292" s="115"/>
      <c r="L292" s="115"/>
      <c r="M292" s="115"/>
      <c r="N292" s="115"/>
      <c r="O292" s="115"/>
      <c r="P292" s="115"/>
      <c r="Q292" s="115"/>
      <c r="R292" s="115"/>
      <c r="S292" s="115"/>
      <c r="T292" s="115"/>
      <c r="U292" s="115"/>
      <c r="V292" s="115"/>
      <c r="W292" s="115"/>
      <c r="X292" s="115"/>
      <c r="Y292" s="115"/>
      <c r="Z292" s="115"/>
      <c r="AA292" s="115"/>
      <c r="AB292" s="115"/>
      <c r="AC292" s="115"/>
      <c r="AD292" s="115"/>
      <c r="AE292" s="115"/>
      <c r="AF292" s="115"/>
      <c r="AG292" s="115"/>
      <c r="AH292" s="115"/>
      <c r="AI292" s="115"/>
      <c r="AJ292" s="115"/>
      <c r="AK292" s="115"/>
      <c r="AL292" s="115"/>
      <c r="AM292" s="115"/>
      <c r="AN292" s="115"/>
      <c r="AO292" s="115"/>
      <c r="AP292" s="115"/>
      <c r="AQ292" s="115"/>
      <c r="AR292" s="115"/>
      <c r="AS292" s="115"/>
      <c r="AT292" s="115"/>
      <c r="AU292" s="115"/>
      <c r="AV292" s="115"/>
      <c r="AW292" s="115"/>
      <c r="AX292" s="115"/>
      <c r="AY292" s="115"/>
      <c r="AZ292" s="115"/>
      <c r="BA292" s="115"/>
      <c r="BB292" s="115"/>
      <c r="BC292" s="115"/>
      <c r="BD292" s="115"/>
      <c r="BE292" s="115"/>
      <c r="BF292" s="115"/>
      <c r="BG292" s="115"/>
      <c r="BH292" s="115"/>
      <c r="BI292" s="115"/>
      <c r="BJ292" s="115"/>
      <c r="BK292" s="115"/>
      <c r="BL292" s="115"/>
      <c r="BM292" s="115"/>
      <c r="BN292" s="115"/>
      <c r="BO292" s="115"/>
    </row>
    <row r="293" spans="1:67" ht="15.75" customHeight="1" thickBot="1" x14ac:dyDescent="0.4">
      <c r="A293" s="115"/>
      <c r="B293" s="1387"/>
      <c r="C293" s="1387"/>
      <c r="D293" s="115"/>
      <c r="E293" s="173"/>
      <c r="F293" s="115"/>
      <c r="G293" s="115"/>
      <c r="H293" s="115"/>
      <c r="I293" s="115"/>
      <c r="J293" s="115"/>
      <c r="K293" s="115"/>
      <c r="L293" s="115"/>
      <c r="M293" s="115"/>
      <c r="N293" s="115"/>
      <c r="O293" s="115"/>
      <c r="P293" s="115"/>
      <c r="Q293" s="115"/>
      <c r="R293" s="115"/>
      <c r="S293" s="115"/>
      <c r="T293" s="115"/>
      <c r="U293" s="115"/>
      <c r="V293" s="115"/>
      <c r="W293" s="115"/>
      <c r="X293" s="115"/>
      <c r="Y293" s="115"/>
      <c r="Z293" s="115"/>
      <c r="AA293" s="115"/>
      <c r="AB293" s="115"/>
      <c r="AC293" s="115"/>
      <c r="AD293" s="115"/>
      <c r="AE293" s="115"/>
      <c r="AF293" s="115"/>
      <c r="AG293" s="115"/>
      <c r="AH293" s="115"/>
      <c r="AI293" s="115"/>
      <c r="AJ293" s="115"/>
      <c r="AK293" s="115"/>
      <c r="AL293" s="115"/>
      <c r="AM293" s="115"/>
      <c r="AN293" s="115"/>
      <c r="AO293" s="115"/>
      <c r="AP293" s="115"/>
      <c r="AQ293" s="115"/>
      <c r="AR293" s="115"/>
      <c r="AS293" s="115"/>
      <c r="AT293" s="115"/>
      <c r="AU293" s="115"/>
      <c r="AV293" s="115"/>
      <c r="AW293" s="115"/>
      <c r="AX293" s="115"/>
      <c r="AY293" s="115"/>
      <c r="AZ293" s="115"/>
      <c r="BA293" s="115"/>
      <c r="BB293" s="115"/>
      <c r="BC293" s="115"/>
      <c r="BD293" s="115"/>
      <c r="BE293" s="115"/>
      <c r="BF293" s="115"/>
      <c r="BG293" s="115"/>
      <c r="BH293" s="115"/>
      <c r="BI293" s="115"/>
      <c r="BJ293" s="115"/>
      <c r="BK293" s="115"/>
      <c r="BL293" s="115"/>
      <c r="BM293" s="115"/>
      <c r="BN293" s="115"/>
      <c r="BO293" s="115"/>
    </row>
    <row r="294" spans="1:67" ht="15.75" customHeight="1" thickBot="1" x14ac:dyDescent="0.4">
      <c r="A294" s="115"/>
      <c r="B294" s="1387"/>
      <c r="C294" s="1387"/>
      <c r="D294" s="115"/>
      <c r="E294" s="173"/>
      <c r="F294" s="115"/>
      <c r="G294" s="115"/>
      <c r="H294" s="115"/>
      <c r="I294" s="115"/>
      <c r="J294" s="115"/>
      <c r="K294" s="115"/>
      <c r="L294" s="115"/>
      <c r="M294" s="115"/>
      <c r="N294" s="115"/>
      <c r="O294" s="115"/>
      <c r="P294" s="115"/>
      <c r="Q294" s="115"/>
      <c r="R294" s="115"/>
      <c r="S294" s="115"/>
      <c r="T294" s="115"/>
      <c r="U294" s="115"/>
      <c r="V294" s="115"/>
      <c r="W294" s="115"/>
      <c r="X294" s="115"/>
      <c r="Y294" s="115"/>
      <c r="Z294" s="115"/>
      <c r="AA294" s="115"/>
      <c r="AB294" s="115"/>
      <c r="AC294" s="115"/>
      <c r="AD294" s="115"/>
      <c r="AE294" s="115"/>
      <c r="AF294" s="115"/>
      <c r="AG294" s="115"/>
      <c r="AH294" s="115"/>
      <c r="AI294" s="115"/>
      <c r="AJ294" s="115"/>
      <c r="AK294" s="115"/>
      <c r="AL294" s="115"/>
      <c r="AM294" s="115"/>
      <c r="AN294" s="115"/>
      <c r="AO294" s="115"/>
      <c r="AP294" s="115"/>
      <c r="AQ294" s="115"/>
      <c r="AR294" s="115"/>
      <c r="AS294" s="115"/>
      <c r="AT294" s="115"/>
      <c r="AU294" s="115"/>
      <c r="AV294" s="115"/>
      <c r="AW294" s="115"/>
      <c r="AX294" s="115"/>
      <c r="AY294" s="115"/>
      <c r="AZ294" s="115"/>
      <c r="BA294" s="115"/>
      <c r="BB294" s="115"/>
      <c r="BC294" s="115"/>
      <c r="BD294" s="115"/>
      <c r="BE294" s="115"/>
      <c r="BF294" s="115"/>
      <c r="BG294" s="115"/>
      <c r="BH294" s="115"/>
      <c r="BI294" s="115"/>
      <c r="BJ294" s="115"/>
      <c r="BK294" s="115"/>
      <c r="BL294" s="115"/>
      <c r="BM294" s="115"/>
      <c r="BN294" s="115"/>
      <c r="BO294" s="115"/>
    </row>
    <row r="295" spans="1:67" ht="15.75" customHeight="1" thickBot="1" x14ac:dyDescent="0.4">
      <c r="A295" s="115"/>
      <c r="B295" s="1387"/>
      <c r="C295" s="1387"/>
      <c r="D295" s="115"/>
      <c r="E295" s="173"/>
      <c r="F295" s="115"/>
      <c r="G295" s="115"/>
      <c r="H295" s="115"/>
      <c r="I295" s="115"/>
      <c r="J295" s="115"/>
      <c r="K295" s="115"/>
      <c r="L295" s="115"/>
      <c r="M295" s="115"/>
      <c r="N295" s="115"/>
      <c r="O295" s="115"/>
      <c r="P295" s="115"/>
      <c r="Q295" s="115"/>
      <c r="R295" s="115"/>
      <c r="S295" s="115"/>
      <c r="T295" s="115"/>
      <c r="U295" s="115"/>
      <c r="V295" s="115"/>
      <c r="W295" s="115"/>
      <c r="X295" s="115"/>
      <c r="Y295" s="115"/>
      <c r="Z295" s="115"/>
      <c r="AA295" s="115"/>
      <c r="AB295" s="115"/>
      <c r="AC295" s="115"/>
      <c r="AD295" s="115"/>
      <c r="AE295" s="115"/>
      <c r="AF295" s="115"/>
      <c r="AG295" s="115"/>
      <c r="AH295" s="115"/>
      <c r="AI295" s="115"/>
      <c r="AJ295" s="115"/>
      <c r="AK295" s="115"/>
      <c r="AL295" s="115"/>
      <c r="AM295" s="115"/>
      <c r="AN295" s="115"/>
      <c r="AO295" s="115"/>
      <c r="AP295" s="115"/>
      <c r="AQ295" s="115"/>
      <c r="AR295" s="115"/>
      <c r="AS295" s="115"/>
      <c r="AT295" s="115"/>
      <c r="AU295" s="115"/>
      <c r="AV295" s="115"/>
      <c r="AW295" s="115"/>
      <c r="AX295" s="115"/>
      <c r="AY295" s="115"/>
      <c r="AZ295" s="115"/>
      <c r="BA295" s="115"/>
      <c r="BB295" s="115"/>
      <c r="BC295" s="115"/>
      <c r="BD295" s="115"/>
      <c r="BE295" s="115"/>
      <c r="BF295" s="115"/>
      <c r="BG295" s="115"/>
      <c r="BH295" s="115"/>
      <c r="BI295" s="115"/>
      <c r="BJ295" s="115"/>
      <c r="BK295" s="115"/>
      <c r="BL295" s="115"/>
      <c r="BM295" s="115"/>
      <c r="BN295" s="115"/>
      <c r="BO295" s="115"/>
    </row>
    <row r="296" spans="1:67" ht="15.75" customHeight="1" thickBot="1" x14ac:dyDescent="0.4">
      <c r="A296" s="115"/>
      <c r="B296" s="1387"/>
      <c r="C296" s="1387"/>
      <c r="D296" s="115"/>
      <c r="E296" s="173"/>
      <c r="F296" s="115"/>
      <c r="G296" s="115"/>
      <c r="H296" s="115"/>
      <c r="I296" s="115"/>
      <c r="J296" s="115"/>
      <c r="K296" s="115"/>
      <c r="L296" s="115"/>
      <c r="M296" s="115"/>
      <c r="N296" s="115"/>
      <c r="O296" s="115"/>
      <c r="P296" s="115"/>
      <c r="Q296" s="115"/>
      <c r="R296" s="115"/>
      <c r="S296" s="115"/>
      <c r="T296" s="115"/>
      <c r="U296" s="115"/>
      <c r="V296" s="115"/>
      <c r="W296" s="115"/>
      <c r="X296" s="115"/>
      <c r="Y296" s="115"/>
      <c r="Z296" s="115"/>
      <c r="AA296" s="115"/>
      <c r="AB296" s="115"/>
      <c r="AC296" s="115"/>
      <c r="AD296" s="115"/>
      <c r="AE296" s="115"/>
      <c r="AF296" s="115"/>
      <c r="AG296" s="115"/>
      <c r="AH296" s="115"/>
      <c r="AI296" s="115"/>
      <c r="AJ296" s="115"/>
      <c r="AK296" s="115"/>
      <c r="AL296" s="115"/>
      <c r="AM296" s="115"/>
      <c r="AN296" s="115"/>
      <c r="AO296" s="115"/>
      <c r="AP296" s="115"/>
      <c r="AQ296" s="115"/>
      <c r="AR296" s="115"/>
      <c r="AS296" s="115"/>
      <c r="AT296" s="115"/>
      <c r="AU296" s="115"/>
      <c r="AV296" s="115"/>
      <c r="AW296" s="115"/>
      <c r="AX296" s="115"/>
      <c r="AY296" s="115"/>
      <c r="AZ296" s="115"/>
      <c r="BA296" s="115"/>
      <c r="BB296" s="115"/>
      <c r="BC296" s="115"/>
      <c r="BD296" s="115"/>
      <c r="BE296" s="115"/>
      <c r="BF296" s="115"/>
      <c r="BG296" s="115"/>
      <c r="BH296" s="115"/>
      <c r="BI296" s="115"/>
      <c r="BJ296" s="115"/>
      <c r="BK296" s="115"/>
      <c r="BL296" s="115"/>
      <c r="BM296" s="115"/>
      <c r="BN296" s="115"/>
      <c r="BO296" s="115"/>
    </row>
    <row r="297" spans="1:67" ht="15.75" customHeight="1" thickBot="1" x14ac:dyDescent="0.4">
      <c r="A297" s="115"/>
      <c r="B297" s="1387"/>
      <c r="C297" s="1387"/>
      <c r="D297" s="115"/>
      <c r="E297" s="173"/>
      <c r="F297" s="115"/>
      <c r="G297" s="115"/>
      <c r="H297" s="115"/>
      <c r="I297" s="115"/>
      <c r="J297" s="115"/>
      <c r="K297" s="115"/>
      <c r="L297" s="115"/>
      <c r="M297" s="115"/>
      <c r="N297" s="115"/>
      <c r="O297" s="115"/>
      <c r="P297" s="115"/>
      <c r="Q297" s="115"/>
      <c r="R297" s="115"/>
      <c r="S297" s="115"/>
      <c r="T297" s="115"/>
      <c r="U297" s="115"/>
      <c r="V297" s="115"/>
      <c r="W297" s="115"/>
      <c r="X297" s="115"/>
      <c r="Y297" s="115"/>
      <c r="Z297" s="115"/>
      <c r="AA297" s="115"/>
      <c r="AB297" s="115"/>
      <c r="AC297" s="115"/>
      <c r="AD297" s="115"/>
      <c r="AE297" s="115"/>
      <c r="AF297" s="115"/>
      <c r="AG297" s="115"/>
      <c r="AH297" s="115"/>
      <c r="AI297" s="115"/>
      <c r="AJ297" s="115"/>
      <c r="AK297" s="115"/>
      <c r="AL297" s="115"/>
      <c r="AM297" s="115"/>
      <c r="AN297" s="115"/>
      <c r="AO297" s="115"/>
      <c r="AP297" s="115"/>
      <c r="AQ297" s="115"/>
      <c r="AR297" s="115"/>
      <c r="AS297" s="115"/>
      <c r="AT297" s="115"/>
      <c r="AU297" s="115"/>
      <c r="AV297" s="115"/>
      <c r="AW297" s="115"/>
      <c r="AX297" s="115"/>
      <c r="AY297" s="115"/>
      <c r="AZ297" s="115"/>
      <c r="BA297" s="115"/>
      <c r="BB297" s="115"/>
      <c r="BC297" s="115"/>
      <c r="BD297" s="115"/>
      <c r="BE297" s="115"/>
      <c r="BF297" s="115"/>
      <c r="BG297" s="115"/>
      <c r="BH297" s="115"/>
      <c r="BI297" s="115"/>
      <c r="BJ297" s="115"/>
      <c r="BK297" s="115"/>
      <c r="BL297" s="115"/>
      <c r="BM297" s="115"/>
      <c r="BN297" s="115"/>
      <c r="BO297" s="115"/>
    </row>
    <row r="298" spans="1:67" ht="15.75" customHeight="1" thickBot="1" x14ac:dyDescent="0.4">
      <c r="A298" s="115"/>
      <c r="B298" s="1387"/>
      <c r="C298" s="1387"/>
      <c r="D298" s="115"/>
      <c r="E298" s="173"/>
      <c r="F298" s="115"/>
      <c r="G298" s="115"/>
      <c r="H298" s="115"/>
      <c r="I298" s="115"/>
      <c r="J298" s="115"/>
      <c r="K298" s="115"/>
      <c r="L298" s="115"/>
      <c r="M298" s="115"/>
      <c r="N298" s="115"/>
      <c r="O298" s="115"/>
      <c r="P298" s="115"/>
      <c r="Q298" s="115"/>
      <c r="R298" s="115"/>
      <c r="S298" s="115"/>
      <c r="T298" s="115"/>
      <c r="U298" s="115"/>
      <c r="V298" s="115"/>
      <c r="W298" s="115"/>
      <c r="X298" s="115"/>
      <c r="Y298" s="115"/>
      <c r="Z298" s="115"/>
      <c r="AA298" s="115"/>
      <c r="AB298" s="115"/>
      <c r="AC298" s="115"/>
      <c r="AD298" s="115"/>
      <c r="AE298" s="115"/>
      <c r="AF298" s="115"/>
      <c r="AG298" s="115"/>
      <c r="AH298" s="115"/>
      <c r="AI298" s="115"/>
      <c r="AJ298" s="115"/>
      <c r="AK298" s="115"/>
      <c r="AL298" s="115"/>
      <c r="AM298" s="115"/>
      <c r="AN298" s="115"/>
      <c r="AO298" s="115"/>
      <c r="AP298" s="115"/>
      <c r="AQ298" s="115"/>
      <c r="AR298" s="115"/>
      <c r="AS298" s="115"/>
      <c r="AT298" s="115"/>
      <c r="AU298" s="115"/>
      <c r="AV298" s="115"/>
      <c r="AW298" s="115"/>
      <c r="AX298" s="115"/>
      <c r="AY298" s="115"/>
      <c r="AZ298" s="115"/>
      <c r="BA298" s="115"/>
      <c r="BB298" s="115"/>
      <c r="BC298" s="115"/>
      <c r="BD298" s="115"/>
      <c r="BE298" s="115"/>
      <c r="BF298" s="115"/>
      <c r="BG298" s="115"/>
      <c r="BH298" s="115"/>
      <c r="BI298" s="115"/>
      <c r="BJ298" s="115"/>
      <c r="BK298" s="115"/>
      <c r="BL298" s="115"/>
      <c r="BM298" s="115"/>
      <c r="BN298" s="115"/>
      <c r="BO298" s="115"/>
    </row>
    <row r="299" spans="1:67" ht="15.75" customHeight="1" thickBot="1" x14ac:dyDescent="0.4">
      <c r="A299" s="115"/>
      <c r="B299" s="1387"/>
      <c r="C299" s="1387"/>
      <c r="D299" s="115"/>
      <c r="E299" s="173"/>
      <c r="F299" s="115"/>
      <c r="G299" s="115"/>
      <c r="H299" s="115"/>
      <c r="I299" s="115"/>
      <c r="J299" s="115"/>
      <c r="K299" s="115"/>
      <c r="L299" s="115"/>
      <c r="M299" s="115"/>
      <c r="N299" s="115"/>
      <c r="O299" s="115"/>
      <c r="P299" s="115"/>
      <c r="Q299" s="115"/>
      <c r="R299" s="115"/>
      <c r="S299" s="115"/>
      <c r="T299" s="115"/>
      <c r="U299" s="115"/>
      <c r="V299" s="115"/>
      <c r="W299" s="115"/>
      <c r="X299" s="115"/>
      <c r="Y299" s="115"/>
      <c r="Z299" s="115"/>
      <c r="AA299" s="115"/>
      <c r="AB299" s="115"/>
      <c r="AC299" s="115"/>
      <c r="AD299" s="115"/>
      <c r="AE299" s="115"/>
      <c r="AF299" s="115"/>
      <c r="AG299" s="115"/>
      <c r="AH299" s="115"/>
      <c r="AI299" s="115"/>
      <c r="AJ299" s="115"/>
      <c r="AK299" s="115"/>
      <c r="AL299" s="115"/>
      <c r="AM299" s="115"/>
      <c r="AN299" s="115"/>
      <c r="AO299" s="115"/>
      <c r="AP299" s="115"/>
      <c r="AQ299" s="115"/>
      <c r="AR299" s="115"/>
      <c r="AS299" s="115"/>
      <c r="AT299" s="115"/>
      <c r="AU299" s="115"/>
      <c r="AV299" s="115"/>
      <c r="AW299" s="115"/>
      <c r="AX299" s="115"/>
      <c r="AY299" s="115"/>
      <c r="AZ299" s="115"/>
      <c r="BA299" s="115"/>
      <c r="BB299" s="115"/>
      <c r="BC299" s="115"/>
      <c r="BD299" s="115"/>
      <c r="BE299" s="115"/>
      <c r="BF299" s="115"/>
      <c r="BG299" s="115"/>
      <c r="BH299" s="115"/>
      <c r="BI299" s="115"/>
      <c r="BJ299" s="115"/>
      <c r="BK299" s="115"/>
      <c r="BL299" s="115"/>
      <c r="BM299" s="115"/>
      <c r="BN299" s="115"/>
      <c r="BO299" s="115"/>
    </row>
    <row r="300" spans="1:67" ht="15.75" customHeight="1" thickBot="1" x14ac:dyDescent="0.4">
      <c r="A300" s="115"/>
      <c r="B300" s="1387"/>
      <c r="C300" s="1387"/>
      <c r="D300" s="115"/>
      <c r="E300" s="173"/>
      <c r="F300" s="115"/>
      <c r="G300" s="115"/>
      <c r="H300" s="115"/>
      <c r="I300" s="115"/>
      <c r="J300" s="115"/>
      <c r="K300" s="115"/>
      <c r="L300" s="115"/>
      <c r="M300" s="115"/>
      <c r="N300" s="115"/>
      <c r="O300" s="115"/>
      <c r="P300" s="115"/>
      <c r="Q300" s="115"/>
      <c r="R300" s="115"/>
      <c r="S300" s="115"/>
      <c r="T300" s="115"/>
      <c r="U300" s="115"/>
      <c r="V300" s="115"/>
      <c r="W300" s="115"/>
      <c r="X300" s="115"/>
      <c r="Y300" s="115"/>
      <c r="Z300" s="115"/>
      <c r="AA300" s="115"/>
      <c r="AB300" s="115"/>
      <c r="AC300" s="115"/>
      <c r="AD300" s="115"/>
      <c r="AE300" s="115"/>
      <c r="AF300" s="115"/>
      <c r="AG300" s="115"/>
      <c r="AH300" s="115"/>
      <c r="AI300" s="115"/>
      <c r="AJ300" s="115"/>
      <c r="AK300" s="115"/>
      <c r="AL300" s="115"/>
      <c r="AM300" s="115"/>
      <c r="AN300" s="115"/>
      <c r="AO300" s="115"/>
      <c r="AP300" s="115"/>
      <c r="AQ300" s="115"/>
      <c r="AR300" s="115"/>
      <c r="AS300" s="115"/>
      <c r="AT300" s="115"/>
      <c r="AU300" s="115"/>
      <c r="AV300" s="115"/>
      <c r="AW300" s="115"/>
      <c r="AX300" s="115"/>
      <c r="AY300" s="115"/>
      <c r="AZ300" s="115"/>
      <c r="BA300" s="115"/>
      <c r="BB300" s="115"/>
      <c r="BC300" s="115"/>
      <c r="BD300" s="115"/>
      <c r="BE300" s="115"/>
      <c r="BF300" s="115"/>
      <c r="BG300" s="115"/>
      <c r="BH300" s="115"/>
      <c r="BI300" s="115"/>
      <c r="BJ300" s="115"/>
      <c r="BK300" s="115"/>
      <c r="BL300" s="115"/>
      <c r="BM300" s="115"/>
      <c r="BN300" s="115"/>
      <c r="BO300" s="115"/>
    </row>
    <row r="301" spans="1:67" ht="15.75" customHeight="1" thickBot="1" x14ac:dyDescent="0.4">
      <c r="A301" s="115"/>
      <c r="B301" s="1387"/>
      <c r="C301" s="1387"/>
      <c r="D301" s="115"/>
      <c r="E301" s="173"/>
      <c r="F301" s="115"/>
      <c r="G301" s="115"/>
      <c r="H301" s="115"/>
      <c r="I301" s="115"/>
      <c r="J301" s="115"/>
      <c r="K301" s="115"/>
      <c r="L301" s="115"/>
      <c r="M301" s="115"/>
      <c r="N301" s="115"/>
      <c r="O301" s="115"/>
      <c r="P301" s="115"/>
      <c r="Q301" s="115"/>
      <c r="R301" s="115"/>
      <c r="S301" s="115"/>
      <c r="T301" s="115"/>
      <c r="U301" s="115"/>
      <c r="V301" s="115"/>
      <c r="W301" s="115"/>
      <c r="X301" s="115"/>
      <c r="Y301" s="115"/>
      <c r="Z301" s="115"/>
      <c r="AA301" s="115"/>
      <c r="AB301" s="115"/>
      <c r="AC301" s="115"/>
      <c r="AD301" s="115"/>
      <c r="AE301" s="115"/>
      <c r="AF301" s="115"/>
      <c r="AG301" s="115"/>
      <c r="AH301" s="115"/>
      <c r="AI301" s="115"/>
      <c r="AJ301" s="115"/>
      <c r="AK301" s="115"/>
      <c r="AL301" s="115"/>
      <c r="AM301" s="115"/>
      <c r="AN301" s="115"/>
      <c r="AO301" s="115"/>
      <c r="AP301" s="115"/>
      <c r="AQ301" s="115"/>
      <c r="AR301" s="115"/>
      <c r="AS301" s="115"/>
      <c r="AT301" s="115"/>
      <c r="AU301" s="115"/>
      <c r="AV301" s="115"/>
      <c r="AW301" s="115"/>
      <c r="AX301" s="115"/>
      <c r="AY301" s="115"/>
      <c r="AZ301" s="115"/>
      <c r="BA301" s="115"/>
      <c r="BB301" s="115"/>
      <c r="BC301" s="115"/>
      <c r="BD301" s="115"/>
      <c r="BE301" s="115"/>
      <c r="BF301" s="115"/>
      <c r="BG301" s="115"/>
      <c r="BH301" s="115"/>
      <c r="BI301" s="115"/>
      <c r="BJ301" s="115"/>
      <c r="BK301" s="115"/>
      <c r="BL301" s="115"/>
      <c r="BM301" s="115"/>
      <c r="BN301" s="115"/>
      <c r="BO301" s="115"/>
    </row>
    <row r="302" spans="1:67" ht="15.75" customHeight="1" thickBot="1" x14ac:dyDescent="0.4">
      <c r="A302" s="115"/>
      <c r="B302" s="1387"/>
      <c r="C302" s="1387"/>
      <c r="D302" s="115"/>
      <c r="E302" s="173"/>
      <c r="F302" s="115"/>
      <c r="G302" s="115"/>
      <c r="H302" s="115"/>
      <c r="I302" s="115"/>
      <c r="J302" s="115"/>
      <c r="K302" s="115"/>
      <c r="L302" s="115"/>
      <c r="M302" s="115"/>
      <c r="N302" s="115"/>
      <c r="O302" s="115"/>
      <c r="P302" s="115"/>
      <c r="Q302" s="115"/>
      <c r="R302" s="115"/>
      <c r="S302" s="115"/>
      <c r="T302" s="115"/>
      <c r="U302" s="115"/>
      <c r="V302" s="115"/>
      <c r="W302" s="115"/>
      <c r="X302" s="115"/>
      <c r="Y302" s="115"/>
      <c r="Z302" s="115"/>
      <c r="AA302" s="115"/>
      <c r="AB302" s="115"/>
      <c r="AC302" s="115"/>
      <c r="AD302" s="115"/>
      <c r="AE302" s="115"/>
      <c r="AF302" s="115"/>
      <c r="AG302" s="115"/>
      <c r="AH302" s="115"/>
      <c r="AI302" s="115"/>
      <c r="AJ302" s="115"/>
      <c r="AK302" s="115"/>
      <c r="AL302" s="115"/>
      <c r="AM302" s="115"/>
      <c r="AN302" s="115"/>
      <c r="AO302" s="115"/>
      <c r="AP302" s="115"/>
      <c r="AQ302" s="115"/>
      <c r="AR302" s="115"/>
      <c r="AS302" s="115"/>
      <c r="AT302" s="115"/>
      <c r="AU302" s="115"/>
      <c r="AV302" s="115"/>
      <c r="AW302" s="115"/>
      <c r="AX302" s="115"/>
      <c r="AY302" s="115"/>
      <c r="AZ302" s="115"/>
      <c r="BA302" s="115"/>
      <c r="BB302" s="115"/>
      <c r="BC302" s="115"/>
      <c r="BD302" s="115"/>
      <c r="BE302" s="115"/>
      <c r="BF302" s="115"/>
      <c r="BG302" s="115"/>
      <c r="BH302" s="115"/>
      <c r="BI302" s="115"/>
      <c r="BJ302" s="115"/>
      <c r="BK302" s="115"/>
      <c r="BL302" s="115"/>
      <c r="BM302" s="115"/>
      <c r="BN302" s="115"/>
      <c r="BO302" s="115"/>
    </row>
    <row r="303" spans="1:67" ht="15.75" customHeight="1" thickBot="1" x14ac:dyDescent="0.4">
      <c r="A303" s="115"/>
      <c r="B303" s="1387"/>
      <c r="C303" s="1387"/>
      <c r="D303" s="115"/>
      <c r="E303" s="173"/>
      <c r="F303" s="115"/>
      <c r="G303" s="115"/>
      <c r="H303" s="115"/>
      <c r="I303" s="115"/>
      <c r="J303" s="115"/>
      <c r="K303" s="115"/>
      <c r="L303" s="115"/>
      <c r="M303" s="115"/>
      <c r="N303" s="115"/>
      <c r="O303" s="115"/>
      <c r="P303" s="115"/>
      <c r="Q303" s="115"/>
      <c r="R303" s="115"/>
      <c r="S303" s="115"/>
      <c r="T303" s="115"/>
      <c r="U303" s="115"/>
      <c r="V303" s="115"/>
      <c r="W303" s="115"/>
      <c r="X303" s="115"/>
      <c r="Y303" s="115"/>
      <c r="Z303" s="115"/>
      <c r="AA303" s="115"/>
      <c r="AB303" s="115"/>
      <c r="AC303" s="115"/>
      <c r="AD303" s="115"/>
      <c r="AE303" s="115"/>
      <c r="AF303" s="115"/>
      <c r="AG303" s="115"/>
      <c r="AH303" s="115"/>
      <c r="AI303" s="115"/>
      <c r="AJ303" s="115"/>
      <c r="AK303" s="115"/>
      <c r="AL303" s="115"/>
      <c r="AM303" s="115"/>
      <c r="AN303" s="115"/>
      <c r="AO303" s="115"/>
      <c r="AP303" s="115"/>
      <c r="AQ303" s="115"/>
      <c r="AR303" s="115"/>
      <c r="AS303" s="115"/>
      <c r="AT303" s="115"/>
      <c r="AU303" s="115"/>
      <c r="AV303" s="115"/>
      <c r="AW303" s="115"/>
      <c r="AX303" s="115"/>
      <c r="AY303" s="115"/>
      <c r="AZ303" s="115"/>
      <c r="BA303" s="115"/>
      <c r="BB303" s="115"/>
      <c r="BC303" s="115"/>
      <c r="BD303" s="115"/>
      <c r="BE303" s="115"/>
      <c r="BF303" s="115"/>
      <c r="BG303" s="115"/>
      <c r="BH303" s="115"/>
      <c r="BI303" s="115"/>
      <c r="BJ303" s="115"/>
      <c r="BK303" s="115"/>
      <c r="BL303" s="115"/>
      <c r="BM303" s="115"/>
      <c r="BN303" s="115"/>
      <c r="BO303" s="115"/>
    </row>
    <row r="304" spans="1:67" ht="15.75" customHeight="1" thickBot="1" x14ac:dyDescent="0.4">
      <c r="A304" s="115"/>
      <c r="B304" s="1387"/>
      <c r="C304" s="1387"/>
      <c r="D304" s="115"/>
      <c r="E304" s="173"/>
      <c r="F304" s="115"/>
      <c r="G304" s="115"/>
      <c r="H304" s="115"/>
      <c r="I304" s="115"/>
      <c r="J304" s="115"/>
      <c r="K304" s="115"/>
      <c r="L304" s="115"/>
      <c r="M304" s="115"/>
      <c r="N304" s="115"/>
      <c r="O304" s="115"/>
      <c r="P304" s="115"/>
      <c r="Q304" s="115"/>
      <c r="R304" s="115"/>
      <c r="S304" s="115"/>
      <c r="T304" s="115"/>
      <c r="U304" s="115"/>
      <c r="V304" s="115"/>
      <c r="W304" s="115"/>
      <c r="X304" s="115"/>
      <c r="Y304" s="115"/>
      <c r="Z304" s="115"/>
      <c r="AA304" s="115"/>
      <c r="AB304" s="115"/>
      <c r="AC304" s="115"/>
      <c r="AD304" s="115"/>
      <c r="AE304" s="115"/>
      <c r="AF304" s="115"/>
      <c r="AG304" s="115"/>
      <c r="AH304" s="115"/>
      <c r="AI304" s="115"/>
      <c r="AJ304" s="115"/>
      <c r="AK304" s="115"/>
      <c r="AL304" s="115"/>
      <c r="AM304" s="115"/>
      <c r="AN304" s="115"/>
      <c r="AO304" s="115"/>
      <c r="AP304" s="115"/>
      <c r="AQ304" s="115"/>
      <c r="AR304" s="115"/>
      <c r="AS304" s="115"/>
      <c r="AT304" s="115"/>
      <c r="AU304" s="115"/>
      <c r="AV304" s="115"/>
      <c r="AW304" s="115"/>
      <c r="AX304" s="115"/>
      <c r="AY304" s="115"/>
      <c r="AZ304" s="115"/>
      <c r="BA304" s="115"/>
      <c r="BB304" s="115"/>
      <c r="BC304" s="115"/>
      <c r="BD304" s="115"/>
      <c r="BE304" s="115"/>
      <c r="BF304" s="115"/>
      <c r="BG304" s="115"/>
      <c r="BH304" s="115"/>
      <c r="BI304" s="115"/>
      <c r="BJ304" s="115"/>
      <c r="BK304" s="115"/>
      <c r="BL304" s="115"/>
      <c r="BM304" s="115"/>
      <c r="BN304" s="115"/>
      <c r="BO304" s="115"/>
    </row>
    <row r="305" spans="1:67" ht="15.75" customHeight="1" thickBot="1" x14ac:dyDescent="0.4">
      <c r="A305" s="115"/>
      <c r="B305" s="1387"/>
      <c r="C305" s="1387"/>
      <c r="D305" s="115"/>
      <c r="E305" s="173"/>
      <c r="F305" s="115"/>
      <c r="G305" s="115"/>
      <c r="H305" s="115"/>
      <c r="I305" s="115"/>
      <c r="J305" s="115"/>
      <c r="K305" s="115"/>
      <c r="L305" s="115"/>
      <c r="M305" s="115"/>
      <c r="N305" s="115"/>
      <c r="O305" s="115"/>
      <c r="P305" s="115"/>
      <c r="Q305" s="115"/>
      <c r="R305" s="115"/>
      <c r="S305" s="115"/>
      <c r="T305" s="115"/>
      <c r="U305" s="115"/>
      <c r="V305" s="115"/>
      <c r="W305" s="115"/>
      <c r="X305" s="115"/>
      <c r="Y305" s="115"/>
      <c r="Z305" s="115"/>
      <c r="AA305" s="115"/>
      <c r="AB305" s="115"/>
      <c r="AC305" s="115"/>
      <c r="AD305" s="115"/>
      <c r="AE305" s="115"/>
      <c r="AF305" s="115"/>
      <c r="AG305" s="115"/>
      <c r="AH305" s="115"/>
      <c r="AI305" s="115"/>
      <c r="AJ305" s="115"/>
      <c r="AK305" s="115"/>
      <c r="AL305" s="115"/>
      <c r="AM305" s="115"/>
      <c r="AN305" s="115"/>
      <c r="AO305" s="115"/>
      <c r="AP305" s="115"/>
      <c r="AQ305" s="115"/>
      <c r="AR305" s="115"/>
      <c r="AS305" s="115"/>
      <c r="AT305" s="115"/>
      <c r="AU305" s="115"/>
      <c r="AV305" s="115"/>
      <c r="AW305" s="115"/>
      <c r="AX305" s="115"/>
      <c r="AY305" s="115"/>
      <c r="AZ305" s="115"/>
      <c r="BA305" s="115"/>
      <c r="BB305" s="115"/>
      <c r="BC305" s="115"/>
      <c r="BD305" s="115"/>
      <c r="BE305" s="115"/>
      <c r="BF305" s="115"/>
      <c r="BG305" s="115"/>
      <c r="BH305" s="115"/>
      <c r="BI305" s="115"/>
      <c r="BJ305" s="115"/>
      <c r="BK305" s="115"/>
      <c r="BL305" s="115"/>
      <c r="BM305" s="115"/>
      <c r="BN305" s="115"/>
      <c r="BO305" s="115"/>
    </row>
    <row r="306" spans="1:67" ht="15.75" customHeight="1" thickBot="1" x14ac:dyDescent="0.4">
      <c r="A306" s="115"/>
      <c r="B306" s="1387"/>
      <c r="C306" s="1387"/>
      <c r="D306" s="115"/>
      <c r="E306" s="173"/>
      <c r="F306" s="115"/>
      <c r="G306" s="115"/>
      <c r="H306" s="115"/>
      <c r="I306" s="115"/>
      <c r="J306" s="115"/>
      <c r="K306" s="115"/>
      <c r="L306" s="115"/>
      <c r="M306" s="115"/>
      <c r="N306" s="115"/>
      <c r="O306" s="115"/>
      <c r="P306" s="115"/>
      <c r="Q306" s="115"/>
      <c r="R306" s="115"/>
      <c r="S306" s="115"/>
      <c r="T306" s="115"/>
      <c r="U306" s="115"/>
      <c r="V306" s="115"/>
      <c r="W306" s="115"/>
      <c r="X306" s="115"/>
      <c r="Y306" s="115"/>
      <c r="Z306" s="115"/>
      <c r="AA306" s="115"/>
      <c r="AB306" s="115"/>
      <c r="AC306" s="115"/>
      <c r="AD306" s="115"/>
      <c r="AE306" s="115"/>
      <c r="AF306" s="115"/>
      <c r="AG306" s="115"/>
      <c r="AH306" s="115"/>
      <c r="AI306" s="115"/>
      <c r="AJ306" s="115"/>
      <c r="AK306" s="115"/>
      <c r="AL306" s="115"/>
      <c r="AM306" s="115"/>
      <c r="AN306" s="115"/>
      <c r="AO306" s="115"/>
      <c r="AP306" s="115"/>
      <c r="AQ306" s="115"/>
      <c r="AR306" s="115"/>
      <c r="AS306" s="115"/>
      <c r="AT306" s="115"/>
      <c r="AU306" s="115"/>
      <c r="AV306" s="115"/>
      <c r="AW306" s="115"/>
      <c r="AX306" s="115"/>
      <c r="AY306" s="115"/>
      <c r="AZ306" s="115"/>
      <c r="BA306" s="115"/>
      <c r="BB306" s="115"/>
      <c r="BC306" s="115"/>
      <c r="BD306" s="115"/>
      <c r="BE306" s="115"/>
      <c r="BF306" s="115"/>
      <c r="BG306" s="115"/>
      <c r="BH306" s="115"/>
      <c r="BI306" s="115"/>
      <c r="BJ306" s="115"/>
      <c r="BK306" s="115"/>
      <c r="BL306" s="115"/>
      <c r="BM306" s="115"/>
      <c r="BN306" s="115"/>
      <c r="BO306" s="115"/>
    </row>
    <row r="307" spans="1:67" ht="15.75" customHeight="1" thickBot="1" x14ac:dyDescent="0.4">
      <c r="A307" s="115"/>
      <c r="B307" s="1387"/>
      <c r="C307" s="1387"/>
      <c r="D307" s="115"/>
      <c r="E307" s="173"/>
      <c r="F307" s="115"/>
      <c r="G307" s="115"/>
      <c r="H307" s="115"/>
      <c r="I307" s="115"/>
      <c r="J307" s="115"/>
      <c r="K307" s="115"/>
      <c r="L307" s="115"/>
      <c r="M307" s="115"/>
      <c r="N307" s="115"/>
      <c r="O307" s="115"/>
      <c r="P307" s="115"/>
      <c r="Q307" s="115"/>
      <c r="R307" s="115"/>
      <c r="S307" s="115"/>
      <c r="T307" s="115"/>
      <c r="U307" s="115"/>
      <c r="V307" s="115"/>
      <c r="W307" s="115"/>
      <c r="X307" s="115"/>
      <c r="Y307" s="115"/>
      <c r="Z307" s="115"/>
      <c r="AA307" s="115"/>
      <c r="AB307" s="115"/>
      <c r="AC307" s="115"/>
      <c r="AD307" s="115"/>
      <c r="AE307" s="115"/>
      <c r="AF307" s="115"/>
      <c r="AG307" s="115"/>
      <c r="AH307" s="115"/>
      <c r="AI307" s="115"/>
      <c r="AJ307" s="115"/>
      <c r="AK307" s="115"/>
      <c r="AL307" s="115"/>
      <c r="AM307" s="115"/>
      <c r="AN307" s="115"/>
      <c r="AO307" s="115"/>
      <c r="AP307" s="115"/>
      <c r="AQ307" s="115"/>
      <c r="AR307" s="115"/>
      <c r="AS307" s="115"/>
      <c r="AT307" s="115"/>
      <c r="AU307" s="115"/>
      <c r="AV307" s="115"/>
      <c r="AW307" s="115"/>
      <c r="AX307" s="115"/>
      <c r="AY307" s="115"/>
      <c r="AZ307" s="115"/>
      <c r="BA307" s="115"/>
      <c r="BB307" s="115"/>
      <c r="BC307" s="115"/>
      <c r="BD307" s="115"/>
      <c r="BE307" s="115"/>
      <c r="BF307" s="115"/>
      <c r="BG307" s="115"/>
      <c r="BH307" s="115"/>
      <c r="BI307" s="115"/>
      <c r="BJ307" s="115"/>
      <c r="BK307" s="115"/>
      <c r="BL307" s="115"/>
      <c r="BM307" s="115"/>
      <c r="BN307" s="115"/>
      <c r="BO307" s="115"/>
    </row>
    <row r="308" spans="1:67" ht="15.75" customHeight="1" thickBot="1" x14ac:dyDescent="0.4">
      <c r="A308" s="115"/>
      <c r="B308" s="1387"/>
      <c r="C308" s="1387"/>
      <c r="D308" s="115"/>
      <c r="E308" s="173"/>
      <c r="F308" s="115"/>
      <c r="G308" s="115"/>
      <c r="H308" s="115"/>
      <c r="I308" s="115"/>
      <c r="J308" s="115"/>
      <c r="K308" s="115"/>
      <c r="L308" s="115"/>
      <c r="M308" s="115"/>
      <c r="N308" s="115"/>
      <c r="O308" s="115"/>
      <c r="P308" s="115"/>
      <c r="Q308" s="115"/>
      <c r="R308" s="115"/>
      <c r="S308" s="115"/>
      <c r="T308" s="115"/>
      <c r="U308" s="115"/>
      <c r="V308" s="115"/>
      <c r="W308" s="115"/>
      <c r="X308" s="115"/>
      <c r="Y308" s="115"/>
      <c r="Z308" s="115"/>
      <c r="AA308" s="115"/>
      <c r="AB308" s="115"/>
      <c r="AC308" s="115"/>
      <c r="AD308" s="115"/>
      <c r="AE308" s="115"/>
      <c r="AF308" s="115"/>
      <c r="AG308" s="115"/>
      <c r="AH308" s="115"/>
      <c r="AI308" s="115"/>
      <c r="AJ308" s="115"/>
      <c r="AK308" s="115"/>
      <c r="AL308" s="115"/>
      <c r="AM308" s="115"/>
      <c r="AN308" s="115"/>
      <c r="AO308" s="115"/>
      <c r="AP308" s="115"/>
      <c r="AQ308" s="115"/>
      <c r="AR308" s="115"/>
      <c r="AS308" s="115"/>
      <c r="AT308" s="115"/>
      <c r="AU308" s="115"/>
      <c r="AV308" s="115"/>
      <c r="AW308" s="115"/>
      <c r="AX308" s="115"/>
      <c r="AY308" s="115"/>
      <c r="AZ308" s="115"/>
      <c r="BA308" s="115"/>
      <c r="BB308" s="115"/>
      <c r="BC308" s="115"/>
      <c r="BD308" s="115"/>
      <c r="BE308" s="115"/>
      <c r="BF308" s="115"/>
      <c r="BG308" s="115"/>
      <c r="BH308" s="115"/>
      <c r="BI308" s="115"/>
      <c r="BJ308" s="115"/>
      <c r="BK308" s="115"/>
      <c r="BL308" s="115"/>
      <c r="BM308" s="115"/>
      <c r="BN308" s="115"/>
      <c r="BO308" s="115"/>
    </row>
    <row r="309" spans="1:67" ht="15.75" customHeight="1" thickBot="1" x14ac:dyDescent="0.4">
      <c r="A309" s="115"/>
      <c r="B309" s="1387"/>
      <c r="C309" s="1387"/>
      <c r="D309" s="115"/>
      <c r="E309" s="173"/>
      <c r="F309" s="115"/>
      <c r="G309" s="115"/>
      <c r="H309" s="115"/>
      <c r="I309" s="115"/>
      <c r="J309" s="115"/>
      <c r="K309" s="115"/>
      <c r="L309" s="115"/>
      <c r="M309" s="115"/>
      <c r="N309" s="115"/>
      <c r="O309" s="115"/>
      <c r="P309" s="115"/>
      <c r="Q309" s="115"/>
      <c r="R309" s="115"/>
      <c r="S309" s="115"/>
      <c r="T309" s="115"/>
      <c r="U309" s="115"/>
      <c r="V309" s="115"/>
      <c r="W309" s="115"/>
      <c r="X309" s="115"/>
      <c r="Y309" s="115"/>
      <c r="Z309" s="115"/>
      <c r="AA309" s="115"/>
      <c r="AB309" s="115"/>
      <c r="AC309" s="115"/>
      <c r="AD309" s="115"/>
      <c r="AE309" s="115"/>
      <c r="AF309" s="115"/>
      <c r="AG309" s="115"/>
      <c r="AH309" s="115"/>
      <c r="AI309" s="115"/>
      <c r="AJ309" s="115"/>
      <c r="AK309" s="115"/>
      <c r="AL309" s="115"/>
      <c r="AM309" s="115"/>
      <c r="AN309" s="115"/>
      <c r="AO309" s="115"/>
      <c r="AP309" s="115"/>
      <c r="AQ309" s="115"/>
      <c r="AR309" s="115"/>
      <c r="AS309" s="115"/>
      <c r="AT309" s="115"/>
      <c r="AU309" s="115"/>
      <c r="AV309" s="115"/>
      <c r="AW309" s="115"/>
      <c r="AX309" s="115"/>
      <c r="AY309" s="115"/>
      <c r="AZ309" s="115"/>
      <c r="BA309" s="115"/>
      <c r="BB309" s="115"/>
      <c r="BC309" s="115"/>
      <c r="BD309" s="115"/>
      <c r="BE309" s="115"/>
      <c r="BF309" s="115"/>
      <c r="BG309" s="115"/>
      <c r="BH309" s="115"/>
      <c r="BI309" s="115"/>
      <c r="BJ309" s="115"/>
      <c r="BK309" s="115"/>
      <c r="BL309" s="115"/>
      <c r="BM309" s="115"/>
      <c r="BN309" s="115"/>
      <c r="BO309" s="115"/>
    </row>
    <row r="310" spans="1:67" ht="15.75" customHeight="1" thickBot="1" x14ac:dyDescent="0.4">
      <c r="A310" s="115"/>
      <c r="B310" s="1387"/>
      <c r="C310" s="1387"/>
      <c r="D310" s="115"/>
      <c r="E310" s="173"/>
      <c r="F310" s="115"/>
      <c r="G310" s="115"/>
      <c r="H310" s="115"/>
      <c r="I310" s="115"/>
      <c r="J310" s="115"/>
      <c r="K310" s="115"/>
      <c r="L310" s="115"/>
      <c r="M310" s="115"/>
      <c r="N310" s="115"/>
      <c r="O310" s="115"/>
      <c r="P310" s="115"/>
      <c r="Q310" s="115"/>
      <c r="R310" s="115"/>
      <c r="S310" s="115"/>
      <c r="T310" s="115"/>
      <c r="U310" s="115"/>
      <c r="V310" s="115"/>
      <c r="W310" s="115"/>
      <c r="X310" s="115"/>
      <c r="Y310" s="115"/>
      <c r="Z310" s="115"/>
      <c r="AA310" s="115"/>
      <c r="AB310" s="115"/>
      <c r="AC310" s="115"/>
      <c r="AD310" s="115"/>
      <c r="AE310" s="115"/>
      <c r="AF310" s="115"/>
      <c r="AG310" s="115"/>
      <c r="AH310" s="115"/>
      <c r="AI310" s="115"/>
      <c r="AJ310" s="115"/>
      <c r="AK310" s="115"/>
      <c r="AL310" s="115"/>
      <c r="AM310" s="115"/>
      <c r="AN310" s="115"/>
      <c r="AO310" s="115"/>
      <c r="AP310" s="115"/>
      <c r="AQ310" s="115"/>
      <c r="AR310" s="115"/>
      <c r="AS310" s="115"/>
      <c r="AT310" s="115"/>
      <c r="AU310" s="115"/>
      <c r="AV310" s="115"/>
      <c r="AW310" s="115"/>
      <c r="AX310" s="115"/>
      <c r="AY310" s="115"/>
      <c r="AZ310" s="115"/>
      <c r="BA310" s="115"/>
      <c r="BB310" s="115"/>
      <c r="BC310" s="115"/>
      <c r="BD310" s="115"/>
      <c r="BE310" s="115"/>
      <c r="BF310" s="115"/>
      <c r="BG310" s="115"/>
      <c r="BH310" s="115"/>
      <c r="BI310" s="115"/>
      <c r="BJ310" s="115"/>
      <c r="BK310" s="115"/>
      <c r="BL310" s="115"/>
      <c r="BM310" s="115"/>
      <c r="BN310" s="115"/>
      <c r="BO310" s="115"/>
    </row>
    <row r="311" spans="1:67" ht="15.75" customHeight="1" thickBot="1" x14ac:dyDescent="0.4">
      <c r="A311" s="115"/>
      <c r="B311" s="1387"/>
      <c r="C311" s="1387"/>
      <c r="D311" s="115"/>
      <c r="E311" s="173"/>
      <c r="F311" s="115"/>
      <c r="G311" s="115"/>
      <c r="H311" s="115"/>
      <c r="I311" s="115"/>
      <c r="J311" s="115"/>
      <c r="K311" s="115"/>
      <c r="L311" s="115"/>
      <c r="M311" s="115"/>
      <c r="N311" s="115"/>
      <c r="O311" s="115"/>
      <c r="P311" s="115"/>
      <c r="Q311" s="115"/>
      <c r="R311" s="115"/>
      <c r="S311" s="115"/>
      <c r="T311" s="115"/>
      <c r="U311" s="115"/>
      <c r="V311" s="115"/>
      <c r="W311" s="115"/>
      <c r="X311" s="115"/>
      <c r="Y311" s="115"/>
      <c r="Z311" s="115"/>
      <c r="AA311" s="115"/>
      <c r="AB311" s="115"/>
      <c r="AC311" s="115"/>
      <c r="AD311" s="115"/>
      <c r="AE311" s="115"/>
      <c r="AF311" s="115"/>
      <c r="AG311" s="115"/>
      <c r="AH311" s="115"/>
      <c r="AI311" s="115"/>
      <c r="AJ311" s="115"/>
      <c r="AK311" s="115"/>
      <c r="AL311" s="115"/>
      <c r="AM311" s="115"/>
      <c r="AN311" s="115"/>
      <c r="AO311" s="115"/>
      <c r="AP311" s="115"/>
      <c r="AQ311" s="115"/>
      <c r="AR311" s="115"/>
      <c r="AS311" s="115"/>
      <c r="AT311" s="115"/>
      <c r="AU311" s="115"/>
      <c r="AV311" s="115"/>
      <c r="AW311" s="115"/>
      <c r="AX311" s="115"/>
      <c r="AY311" s="115"/>
      <c r="AZ311" s="115"/>
      <c r="BA311" s="115"/>
      <c r="BB311" s="115"/>
      <c r="BC311" s="115"/>
      <c r="BD311" s="115"/>
      <c r="BE311" s="115"/>
      <c r="BF311" s="115"/>
      <c r="BG311" s="115"/>
      <c r="BH311" s="115"/>
      <c r="BI311" s="115"/>
      <c r="BJ311" s="115"/>
      <c r="BK311" s="115"/>
      <c r="BL311" s="115"/>
      <c r="BM311" s="115"/>
      <c r="BN311" s="115"/>
      <c r="BO311" s="115"/>
    </row>
    <row r="312" spans="1:67" ht="15.75" customHeight="1" thickBot="1" x14ac:dyDescent="0.4">
      <c r="A312" s="115"/>
      <c r="B312" s="1387"/>
      <c r="C312" s="1387"/>
      <c r="D312" s="115"/>
      <c r="E312" s="173"/>
      <c r="F312" s="115"/>
      <c r="G312" s="115"/>
      <c r="H312" s="115"/>
      <c r="I312" s="115"/>
      <c r="J312" s="115"/>
      <c r="K312" s="115"/>
      <c r="L312" s="115"/>
      <c r="M312" s="115"/>
      <c r="N312" s="115"/>
      <c r="O312" s="115"/>
      <c r="P312" s="115"/>
      <c r="Q312" s="115"/>
      <c r="R312" s="115"/>
      <c r="S312" s="115"/>
      <c r="T312" s="115"/>
      <c r="U312" s="115"/>
      <c r="V312" s="115"/>
      <c r="W312" s="115"/>
      <c r="X312" s="115"/>
      <c r="Y312" s="115"/>
      <c r="Z312" s="115"/>
      <c r="AA312" s="115"/>
      <c r="AB312" s="115"/>
      <c r="AC312" s="115"/>
      <c r="AD312" s="115"/>
      <c r="AE312" s="115"/>
      <c r="AF312" s="115"/>
      <c r="AG312" s="115"/>
      <c r="AH312" s="115"/>
      <c r="AI312" s="115"/>
      <c r="AJ312" s="115"/>
      <c r="AK312" s="115"/>
      <c r="AL312" s="115"/>
      <c r="AM312" s="115"/>
      <c r="AN312" s="115"/>
      <c r="AO312" s="115"/>
      <c r="AP312" s="115"/>
      <c r="AQ312" s="115"/>
      <c r="AR312" s="115"/>
      <c r="AS312" s="115"/>
      <c r="AT312" s="115"/>
      <c r="AU312" s="115"/>
      <c r="AV312" s="115"/>
      <c r="AW312" s="115"/>
      <c r="AX312" s="115"/>
      <c r="AY312" s="115"/>
      <c r="AZ312" s="115"/>
      <c r="BA312" s="115"/>
      <c r="BB312" s="115"/>
      <c r="BC312" s="115"/>
      <c r="BD312" s="115"/>
      <c r="BE312" s="115"/>
      <c r="BF312" s="115"/>
      <c r="BG312" s="115"/>
      <c r="BH312" s="115"/>
      <c r="BI312" s="115"/>
      <c r="BJ312" s="115"/>
      <c r="BK312" s="115"/>
      <c r="BL312" s="115"/>
      <c r="BM312" s="115"/>
      <c r="BN312" s="115"/>
      <c r="BO312" s="115"/>
    </row>
    <row r="313" spans="1:67" ht="15.75" customHeight="1" thickBot="1" x14ac:dyDescent="0.4">
      <c r="A313" s="115"/>
      <c r="B313" s="1387"/>
      <c r="C313" s="1387"/>
      <c r="D313" s="115"/>
      <c r="E313" s="173"/>
      <c r="F313" s="115"/>
      <c r="G313" s="115"/>
      <c r="H313" s="115"/>
      <c r="I313" s="115"/>
      <c r="J313" s="115"/>
      <c r="K313" s="115"/>
      <c r="L313" s="115"/>
      <c r="M313" s="115"/>
      <c r="N313" s="115"/>
      <c r="O313" s="115"/>
      <c r="P313" s="115"/>
      <c r="Q313" s="115"/>
      <c r="R313" s="115"/>
      <c r="S313" s="115"/>
      <c r="T313" s="115"/>
      <c r="U313" s="115"/>
      <c r="V313" s="115"/>
      <c r="W313" s="115"/>
      <c r="X313" s="115"/>
      <c r="Y313" s="115"/>
      <c r="Z313" s="115"/>
      <c r="AA313" s="115"/>
      <c r="AB313" s="115"/>
      <c r="AC313" s="115"/>
      <c r="AD313" s="115"/>
      <c r="AE313" s="115"/>
      <c r="AF313" s="115"/>
      <c r="AG313" s="115"/>
      <c r="AH313" s="115"/>
      <c r="AI313" s="115"/>
      <c r="AJ313" s="115"/>
      <c r="AK313" s="115"/>
      <c r="AL313" s="115"/>
      <c r="AM313" s="115"/>
      <c r="AN313" s="115"/>
      <c r="AO313" s="115"/>
      <c r="AP313" s="115"/>
      <c r="AQ313" s="115"/>
      <c r="AR313" s="115"/>
      <c r="AS313" s="115"/>
      <c r="AT313" s="115"/>
      <c r="AU313" s="115"/>
      <c r="AV313" s="115"/>
      <c r="AW313" s="115"/>
      <c r="AX313" s="115"/>
      <c r="AY313" s="115"/>
      <c r="AZ313" s="115"/>
      <c r="BA313" s="115"/>
      <c r="BB313" s="115"/>
      <c r="BC313" s="115"/>
      <c r="BD313" s="115"/>
      <c r="BE313" s="115"/>
      <c r="BF313" s="115"/>
      <c r="BG313" s="115"/>
      <c r="BH313" s="115"/>
      <c r="BI313" s="115"/>
      <c r="BJ313" s="115"/>
      <c r="BK313" s="115"/>
      <c r="BL313" s="115"/>
      <c r="BM313" s="115"/>
      <c r="BN313" s="115"/>
      <c r="BO313" s="115"/>
    </row>
    <row r="314" spans="1:67" ht="15.75" customHeight="1" thickBot="1" x14ac:dyDescent="0.4">
      <c r="A314" s="115"/>
      <c r="B314" s="1387"/>
      <c r="C314" s="1387"/>
      <c r="D314" s="115"/>
      <c r="E314" s="173"/>
      <c r="F314" s="115"/>
      <c r="G314" s="115"/>
      <c r="H314" s="115"/>
      <c r="I314" s="115"/>
      <c r="J314" s="115"/>
      <c r="K314" s="115"/>
      <c r="L314" s="115"/>
      <c r="M314" s="115"/>
      <c r="N314" s="115"/>
      <c r="O314" s="115"/>
      <c r="P314" s="115"/>
      <c r="Q314" s="115"/>
      <c r="R314" s="115"/>
      <c r="S314" s="115"/>
      <c r="T314" s="115"/>
      <c r="U314" s="115"/>
      <c r="V314" s="115"/>
      <c r="W314" s="115"/>
      <c r="X314" s="115"/>
      <c r="Y314" s="115"/>
      <c r="Z314" s="115"/>
      <c r="AA314" s="115"/>
      <c r="AB314" s="115"/>
      <c r="AC314" s="115"/>
      <c r="AD314" s="115"/>
      <c r="AE314" s="115"/>
      <c r="AF314" s="115"/>
      <c r="AG314" s="115"/>
      <c r="AH314" s="115"/>
      <c r="AI314" s="115"/>
      <c r="AJ314" s="115"/>
      <c r="AK314" s="115"/>
      <c r="AL314" s="115"/>
      <c r="AM314" s="115"/>
      <c r="AN314" s="115"/>
      <c r="AO314" s="115"/>
      <c r="AP314" s="115"/>
      <c r="AQ314" s="115"/>
      <c r="AR314" s="115"/>
      <c r="AS314" s="115"/>
      <c r="AT314" s="115"/>
      <c r="AU314" s="115"/>
      <c r="AV314" s="115"/>
      <c r="AW314" s="115"/>
      <c r="AX314" s="115"/>
      <c r="AY314" s="115"/>
      <c r="AZ314" s="115"/>
      <c r="BA314" s="115"/>
      <c r="BB314" s="115"/>
      <c r="BC314" s="115"/>
      <c r="BD314" s="115"/>
      <c r="BE314" s="115"/>
      <c r="BF314" s="115"/>
      <c r="BG314" s="115"/>
      <c r="BH314" s="115"/>
      <c r="BI314" s="115"/>
      <c r="BJ314" s="115"/>
      <c r="BK314" s="115"/>
      <c r="BL314" s="115"/>
      <c r="BM314" s="115"/>
      <c r="BN314" s="115"/>
      <c r="BO314" s="115"/>
    </row>
    <row r="315" spans="1:67" ht="15.75" customHeight="1" thickBot="1" x14ac:dyDescent="0.4">
      <c r="A315" s="115"/>
      <c r="B315" s="1387"/>
      <c r="C315" s="1387"/>
      <c r="D315" s="115"/>
      <c r="E315" s="173"/>
      <c r="F315" s="115"/>
      <c r="G315" s="115"/>
      <c r="H315" s="115"/>
      <c r="I315" s="115"/>
      <c r="J315" s="115"/>
      <c r="K315" s="115"/>
      <c r="L315" s="115"/>
      <c r="M315" s="115"/>
      <c r="N315" s="115"/>
      <c r="O315" s="115"/>
      <c r="P315" s="115"/>
      <c r="Q315" s="115"/>
      <c r="R315" s="115"/>
      <c r="S315" s="115"/>
      <c r="T315" s="115"/>
      <c r="U315" s="115"/>
      <c r="V315" s="115"/>
      <c r="W315" s="115"/>
      <c r="X315" s="115"/>
      <c r="Y315" s="115"/>
      <c r="Z315" s="115"/>
      <c r="AA315" s="115"/>
      <c r="AB315" s="115"/>
      <c r="AC315" s="115"/>
      <c r="AD315" s="115"/>
      <c r="AE315" s="115"/>
      <c r="AF315" s="115"/>
      <c r="AG315" s="115"/>
      <c r="AH315" s="115"/>
      <c r="AI315" s="115"/>
      <c r="AJ315" s="115"/>
      <c r="AK315" s="115"/>
      <c r="AL315" s="115"/>
      <c r="AM315" s="115"/>
      <c r="AN315" s="115"/>
      <c r="AO315" s="115"/>
      <c r="AP315" s="115"/>
      <c r="AQ315" s="115"/>
      <c r="AR315" s="115"/>
      <c r="AS315" s="115"/>
      <c r="AT315" s="115"/>
      <c r="AU315" s="115"/>
      <c r="AV315" s="115"/>
      <c r="AW315" s="115"/>
      <c r="AX315" s="115"/>
      <c r="AY315" s="115"/>
      <c r="AZ315" s="115"/>
      <c r="BA315" s="115"/>
      <c r="BB315" s="115"/>
      <c r="BC315" s="115"/>
      <c r="BD315" s="115"/>
      <c r="BE315" s="115"/>
      <c r="BF315" s="115"/>
      <c r="BG315" s="115"/>
      <c r="BH315" s="115"/>
      <c r="BI315" s="115"/>
      <c r="BJ315" s="115"/>
      <c r="BK315" s="115"/>
      <c r="BL315" s="115"/>
      <c r="BM315" s="115"/>
      <c r="BN315" s="115"/>
      <c r="BO315" s="115"/>
    </row>
    <row r="316" spans="1:67" ht="15.75" customHeight="1" thickBot="1" x14ac:dyDescent="0.4">
      <c r="A316" s="115"/>
      <c r="B316" s="1387"/>
      <c r="C316" s="1387"/>
      <c r="D316" s="115"/>
      <c r="E316" s="173"/>
      <c r="F316" s="115"/>
      <c r="G316" s="115"/>
      <c r="H316" s="115"/>
      <c r="I316" s="115"/>
      <c r="J316" s="115"/>
      <c r="K316" s="115"/>
      <c r="L316" s="115"/>
      <c r="M316" s="115"/>
      <c r="N316" s="115"/>
      <c r="O316" s="115"/>
      <c r="P316" s="115"/>
      <c r="Q316" s="115"/>
      <c r="R316" s="115"/>
      <c r="S316" s="115"/>
      <c r="T316" s="115"/>
      <c r="U316" s="115"/>
      <c r="V316" s="115"/>
      <c r="W316" s="115"/>
      <c r="X316" s="115"/>
      <c r="Y316" s="115"/>
      <c r="Z316" s="115"/>
      <c r="AA316" s="115"/>
      <c r="AB316" s="115"/>
      <c r="AC316" s="115"/>
      <c r="AD316" s="115"/>
      <c r="AE316" s="115"/>
      <c r="AF316" s="115"/>
      <c r="AG316" s="115"/>
      <c r="AH316" s="115"/>
      <c r="AI316" s="115"/>
      <c r="AJ316" s="115"/>
      <c r="AK316" s="115"/>
      <c r="AL316" s="115"/>
      <c r="AM316" s="115"/>
      <c r="AN316" s="115"/>
      <c r="AO316" s="115"/>
      <c r="AP316" s="115"/>
      <c r="AQ316" s="115"/>
      <c r="AR316" s="115"/>
      <c r="AS316" s="115"/>
      <c r="AT316" s="115"/>
      <c r="AU316" s="115"/>
      <c r="AV316" s="115"/>
      <c r="AW316" s="115"/>
      <c r="AX316" s="115"/>
      <c r="AY316" s="115"/>
      <c r="AZ316" s="115"/>
      <c r="BA316" s="115"/>
      <c r="BB316" s="115"/>
      <c r="BC316" s="115"/>
      <c r="BD316" s="115"/>
      <c r="BE316" s="115"/>
      <c r="BF316" s="115"/>
      <c r="BG316" s="115"/>
      <c r="BH316" s="115"/>
      <c r="BI316" s="115"/>
      <c r="BJ316" s="115"/>
      <c r="BK316" s="115"/>
      <c r="BL316" s="115"/>
      <c r="BM316" s="115"/>
      <c r="BN316" s="115"/>
      <c r="BO316" s="115"/>
    </row>
    <row r="317" spans="1:67" ht="15.75" customHeight="1" thickBot="1" x14ac:dyDescent="0.4">
      <c r="A317" s="115"/>
      <c r="B317" s="1387"/>
      <c r="C317" s="1387"/>
      <c r="D317" s="115"/>
      <c r="E317" s="173"/>
      <c r="F317" s="115"/>
      <c r="G317" s="115"/>
      <c r="H317" s="115"/>
      <c r="I317" s="115"/>
      <c r="J317" s="115"/>
      <c r="K317" s="115"/>
      <c r="L317" s="115"/>
      <c r="M317" s="115"/>
      <c r="N317" s="115"/>
      <c r="O317" s="115"/>
      <c r="P317" s="115"/>
      <c r="Q317" s="115"/>
      <c r="R317" s="115"/>
      <c r="S317" s="115"/>
      <c r="T317" s="115"/>
      <c r="U317" s="115"/>
      <c r="V317" s="115"/>
      <c r="W317" s="115"/>
      <c r="X317" s="115"/>
      <c r="Y317" s="115"/>
      <c r="Z317" s="115"/>
      <c r="AA317" s="115"/>
      <c r="AB317" s="115"/>
      <c r="AC317" s="115"/>
      <c r="AD317" s="115"/>
      <c r="AE317" s="115"/>
      <c r="AF317" s="115"/>
      <c r="AG317" s="115"/>
      <c r="AH317" s="115"/>
      <c r="AI317" s="115"/>
      <c r="AJ317" s="115"/>
      <c r="AK317" s="115"/>
      <c r="AL317" s="115"/>
      <c r="AM317" s="115"/>
      <c r="AN317" s="115"/>
      <c r="AO317" s="115"/>
      <c r="AP317" s="115"/>
      <c r="AQ317" s="115"/>
      <c r="AR317" s="115"/>
      <c r="AS317" s="115"/>
      <c r="AT317" s="115"/>
      <c r="AU317" s="115"/>
      <c r="AV317" s="115"/>
      <c r="AW317" s="115"/>
      <c r="AX317" s="115"/>
      <c r="AY317" s="115"/>
      <c r="AZ317" s="115"/>
      <c r="BA317" s="115"/>
      <c r="BB317" s="115"/>
      <c r="BC317" s="115"/>
      <c r="BD317" s="115"/>
      <c r="BE317" s="115"/>
      <c r="BF317" s="115"/>
      <c r="BG317" s="115"/>
      <c r="BH317" s="115"/>
      <c r="BI317" s="115"/>
      <c r="BJ317" s="115"/>
      <c r="BK317" s="115"/>
      <c r="BL317" s="115"/>
      <c r="BM317" s="115"/>
      <c r="BN317" s="115"/>
      <c r="BO317" s="115"/>
    </row>
    <row r="318" spans="1:67" ht="15.75" customHeight="1" thickBot="1" x14ac:dyDescent="0.4">
      <c r="A318" s="115"/>
      <c r="B318" s="1387"/>
      <c r="C318" s="1387"/>
      <c r="D318" s="115"/>
      <c r="E318" s="173"/>
      <c r="F318" s="115"/>
      <c r="G318" s="115"/>
      <c r="H318" s="115"/>
      <c r="I318" s="115"/>
      <c r="J318" s="115"/>
      <c r="K318" s="115"/>
      <c r="L318" s="115"/>
      <c r="M318" s="115"/>
      <c r="N318" s="115"/>
      <c r="O318" s="115"/>
      <c r="P318" s="115"/>
      <c r="Q318" s="115"/>
      <c r="R318" s="115"/>
      <c r="S318" s="115"/>
      <c r="T318" s="115"/>
      <c r="U318" s="115"/>
      <c r="V318" s="115"/>
      <c r="W318" s="115"/>
      <c r="X318" s="115"/>
      <c r="Y318" s="115"/>
      <c r="Z318" s="115"/>
      <c r="AA318" s="115"/>
      <c r="AB318" s="115"/>
      <c r="AC318" s="115"/>
      <c r="AD318" s="115"/>
      <c r="AE318" s="115"/>
      <c r="AF318" s="115"/>
      <c r="AG318" s="115"/>
      <c r="AH318" s="115"/>
      <c r="AI318" s="115"/>
      <c r="AJ318" s="115"/>
      <c r="AK318" s="115"/>
      <c r="AL318" s="115"/>
      <c r="AM318" s="115"/>
      <c r="AN318" s="115"/>
      <c r="AO318" s="115"/>
      <c r="AP318" s="115"/>
      <c r="AQ318" s="115"/>
      <c r="AR318" s="115"/>
      <c r="AS318" s="115"/>
      <c r="AT318" s="115"/>
      <c r="AU318" s="115"/>
      <c r="AV318" s="115"/>
      <c r="AW318" s="115"/>
      <c r="AX318" s="115"/>
      <c r="AY318" s="115"/>
      <c r="AZ318" s="115"/>
      <c r="BA318" s="115"/>
      <c r="BB318" s="115"/>
      <c r="BC318" s="115"/>
      <c r="BD318" s="115"/>
      <c r="BE318" s="115"/>
      <c r="BF318" s="115"/>
      <c r="BG318" s="115"/>
      <c r="BH318" s="115"/>
      <c r="BI318" s="115"/>
      <c r="BJ318" s="115"/>
      <c r="BK318" s="115"/>
      <c r="BL318" s="115"/>
      <c r="BM318" s="115"/>
      <c r="BN318" s="115"/>
      <c r="BO318" s="115"/>
    </row>
    <row r="319" spans="1:67" ht="15.75" customHeight="1" thickBot="1" x14ac:dyDescent="0.4">
      <c r="A319" s="115"/>
      <c r="B319" s="1387"/>
      <c r="C319" s="1387"/>
      <c r="D319" s="115"/>
      <c r="E319" s="173"/>
      <c r="F319" s="115"/>
      <c r="G319" s="115"/>
      <c r="H319" s="115"/>
      <c r="I319" s="115"/>
      <c r="J319" s="115"/>
      <c r="K319" s="115"/>
      <c r="L319" s="115"/>
      <c r="M319" s="115"/>
      <c r="N319" s="115"/>
      <c r="O319" s="115"/>
      <c r="P319" s="115"/>
      <c r="Q319" s="115"/>
      <c r="R319" s="115"/>
      <c r="S319" s="115"/>
      <c r="T319" s="115"/>
      <c r="U319" s="115"/>
      <c r="V319" s="115"/>
      <c r="W319" s="115"/>
      <c r="X319" s="115"/>
      <c r="Y319" s="115"/>
      <c r="Z319" s="115"/>
      <c r="AA319" s="115"/>
      <c r="AB319" s="115"/>
      <c r="AC319" s="115"/>
      <c r="AD319" s="115"/>
      <c r="AE319" s="115"/>
      <c r="AF319" s="115"/>
      <c r="AG319" s="115"/>
      <c r="AH319" s="115"/>
      <c r="AI319" s="115"/>
      <c r="AJ319" s="115"/>
      <c r="AK319" s="115"/>
      <c r="AL319" s="115"/>
      <c r="AM319" s="115"/>
      <c r="AN319" s="115"/>
      <c r="AO319" s="115"/>
      <c r="AP319" s="115"/>
      <c r="AQ319" s="115"/>
      <c r="AR319" s="115"/>
      <c r="AS319" s="115"/>
      <c r="AT319" s="115"/>
      <c r="AU319" s="115"/>
      <c r="AV319" s="115"/>
      <c r="AW319" s="115"/>
      <c r="AX319" s="115"/>
      <c r="AY319" s="115"/>
      <c r="AZ319" s="115"/>
      <c r="BA319" s="115"/>
      <c r="BB319" s="115"/>
      <c r="BC319" s="115"/>
      <c r="BD319" s="115"/>
      <c r="BE319" s="115"/>
      <c r="BF319" s="115"/>
      <c r="BG319" s="115"/>
      <c r="BH319" s="115"/>
      <c r="BI319" s="115"/>
      <c r="BJ319" s="115"/>
      <c r="BK319" s="115"/>
      <c r="BL319" s="115"/>
      <c r="BM319" s="115"/>
      <c r="BN319" s="115"/>
      <c r="BO319" s="115"/>
    </row>
    <row r="320" spans="1:67" ht="15.75" customHeight="1" thickBot="1" x14ac:dyDescent="0.4">
      <c r="A320" s="115"/>
      <c r="B320" s="1387"/>
      <c r="C320" s="1387"/>
      <c r="D320" s="115"/>
      <c r="E320" s="173"/>
      <c r="F320" s="115"/>
      <c r="G320" s="115"/>
      <c r="H320" s="115"/>
      <c r="I320" s="115"/>
      <c r="J320" s="115"/>
      <c r="K320" s="115"/>
      <c r="L320" s="115"/>
      <c r="M320" s="115"/>
      <c r="N320" s="115"/>
      <c r="O320" s="115"/>
      <c r="P320" s="115"/>
      <c r="Q320" s="115"/>
      <c r="R320" s="115"/>
      <c r="S320" s="115"/>
      <c r="T320" s="115"/>
      <c r="U320" s="115"/>
      <c r="V320" s="115"/>
      <c r="W320" s="115"/>
      <c r="X320" s="115"/>
      <c r="Y320" s="115"/>
      <c r="Z320" s="115"/>
      <c r="AA320" s="115"/>
      <c r="AB320" s="115"/>
      <c r="AC320" s="115"/>
      <c r="AD320" s="115"/>
      <c r="AE320" s="115"/>
      <c r="AF320" s="115"/>
      <c r="AG320" s="115"/>
      <c r="AH320" s="115"/>
      <c r="AI320" s="115"/>
      <c r="AJ320" s="115"/>
      <c r="AK320" s="115"/>
      <c r="AL320" s="115"/>
      <c r="AM320" s="115"/>
      <c r="AN320" s="115"/>
      <c r="AO320" s="115"/>
      <c r="AP320" s="115"/>
      <c r="AQ320" s="115"/>
      <c r="AR320" s="115"/>
      <c r="AS320" s="115"/>
      <c r="AT320" s="115"/>
      <c r="AU320" s="115"/>
      <c r="AV320" s="115"/>
      <c r="AW320" s="115"/>
      <c r="AX320" s="115"/>
      <c r="AY320" s="115"/>
      <c r="AZ320" s="115"/>
      <c r="BA320" s="115"/>
      <c r="BB320" s="115"/>
      <c r="BC320" s="115"/>
      <c r="BD320" s="115"/>
      <c r="BE320" s="115"/>
      <c r="BF320" s="115"/>
      <c r="BG320" s="115"/>
      <c r="BH320" s="115"/>
      <c r="BI320" s="115"/>
      <c r="BJ320" s="115"/>
      <c r="BK320" s="115"/>
      <c r="BL320" s="115"/>
      <c r="BM320" s="115"/>
      <c r="BN320" s="115"/>
      <c r="BO320" s="115"/>
    </row>
    <row r="321" spans="1:67" ht="15.75" customHeight="1" thickBot="1" x14ac:dyDescent="0.4">
      <c r="A321" s="115"/>
      <c r="B321" s="1387"/>
      <c r="C321" s="1387"/>
      <c r="D321" s="115"/>
      <c r="E321" s="173"/>
      <c r="F321" s="115"/>
      <c r="G321" s="115"/>
      <c r="H321" s="115"/>
      <c r="I321" s="115"/>
      <c r="J321" s="115"/>
      <c r="K321" s="115"/>
      <c r="L321" s="115"/>
      <c r="M321" s="115"/>
      <c r="N321" s="115"/>
      <c r="O321" s="115"/>
      <c r="P321" s="115"/>
      <c r="Q321" s="115"/>
      <c r="R321" s="115"/>
      <c r="S321" s="115"/>
      <c r="T321" s="115"/>
      <c r="U321" s="115"/>
      <c r="V321" s="115"/>
      <c r="W321" s="115"/>
      <c r="X321" s="115"/>
      <c r="Y321" s="115"/>
      <c r="Z321" s="115"/>
      <c r="AA321" s="115"/>
      <c r="AB321" s="115"/>
      <c r="AC321" s="115"/>
      <c r="AD321" s="115"/>
      <c r="AE321" s="115"/>
      <c r="AF321" s="115"/>
      <c r="AG321" s="115"/>
      <c r="AH321" s="115"/>
      <c r="AI321" s="115"/>
      <c r="AJ321" s="115"/>
      <c r="AK321" s="115"/>
      <c r="AL321" s="115"/>
      <c r="AM321" s="115"/>
      <c r="AN321" s="115"/>
      <c r="AO321" s="115"/>
      <c r="AP321" s="115"/>
      <c r="AQ321" s="115"/>
      <c r="AR321" s="115"/>
      <c r="AS321" s="115"/>
      <c r="AT321" s="115"/>
      <c r="AU321" s="115"/>
      <c r="AV321" s="115"/>
      <c r="AW321" s="115"/>
      <c r="AX321" s="115"/>
      <c r="AY321" s="115"/>
      <c r="AZ321" s="115"/>
      <c r="BA321" s="115"/>
      <c r="BB321" s="115"/>
      <c r="BC321" s="115"/>
      <c r="BD321" s="115"/>
      <c r="BE321" s="115"/>
      <c r="BF321" s="115"/>
      <c r="BG321" s="115"/>
      <c r="BH321" s="115"/>
      <c r="BI321" s="115"/>
      <c r="BJ321" s="115"/>
      <c r="BK321" s="115"/>
      <c r="BL321" s="115"/>
      <c r="BM321" s="115"/>
      <c r="BN321" s="115"/>
      <c r="BO321" s="115"/>
    </row>
    <row r="322" spans="1:67" ht="15.75" customHeight="1" thickBot="1" x14ac:dyDescent="0.4">
      <c r="A322" s="115"/>
      <c r="B322" s="1387"/>
      <c r="C322" s="1387"/>
      <c r="D322" s="115"/>
      <c r="E322" s="173"/>
      <c r="F322" s="115"/>
      <c r="G322" s="115"/>
      <c r="H322" s="115"/>
      <c r="I322" s="115"/>
      <c r="J322" s="115"/>
      <c r="K322" s="115"/>
      <c r="L322" s="115"/>
      <c r="M322" s="115"/>
      <c r="N322" s="115"/>
      <c r="O322" s="115"/>
      <c r="P322" s="115"/>
      <c r="Q322" s="115"/>
      <c r="R322" s="115"/>
      <c r="S322" s="115"/>
      <c r="T322" s="115"/>
      <c r="U322" s="115"/>
      <c r="V322" s="115"/>
      <c r="W322" s="115"/>
      <c r="X322" s="115"/>
      <c r="Y322" s="115"/>
      <c r="Z322" s="115"/>
      <c r="AA322" s="115"/>
      <c r="AB322" s="115"/>
      <c r="AC322" s="115"/>
      <c r="AD322" s="115"/>
      <c r="AE322" s="115"/>
      <c r="AF322" s="115"/>
      <c r="AG322" s="115"/>
      <c r="AH322" s="115"/>
      <c r="AI322" s="115"/>
      <c r="AJ322" s="115"/>
      <c r="AK322" s="115"/>
      <c r="AL322" s="115"/>
      <c r="AM322" s="115"/>
      <c r="AN322" s="115"/>
      <c r="AO322" s="115"/>
      <c r="AP322" s="115"/>
      <c r="AQ322" s="115"/>
      <c r="AR322" s="115"/>
      <c r="AS322" s="115"/>
      <c r="AT322" s="115"/>
      <c r="AU322" s="115"/>
      <c r="AV322" s="115"/>
      <c r="AW322" s="115"/>
      <c r="AX322" s="115"/>
      <c r="AY322" s="115"/>
      <c r="AZ322" s="115"/>
      <c r="BA322" s="115"/>
      <c r="BB322" s="115"/>
      <c r="BC322" s="115"/>
      <c r="BD322" s="115"/>
      <c r="BE322" s="115"/>
      <c r="BF322" s="115"/>
      <c r="BG322" s="115"/>
      <c r="BH322" s="115"/>
      <c r="BI322" s="115"/>
      <c r="BJ322" s="115"/>
      <c r="BK322" s="115"/>
      <c r="BL322" s="115"/>
      <c r="BM322" s="115"/>
      <c r="BN322" s="115"/>
      <c r="BO322" s="115"/>
    </row>
    <row r="323" spans="1:67" ht="15.75" customHeight="1" thickBot="1" x14ac:dyDescent="0.4">
      <c r="A323" s="115"/>
      <c r="B323" s="1387"/>
      <c r="C323" s="1387"/>
      <c r="D323" s="115"/>
      <c r="E323" s="173"/>
      <c r="F323" s="115"/>
      <c r="G323" s="115"/>
      <c r="H323" s="115"/>
      <c r="I323" s="115"/>
      <c r="J323" s="115"/>
      <c r="K323" s="115"/>
      <c r="L323" s="115"/>
      <c r="M323" s="115"/>
      <c r="N323" s="115"/>
      <c r="O323" s="115"/>
      <c r="P323" s="115"/>
      <c r="Q323" s="115"/>
      <c r="R323" s="115"/>
      <c r="S323" s="115"/>
      <c r="T323" s="115"/>
      <c r="U323" s="115"/>
      <c r="V323" s="115"/>
      <c r="W323" s="115"/>
      <c r="X323" s="115"/>
      <c r="Y323" s="115"/>
      <c r="Z323" s="115"/>
      <c r="AA323" s="115"/>
      <c r="AB323" s="115"/>
      <c r="AC323" s="115"/>
      <c r="AD323" s="115"/>
      <c r="AE323" s="115"/>
      <c r="AF323" s="115"/>
      <c r="AG323" s="115"/>
      <c r="AH323" s="115"/>
      <c r="AI323" s="115"/>
      <c r="AJ323" s="115"/>
      <c r="AK323" s="115"/>
      <c r="AL323" s="115"/>
      <c r="AM323" s="115"/>
      <c r="AN323" s="115"/>
      <c r="AO323" s="115"/>
      <c r="AP323" s="115"/>
      <c r="AQ323" s="115"/>
      <c r="AR323" s="115"/>
      <c r="AS323" s="115"/>
      <c r="AT323" s="115"/>
      <c r="AU323" s="115"/>
      <c r="AV323" s="115"/>
      <c r="AW323" s="115"/>
      <c r="AX323" s="115"/>
      <c r="AY323" s="115"/>
      <c r="AZ323" s="115"/>
      <c r="BA323" s="115"/>
      <c r="BB323" s="115"/>
      <c r="BC323" s="115"/>
      <c r="BD323" s="115"/>
      <c r="BE323" s="115"/>
      <c r="BF323" s="115"/>
      <c r="BG323" s="115"/>
      <c r="BH323" s="115"/>
      <c r="BI323" s="115"/>
      <c r="BJ323" s="115"/>
      <c r="BK323" s="115"/>
      <c r="BL323" s="115"/>
      <c r="BM323" s="115"/>
      <c r="BN323" s="115"/>
      <c r="BO323" s="115"/>
    </row>
    <row r="324" spans="1:67" ht="15.75" customHeight="1" thickBot="1" x14ac:dyDescent="0.4">
      <c r="A324" s="115"/>
      <c r="B324" s="1387"/>
      <c r="C324" s="1387"/>
      <c r="D324" s="115"/>
      <c r="E324" s="173"/>
      <c r="F324" s="115"/>
      <c r="G324" s="115"/>
      <c r="H324" s="115"/>
      <c r="I324" s="115"/>
      <c r="J324" s="115"/>
      <c r="K324" s="115"/>
      <c r="L324" s="115"/>
      <c r="M324" s="115"/>
      <c r="N324" s="115"/>
      <c r="O324" s="115"/>
      <c r="P324" s="115"/>
      <c r="Q324" s="115"/>
      <c r="R324" s="115"/>
      <c r="S324" s="115"/>
      <c r="T324" s="115"/>
      <c r="U324" s="115"/>
      <c r="V324" s="115"/>
      <c r="W324" s="115"/>
      <c r="X324" s="115"/>
      <c r="Y324" s="115"/>
      <c r="Z324" s="115"/>
      <c r="AA324" s="115"/>
      <c r="AB324" s="115"/>
      <c r="AC324" s="115"/>
      <c r="AD324" s="115"/>
      <c r="AE324" s="115"/>
      <c r="AF324" s="115"/>
      <c r="AG324" s="115"/>
      <c r="AH324" s="115"/>
      <c r="AI324" s="115"/>
      <c r="AJ324" s="115"/>
      <c r="AK324" s="115"/>
      <c r="AL324" s="115"/>
      <c r="AM324" s="115"/>
      <c r="AN324" s="115"/>
      <c r="AO324" s="115"/>
      <c r="AP324" s="115"/>
      <c r="AQ324" s="115"/>
      <c r="AR324" s="115"/>
      <c r="AS324" s="115"/>
      <c r="AT324" s="115"/>
      <c r="AU324" s="115"/>
      <c r="AV324" s="115"/>
      <c r="AW324" s="115"/>
      <c r="AX324" s="115"/>
      <c r="AY324" s="115"/>
      <c r="AZ324" s="115"/>
      <c r="BA324" s="115"/>
      <c r="BB324" s="115"/>
      <c r="BC324" s="115"/>
      <c r="BD324" s="115"/>
      <c r="BE324" s="115"/>
      <c r="BF324" s="115"/>
      <c r="BG324" s="115"/>
      <c r="BH324" s="115"/>
      <c r="BI324" s="115"/>
      <c r="BJ324" s="115"/>
      <c r="BK324" s="115"/>
      <c r="BL324" s="115"/>
      <c r="BM324" s="115"/>
      <c r="BN324" s="115"/>
      <c r="BO324" s="115"/>
    </row>
    <row r="325" spans="1:67" ht="15.75" customHeight="1" thickBot="1" x14ac:dyDescent="0.4">
      <c r="A325" s="115"/>
      <c r="B325" s="1387"/>
      <c r="C325" s="1387"/>
      <c r="D325" s="115"/>
      <c r="E325" s="173"/>
      <c r="F325" s="115"/>
      <c r="G325" s="115"/>
      <c r="H325" s="115"/>
      <c r="I325" s="115"/>
      <c r="J325" s="115"/>
      <c r="K325" s="115"/>
      <c r="L325" s="115"/>
      <c r="M325" s="115"/>
      <c r="N325" s="115"/>
      <c r="O325" s="115"/>
      <c r="P325" s="115"/>
      <c r="Q325" s="115"/>
      <c r="R325" s="115"/>
      <c r="S325" s="115"/>
      <c r="T325" s="115"/>
      <c r="U325" s="115"/>
      <c r="V325" s="115"/>
      <c r="W325" s="115"/>
      <c r="X325" s="115"/>
      <c r="Y325" s="115"/>
      <c r="Z325" s="115"/>
      <c r="AA325" s="115"/>
      <c r="AB325" s="115"/>
      <c r="AC325" s="115"/>
      <c r="AD325" s="115"/>
      <c r="AE325" s="115"/>
      <c r="AF325" s="115"/>
      <c r="AG325" s="115"/>
      <c r="AH325" s="115"/>
      <c r="AI325" s="115"/>
      <c r="AJ325" s="115"/>
      <c r="AK325" s="115"/>
      <c r="AL325" s="115"/>
      <c r="AM325" s="115"/>
      <c r="AN325" s="115"/>
      <c r="AO325" s="115"/>
      <c r="AP325" s="115"/>
      <c r="AQ325" s="115"/>
      <c r="AR325" s="115"/>
      <c r="AS325" s="115"/>
      <c r="AT325" s="115"/>
      <c r="AU325" s="115"/>
      <c r="AV325" s="115"/>
      <c r="AW325" s="115"/>
      <c r="AX325" s="115"/>
      <c r="AY325" s="115"/>
      <c r="AZ325" s="115"/>
      <c r="BA325" s="115"/>
      <c r="BB325" s="115"/>
      <c r="BC325" s="115"/>
      <c r="BD325" s="115"/>
      <c r="BE325" s="115"/>
      <c r="BF325" s="115"/>
      <c r="BG325" s="115"/>
      <c r="BH325" s="115"/>
      <c r="BI325" s="115"/>
      <c r="BJ325" s="115"/>
      <c r="BK325" s="115"/>
      <c r="BL325" s="115"/>
      <c r="BM325" s="115"/>
      <c r="BN325" s="115"/>
      <c r="BO325" s="115"/>
    </row>
    <row r="326" spans="1:67" ht="15.75" customHeight="1" thickBot="1" x14ac:dyDescent="0.4">
      <c r="A326" s="115"/>
      <c r="B326" s="1387"/>
      <c r="C326" s="1387"/>
      <c r="D326" s="115"/>
      <c r="E326" s="173"/>
      <c r="F326" s="115"/>
      <c r="G326" s="115"/>
      <c r="H326" s="115"/>
      <c r="I326" s="115"/>
      <c r="J326" s="115"/>
      <c r="K326" s="115"/>
      <c r="L326" s="115"/>
      <c r="M326" s="115"/>
      <c r="N326" s="115"/>
      <c r="O326" s="115"/>
      <c r="P326" s="115"/>
      <c r="Q326" s="115"/>
      <c r="R326" s="115"/>
      <c r="S326" s="115"/>
      <c r="T326" s="115"/>
      <c r="U326" s="115"/>
      <c r="V326" s="115"/>
      <c r="W326" s="115"/>
      <c r="X326" s="115"/>
      <c r="Y326" s="115"/>
      <c r="Z326" s="115"/>
      <c r="AA326" s="115"/>
      <c r="AB326" s="115"/>
      <c r="AC326" s="115"/>
      <c r="AD326" s="115"/>
      <c r="AE326" s="115"/>
      <c r="AF326" s="115"/>
      <c r="AG326" s="115"/>
      <c r="AH326" s="115"/>
      <c r="AI326" s="115"/>
      <c r="AJ326" s="115"/>
      <c r="AK326" s="115"/>
      <c r="AL326" s="115"/>
      <c r="AM326" s="115"/>
      <c r="AN326" s="115"/>
      <c r="AO326" s="115"/>
      <c r="AP326" s="115"/>
      <c r="AQ326" s="115"/>
      <c r="AR326" s="115"/>
      <c r="AS326" s="115"/>
      <c r="AT326" s="115"/>
      <c r="AU326" s="115"/>
      <c r="AV326" s="115"/>
      <c r="AW326" s="115"/>
      <c r="AX326" s="115"/>
      <c r="AY326" s="115"/>
      <c r="AZ326" s="115"/>
      <c r="BA326" s="115"/>
      <c r="BB326" s="115"/>
      <c r="BC326" s="115"/>
      <c r="BD326" s="115"/>
      <c r="BE326" s="115"/>
      <c r="BF326" s="115"/>
      <c r="BG326" s="115"/>
      <c r="BH326" s="115"/>
      <c r="BI326" s="115"/>
      <c r="BJ326" s="115"/>
      <c r="BK326" s="115"/>
      <c r="BL326" s="115"/>
      <c r="BM326" s="115"/>
      <c r="BN326" s="115"/>
      <c r="BO326" s="115"/>
    </row>
    <row r="327" spans="1:67" ht="15.75" customHeight="1" thickBot="1" x14ac:dyDescent="0.4">
      <c r="A327" s="115"/>
      <c r="B327" s="1387"/>
      <c r="C327" s="1387"/>
      <c r="D327" s="115"/>
      <c r="E327" s="173"/>
      <c r="F327" s="115"/>
      <c r="G327" s="115"/>
      <c r="H327" s="115"/>
      <c r="I327" s="115"/>
      <c r="J327" s="115"/>
      <c r="K327" s="115"/>
      <c r="L327" s="115"/>
      <c r="M327" s="115"/>
      <c r="N327" s="115"/>
      <c r="O327" s="115"/>
      <c r="P327" s="115"/>
      <c r="Q327" s="115"/>
      <c r="R327" s="115"/>
      <c r="S327" s="115"/>
      <c r="T327" s="115"/>
      <c r="U327" s="115"/>
      <c r="V327" s="115"/>
      <c r="W327" s="115"/>
      <c r="X327" s="115"/>
      <c r="Y327" s="115"/>
      <c r="Z327" s="115"/>
      <c r="AA327" s="115"/>
      <c r="AB327" s="115"/>
      <c r="AC327" s="115"/>
      <c r="AD327" s="115"/>
      <c r="AE327" s="115"/>
      <c r="AF327" s="115"/>
      <c r="AG327" s="115"/>
      <c r="AH327" s="115"/>
      <c r="AI327" s="115"/>
      <c r="AJ327" s="115"/>
      <c r="AK327" s="115"/>
      <c r="AL327" s="115"/>
      <c r="AM327" s="115"/>
      <c r="AN327" s="115"/>
      <c r="AO327" s="115"/>
      <c r="AP327" s="115"/>
      <c r="AQ327" s="115"/>
      <c r="AR327" s="115"/>
      <c r="AS327" s="115"/>
      <c r="AT327" s="115"/>
      <c r="AU327" s="115"/>
      <c r="AV327" s="115"/>
      <c r="AW327" s="115"/>
      <c r="AX327" s="115"/>
      <c r="AY327" s="115"/>
      <c r="AZ327" s="115"/>
      <c r="BA327" s="115"/>
      <c r="BB327" s="115"/>
      <c r="BC327" s="115"/>
      <c r="BD327" s="115"/>
      <c r="BE327" s="115"/>
      <c r="BF327" s="115"/>
      <c r="BG327" s="115"/>
      <c r="BH327" s="115"/>
      <c r="BI327" s="115"/>
      <c r="BJ327" s="115"/>
      <c r="BK327" s="115"/>
      <c r="BL327" s="115"/>
      <c r="BM327" s="115"/>
      <c r="BN327" s="115"/>
      <c r="BO327" s="115"/>
    </row>
    <row r="328" spans="1:67" ht="15.75" customHeight="1" thickBot="1" x14ac:dyDescent="0.4">
      <c r="A328" s="115"/>
      <c r="B328" s="1387"/>
      <c r="C328" s="1387"/>
      <c r="D328" s="115"/>
      <c r="E328" s="173"/>
      <c r="F328" s="115"/>
      <c r="G328" s="115"/>
      <c r="H328" s="115"/>
      <c r="I328" s="115"/>
      <c r="J328" s="115"/>
      <c r="K328" s="115"/>
      <c r="L328" s="115"/>
      <c r="M328" s="115"/>
      <c r="N328" s="115"/>
      <c r="O328" s="115"/>
      <c r="P328" s="115"/>
      <c r="Q328" s="115"/>
      <c r="R328" s="115"/>
      <c r="S328" s="115"/>
      <c r="T328" s="115"/>
      <c r="U328" s="115"/>
      <c r="V328" s="115"/>
      <c r="W328" s="115"/>
      <c r="X328" s="115"/>
      <c r="Y328" s="115"/>
      <c r="Z328" s="115"/>
      <c r="AA328" s="115"/>
      <c r="AB328" s="115"/>
      <c r="AC328" s="115"/>
      <c r="AD328" s="115"/>
      <c r="AE328" s="115"/>
      <c r="AF328" s="115"/>
      <c r="AG328" s="115"/>
      <c r="AH328" s="115"/>
      <c r="AI328" s="115"/>
      <c r="AJ328" s="115"/>
      <c r="AK328" s="115"/>
      <c r="AL328" s="115"/>
      <c r="AM328" s="115"/>
      <c r="AN328" s="115"/>
      <c r="AO328" s="115"/>
      <c r="AP328" s="115"/>
      <c r="AQ328" s="115"/>
      <c r="AR328" s="115"/>
      <c r="AS328" s="115"/>
      <c r="AT328" s="115"/>
      <c r="AU328" s="115"/>
      <c r="AV328" s="115"/>
      <c r="AW328" s="115"/>
      <c r="AX328" s="115"/>
      <c r="AY328" s="115"/>
      <c r="AZ328" s="115"/>
      <c r="BA328" s="115"/>
      <c r="BB328" s="115"/>
      <c r="BC328" s="115"/>
      <c r="BD328" s="115"/>
      <c r="BE328" s="115"/>
      <c r="BF328" s="115"/>
      <c r="BG328" s="115"/>
      <c r="BH328" s="115"/>
      <c r="BI328" s="115"/>
      <c r="BJ328" s="115"/>
      <c r="BK328" s="115"/>
      <c r="BL328" s="115"/>
      <c r="BM328" s="115"/>
      <c r="BN328" s="115"/>
      <c r="BO328" s="115"/>
    </row>
    <row r="329" spans="1:67" ht="15.75" customHeight="1" thickBot="1" x14ac:dyDescent="0.4">
      <c r="A329" s="115"/>
      <c r="B329" s="1387"/>
      <c r="C329" s="1387"/>
      <c r="D329" s="115"/>
      <c r="E329" s="173"/>
      <c r="F329" s="115"/>
      <c r="G329" s="115"/>
      <c r="H329" s="115"/>
      <c r="I329" s="115"/>
      <c r="J329" s="115"/>
      <c r="K329" s="115"/>
      <c r="L329" s="115"/>
      <c r="M329" s="115"/>
      <c r="N329" s="115"/>
      <c r="O329" s="115"/>
      <c r="P329" s="115"/>
      <c r="Q329" s="115"/>
      <c r="R329" s="115"/>
      <c r="S329" s="115"/>
      <c r="T329" s="115"/>
      <c r="U329" s="115"/>
      <c r="V329" s="115"/>
      <c r="W329" s="115"/>
      <c r="X329" s="115"/>
      <c r="Y329" s="115"/>
      <c r="Z329" s="115"/>
      <c r="AA329" s="115"/>
      <c r="AB329" s="115"/>
      <c r="AC329" s="115"/>
      <c r="AD329" s="115"/>
      <c r="AE329" s="115"/>
      <c r="AF329" s="115"/>
      <c r="AG329" s="115"/>
      <c r="AH329" s="115"/>
      <c r="AI329" s="115"/>
      <c r="AJ329" s="115"/>
      <c r="AK329" s="115"/>
      <c r="AL329" s="115"/>
      <c r="AM329" s="115"/>
      <c r="AN329" s="115"/>
      <c r="AO329" s="115"/>
      <c r="AP329" s="115"/>
      <c r="AQ329" s="115"/>
      <c r="AR329" s="115"/>
      <c r="AS329" s="115"/>
      <c r="AT329" s="115"/>
      <c r="AU329" s="115"/>
      <c r="AV329" s="115"/>
      <c r="AW329" s="115"/>
      <c r="AX329" s="115"/>
      <c r="AY329" s="115"/>
      <c r="AZ329" s="115"/>
      <c r="BA329" s="115"/>
      <c r="BB329" s="115"/>
      <c r="BC329" s="115"/>
      <c r="BD329" s="115"/>
      <c r="BE329" s="115"/>
      <c r="BF329" s="115"/>
      <c r="BG329" s="115"/>
      <c r="BH329" s="115"/>
      <c r="BI329" s="115"/>
      <c r="BJ329" s="115"/>
      <c r="BK329" s="115"/>
      <c r="BL329" s="115"/>
      <c r="BM329" s="115"/>
      <c r="BN329" s="115"/>
      <c r="BO329" s="115"/>
    </row>
    <row r="330" spans="1:67" ht="15.75" customHeight="1" thickBot="1" x14ac:dyDescent="0.4">
      <c r="A330" s="115"/>
      <c r="B330" s="1387"/>
      <c r="C330" s="1387"/>
      <c r="D330" s="115"/>
      <c r="E330" s="173"/>
      <c r="F330" s="115"/>
      <c r="G330" s="115"/>
      <c r="H330" s="115"/>
      <c r="I330" s="115"/>
      <c r="J330" s="115"/>
      <c r="K330" s="115"/>
      <c r="L330" s="115"/>
      <c r="M330" s="115"/>
      <c r="N330" s="115"/>
      <c r="O330" s="115"/>
      <c r="P330" s="115"/>
      <c r="Q330" s="115"/>
      <c r="R330" s="115"/>
      <c r="S330" s="115"/>
      <c r="T330" s="115"/>
      <c r="U330" s="115"/>
      <c r="V330" s="115"/>
      <c r="W330" s="115"/>
      <c r="X330" s="115"/>
      <c r="Y330" s="115"/>
      <c r="Z330" s="115"/>
      <c r="AA330" s="115"/>
      <c r="AB330" s="115"/>
      <c r="AC330" s="115"/>
      <c r="AD330" s="115"/>
      <c r="AE330" s="115"/>
      <c r="AF330" s="115"/>
      <c r="AG330" s="115"/>
      <c r="AH330" s="115"/>
      <c r="AI330" s="115"/>
      <c r="AJ330" s="115"/>
      <c r="AK330" s="115"/>
      <c r="AL330" s="115"/>
      <c r="AM330" s="115"/>
      <c r="AN330" s="115"/>
      <c r="AO330" s="115"/>
      <c r="AP330" s="115"/>
      <c r="AQ330" s="115"/>
      <c r="AR330" s="115"/>
      <c r="AS330" s="115"/>
      <c r="AT330" s="115"/>
      <c r="AU330" s="115"/>
      <c r="AV330" s="115"/>
      <c r="AW330" s="115"/>
      <c r="AX330" s="115"/>
      <c r="AY330" s="115"/>
      <c r="AZ330" s="115"/>
      <c r="BA330" s="115"/>
      <c r="BB330" s="115"/>
      <c r="BC330" s="115"/>
      <c r="BD330" s="115"/>
      <c r="BE330" s="115"/>
      <c r="BF330" s="115"/>
      <c r="BG330" s="115"/>
      <c r="BH330" s="115"/>
      <c r="BI330" s="115"/>
      <c r="BJ330" s="115"/>
      <c r="BK330" s="115"/>
      <c r="BL330" s="115"/>
      <c r="BM330" s="115"/>
      <c r="BN330" s="115"/>
      <c r="BO330" s="115"/>
    </row>
    <row r="331" spans="1:67" ht="15.75" customHeight="1" thickBot="1" x14ac:dyDescent="0.4">
      <c r="A331" s="115"/>
      <c r="B331" s="1387"/>
      <c r="C331" s="1387"/>
      <c r="D331" s="115"/>
      <c r="E331" s="173"/>
      <c r="F331" s="115"/>
      <c r="G331" s="115"/>
      <c r="H331" s="115"/>
      <c r="I331" s="115"/>
      <c r="J331" s="115"/>
      <c r="K331" s="115"/>
      <c r="L331" s="115"/>
      <c r="M331" s="115"/>
      <c r="N331" s="115"/>
      <c r="O331" s="115"/>
      <c r="P331" s="115"/>
      <c r="Q331" s="115"/>
      <c r="R331" s="115"/>
      <c r="S331" s="115"/>
      <c r="T331" s="115"/>
      <c r="U331" s="115"/>
      <c r="V331" s="115"/>
      <c r="W331" s="115"/>
      <c r="X331" s="115"/>
      <c r="Y331" s="115"/>
      <c r="Z331" s="115"/>
      <c r="AA331" s="115"/>
      <c r="AB331" s="115"/>
      <c r="AC331" s="115"/>
      <c r="AD331" s="115"/>
      <c r="AE331" s="115"/>
      <c r="AF331" s="115"/>
      <c r="AG331" s="115"/>
      <c r="AH331" s="115"/>
      <c r="AI331" s="115"/>
      <c r="AJ331" s="115"/>
      <c r="AK331" s="115"/>
      <c r="AL331" s="115"/>
      <c r="AM331" s="115"/>
      <c r="AN331" s="115"/>
      <c r="AO331" s="115"/>
      <c r="AP331" s="115"/>
      <c r="AQ331" s="115"/>
      <c r="AR331" s="115"/>
      <c r="AS331" s="115"/>
      <c r="AT331" s="115"/>
      <c r="AU331" s="115"/>
      <c r="AV331" s="115"/>
      <c r="AW331" s="115"/>
      <c r="AX331" s="115"/>
      <c r="AY331" s="115"/>
      <c r="AZ331" s="115"/>
      <c r="BA331" s="115"/>
      <c r="BB331" s="115"/>
      <c r="BC331" s="115"/>
      <c r="BD331" s="115"/>
      <c r="BE331" s="115"/>
      <c r="BF331" s="115"/>
      <c r="BG331" s="115"/>
      <c r="BH331" s="115"/>
      <c r="BI331" s="115"/>
      <c r="BJ331" s="115"/>
      <c r="BK331" s="115"/>
      <c r="BL331" s="115"/>
      <c r="BM331" s="115"/>
      <c r="BN331" s="115"/>
      <c r="BO331" s="115"/>
    </row>
    <row r="332" spans="1:67" ht="15.75" customHeight="1" thickBot="1" x14ac:dyDescent="0.4">
      <c r="A332" s="115"/>
      <c r="B332" s="1387"/>
      <c r="C332" s="1387"/>
      <c r="D332" s="115"/>
      <c r="E332" s="173"/>
      <c r="F332" s="115"/>
      <c r="G332" s="115"/>
      <c r="H332" s="115"/>
      <c r="I332" s="115"/>
      <c r="J332" s="115"/>
      <c r="K332" s="115"/>
      <c r="L332" s="115"/>
      <c r="M332" s="115"/>
      <c r="N332" s="115"/>
      <c r="O332" s="115"/>
      <c r="P332" s="115"/>
      <c r="Q332" s="115"/>
      <c r="R332" s="115"/>
      <c r="S332" s="115"/>
      <c r="T332" s="115"/>
      <c r="U332" s="115"/>
      <c r="V332" s="115"/>
      <c r="W332" s="115"/>
      <c r="X332" s="115"/>
      <c r="Y332" s="115"/>
      <c r="Z332" s="115"/>
      <c r="AA332" s="115"/>
      <c r="AB332" s="115"/>
      <c r="AC332" s="115"/>
      <c r="AD332" s="115"/>
      <c r="AE332" s="115"/>
      <c r="AF332" s="115"/>
      <c r="AG332" s="115"/>
      <c r="AH332" s="115"/>
      <c r="AI332" s="115"/>
      <c r="AJ332" s="115"/>
      <c r="AK332" s="115"/>
      <c r="AL332" s="115"/>
      <c r="AM332" s="115"/>
      <c r="AN332" s="115"/>
      <c r="AO332" s="115"/>
      <c r="AP332" s="115"/>
      <c r="AQ332" s="115"/>
      <c r="AR332" s="115"/>
      <c r="AS332" s="115"/>
      <c r="AT332" s="115"/>
      <c r="AU332" s="115"/>
      <c r="AV332" s="115"/>
      <c r="AW332" s="115"/>
      <c r="AX332" s="115"/>
      <c r="AY332" s="115"/>
      <c r="AZ332" s="115"/>
      <c r="BA332" s="115"/>
      <c r="BB332" s="115"/>
      <c r="BC332" s="115"/>
      <c r="BD332" s="115"/>
      <c r="BE332" s="115"/>
      <c r="BF332" s="115"/>
      <c r="BG332" s="115"/>
      <c r="BH332" s="115"/>
      <c r="BI332" s="115"/>
      <c r="BJ332" s="115"/>
      <c r="BK332" s="115"/>
      <c r="BL332" s="115"/>
      <c r="BM332" s="115"/>
      <c r="BN332" s="115"/>
      <c r="BO332" s="115"/>
    </row>
    <row r="333" spans="1:67" ht="15.75" customHeight="1" thickBot="1" x14ac:dyDescent="0.4">
      <c r="AU333" s="115"/>
      <c r="AV333" s="115"/>
      <c r="AW333" s="115"/>
      <c r="AX333" s="115"/>
      <c r="AY333" s="115"/>
      <c r="AZ333" s="115"/>
      <c r="BA333" s="115"/>
      <c r="BB333" s="115"/>
      <c r="BC333" s="115"/>
      <c r="BD333" s="115"/>
      <c r="BE333" s="115"/>
      <c r="BF333" s="115"/>
      <c r="BG333" s="115"/>
      <c r="BH333" s="115"/>
      <c r="BI333" s="115"/>
      <c r="BJ333" s="115"/>
      <c r="BK333" s="115"/>
      <c r="BL333" s="115"/>
      <c r="BM333" s="115"/>
      <c r="BN333" s="115"/>
      <c r="BO333" s="115"/>
    </row>
    <row r="334" spans="1:67" ht="15.75" customHeight="1" thickBot="1" x14ac:dyDescent="0.4">
      <c r="AU334" s="115"/>
      <c r="AV334" s="115"/>
      <c r="AW334" s="115"/>
      <c r="AX334" s="115"/>
      <c r="AY334" s="115"/>
      <c r="AZ334" s="115"/>
      <c r="BA334" s="115"/>
      <c r="BB334" s="115"/>
      <c r="BC334" s="115"/>
      <c r="BD334" s="115"/>
      <c r="BE334" s="115"/>
      <c r="BF334" s="115"/>
      <c r="BG334" s="115"/>
      <c r="BH334" s="115"/>
      <c r="BI334" s="115"/>
      <c r="BJ334" s="115"/>
      <c r="BK334" s="115"/>
      <c r="BL334" s="115"/>
      <c r="BM334" s="115"/>
      <c r="BN334" s="115"/>
      <c r="BO334" s="115"/>
    </row>
    <row r="335" spans="1:67" ht="15.75" customHeight="1" thickBot="1" x14ac:dyDescent="0.4">
      <c r="AU335" s="115"/>
      <c r="AV335" s="115"/>
      <c r="AW335" s="115"/>
      <c r="AX335" s="115"/>
      <c r="AY335" s="115"/>
      <c r="AZ335" s="115"/>
      <c r="BA335" s="115"/>
      <c r="BB335" s="115"/>
      <c r="BC335" s="115"/>
      <c r="BD335" s="115"/>
      <c r="BE335" s="115"/>
      <c r="BF335" s="115"/>
      <c r="BG335" s="115"/>
      <c r="BH335" s="115"/>
      <c r="BI335" s="115"/>
      <c r="BJ335" s="115"/>
      <c r="BK335" s="115"/>
      <c r="BL335" s="115"/>
      <c r="BM335" s="115"/>
      <c r="BN335" s="115"/>
      <c r="BO335" s="115"/>
    </row>
    <row r="336" spans="1:67" ht="15.75" customHeight="1" thickBot="1" x14ac:dyDescent="0.4">
      <c r="AU336" s="115"/>
      <c r="AV336" s="115"/>
      <c r="AW336" s="115"/>
      <c r="AX336" s="115"/>
      <c r="AY336" s="115"/>
      <c r="AZ336" s="115"/>
      <c r="BA336" s="115"/>
      <c r="BB336" s="115"/>
      <c r="BC336" s="115"/>
      <c r="BD336" s="115"/>
      <c r="BE336" s="115"/>
      <c r="BF336" s="115"/>
      <c r="BG336" s="115"/>
      <c r="BH336" s="115"/>
      <c r="BI336" s="115"/>
      <c r="BJ336" s="115"/>
      <c r="BK336" s="115"/>
      <c r="BL336" s="115"/>
      <c r="BM336" s="115"/>
      <c r="BN336" s="115"/>
      <c r="BO336" s="115"/>
    </row>
    <row r="337" spans="47:67" ht="15.75" customHeight="1" thickBot="1" x14ac:dyDescent="0.4">
      <c r="AU337" s="115"/>
      <c r="AV337" s="115"/>
      <c r="AW337" s="115"/>
      <c r="AX337" s="115"/>
      <c r="AY337" s="115"/>
      <c r="AZ337" s="115"/>
      <c r="BA337" s="115"/>
      <c r="BB337" s="115"/>
      <c r="BC337" s="115"/>
      <c r="BD337" s="115"/>
      <c r="BE337" s="115"/>
      <c r="BF337" s="115"/>
      <c r="BG337" s="115"/>
      <c r="BH337" s="115"/>
      <c r="BI337" s="115"/>
      <c r="BJ337" s="115"/>
      <c r="BK337" s="115"/>
      <c r="BL337" s="115"/>
      <c r="BM337" s="115"/>
      <c r="BN337" s="115"/>
      <c r="BO337" s="115"/>
    </row>
    <row r="338" spans="47:67" ht="15.75" customHeight="1" thickBot="1" x14ac:dyDescent="0.4">
      <c r="AU338" s="115"/>
      <c r="AV338" s="115"/>
      <c r="AW338" s="115"/>
      <c r="AX338" s="115"/>
      <c r="AY338" s="115"/>
      <c r="AZ338" s="115"/>
      <c r="BA338" s="115"/>
      <c r="BB338" s="115"/>
      <c r="BC338" s="115"/>
      <c r="BD338" s="115"/>
      <c r="BE338" s="115"/>
      <c r="BF338" s="115"/>
      <c r="BG338" s="115"/>
      <c r="BH338" s="115"/>
      <c r="BI338" s="115"/>
      <c r="BJ338" s="115"/>
      <c r="BK338" s="115"/>
      <c r="BL338" s="115"/>
      <c r="BM338" s="115"/>
      <c r="BN338" s="115"/>
      <c r="BO338" s="115"/>
    </row>
    <row r="339" spans="47:67" ht="15.75" customHeight="1" thickBot="1" x14ac:dyDescent="0.4">
      <c r="AU339" s="115"/>
      <c r="AV339" s="115"/>
      <c r="AW339" s="115"/>
      <c r="AX339" s="115"/>
      <c r="AY339" s="115"/>
      <c r="AZ339" s="115"/>
      <c r="BA339" s="115"/>
      <c r="BB339" s="115"/>
      <c r="BC339" s="115"/>
      <c r="BD339" s="115"/>
      <c r="BE339" s="115"/>
      <c r="BF339" s="115"/>
      <c r="BG339" s="115"/>
      <c r="BH339" s="115"/>
      <c r="BI339" s="115"/>
      <c r="BJ339" s="115"/>
      <c r="BK339" s="115"/>
      <c r="BL339" s="115"/>
      <c r="BM339" s="115"/>
      <c r="BN339" s="115"/>
      <c r="BO339" s="115"/>
    </row>
    <row r="340" spans="47:67" ht="15.75" customHeight="1" thickBot="1" x14ac:dyDescent="0.4">
      <c r="AU340" s="115"/>
      <c r="AV340" s="115"/>
      <c r="AW340" s="115"/>
      <c r="AX340" s="115"/>
      <c r="AY340" s="115"/>
      <c r="AZ340" s="115"/>
      <c r="BA340" s="115"/>
      <c r="BB340" s="115"/>
      <c r="BC340" s="115"/>
      <c r="BD340" s="115"/>
      <c r="BE340" s="115"/>
      <c r="BF340" s="115"/>
      <c r="BG340" s="115"/>
      <c r="BH340" s="115"/>
      <c r="BI340" s="115"/>
      <c r="BJ340" s="115"/>
      <c r="BK340" s="115"/>
      <c r="BL340" s="115"/>
      <c r="BM340" s="115"/>
      <c r="BN340" s="115"/>
      <c r="BO340" s="115"/>
    </row>
    <row r="341" spans="47:67" ht="15.75" customHeight="1" thickBot="1" x14ac:dyDescent="0.4">
      <c r="AU341" s="115"/>
      <c r="AV341" s="115"/>
      <c r="AW341" s="115"/>
      <c r="AX341" s="115"/>
      <c r="AY341" s="115"/>
      <c r="AZ341" s="115"/>
      <c r="BA341" s="115"/>
      <c r="BB341" s="115"/>
      <c r="BC341" s="115"/>
      <c r="BD341" s="115"/>
      <c r="BE341" s="115"/>
      <c r="BF341" s="115"/>
      <c r="BG341" s="115"/>
      <c r="BH341" s="115"/>
      <c r="BI341" s="115"/>
      <c r="BJ341" s="115"/>
      <c r="BK341" s="115"/>
      <c r="BL341" s="115"/>
      <c r="BM341" s="115"/>
      <c r="BN341" s="115"/>
      <c r="BO341" s="115"/>
    </row>
    <row r="342" spans="47:67" ht="15.75" customHeight="1" thickBot="1" x14ac:dyDescent="0.4">
      <c r="AU342" s="115"/>
      <c r="AV342" s="115"/>
      <c r="AW342" s="115"/>
      <c r="AX342" s="115"/>
      <c r="AY342" s="115"/>
      <c r="AZ342" s="115"/>
      <c r="BA342" s="115"/>
      <c r="BB342" s="115"/>
      <c r="BC342" s="115"/>
      <c r="BD342" s="115"/>
      <c r="BE342" s="115"/>
      <c r="BF342" s="115"/>
      <c r="BG342" s="115"/>
      <c r="BH342" s="115"/>
      <c r="BI342" s="115"/>
      <c r="BJ342" s="115"/>
      <c r="BK342" s="115"/>
      <c r="BL342" s="115"/>
      <c r="BM342" s="115"/>
      <c r="BN342" s="115"/>
      <c r="BO342" s="115"/>
    </row>
    <row r="343" spans="47:67" ht="15.75" customHeight="1" thickBot="1" x14ac:dyDescent="0.4">
      <c r="AU343" s="115"/>
      <c r="AV343" s="115"/>
      <c r="AW343" s="115"/>
      <c r="AX343" s="115"/>
      <c r="AY343" s="115"/>
      <c r="AZ343" s="115"/>
      <c r="BA343" s="115"/>
      <c r="BB343" s="115"/>
      <c r="BC343" s="115"/>
      <c r="BD343" s="115"/>
      <c r="BE343" s="115"/>
      <c r="BF343" s="115"/>
      <c r="BG343" s="115"/>
      <c r="BH343" s="115"/>
      <c r="BI343" s="115"/>
      <c r="BJ343" s="115"/>
      <c r="BK343" s="115"/>
      <c r="BL343" s="115"/>
      <c r="BM343" s="115"/>
      <c r="BN343" s="115"/>
      <c r="BO343" s="115"/>
    </row>
    <row r="344" spans="47:67" ht="15.75" customHeight="1" thickBot="1" x14ac:dyDescent="0.4">
      <c r="AU344" s="115"/>
      <c r="AV344" s="115"/>
      <c r="AW344" s="115"/>
      <c r="AX344" s="115"/>
      <c r="AY344" s="115"/>
      <c r="AZ344" s="115"/>
      <c r="BA344" s="115"/>
      <c r="BB344" s="115"/>
      <c r="BC344" s="115"/>
      <c r="BD344" s="115"/>
      <c r="BE344" s="115"/>
      <c r="BF344" s="115"/>
      <c r="BG344" s="115"/>
      <c r="BH344" s="115"/>
      <c r="BI344" s="115"/>
      <c r="BJ344" s="115"/>
      <c r="BK344" s="115"/>
      <c r="BL344" s="115"/>
      <c r="BM344" s="115"/>
      <c r="BN344" s="115"/>
      <c r="BO344" s="115"/>
    </row>
    <row r="345" spans="47:67" ht="15.75" customHeight="1" thickBot="1" x14ac:dyDescent="0.4">
      <c r="AU345" s="115"/>
      <c r="AV345" s="115"/>
      <c r="AW345" s="115"/>
      <c r="AX345" s="115"/>
      <c r="AY345" s="115"/>
      <c r="AZ345" s="115"/>
      <c r="BA345" s="115"/>
      <c r="BB345" s="115"/>
      <c r="BC345" s="115"/>
      <c r="BD345" s="115"/>
      <c r="BE345" s="115"/>
      <c r="BF345" s="115"/>
      <c r="BG345" s="115"/>
      <c r="BH345" s="115"/>
      <c r="BI345" s="115"/>
      <c r="BJ345" s="115"/>
      <c r="BK345" s="115"/>
      <c r="BL345" s="115"/>
      <c r="BM345" s="115"/>
      <c r="BN345" s="115"/>
      <c r="BO345" s="115"/>
    </row>
    <row r="346" spans="47:67" ht="15.75" customHeight="1" thickBot="1" x14ac:dyDescent="0.4">
      <c r="AU346" s="115"/>
      <c r="AV346" s="115"/>
      <c r="AW346" s="115"/>
      <c r="AX346" s="115"/>
      <c r="AY346" s="115"/>
      <c r="AZ346" s="115"/>
      <c r="BA346" s="115"/>
      <c r="BB346" s="115"/>
      <c r="BC346" s="115"/>
      <c r="BD346" s="115"/>
      <c r="BE346" s="115"/>
      <c r="BF346" s="115"/>
      <c r="BG346" s="115"/>
      <c r="BH346" s="115"/>
      <c r="BI346" s="115"/>
      <c r="BJ346" s="115"/>
      <c r="BK346" s="115"/>
      <c r="BL346" s="115"/>
      <c r="BM346" s="115"/>
      <c r="BN346" s="115"/>
      <c r="BO346" s="115"/>
    </row>
    <row r="347" spans="47:67" ht="15.75" customHeight="1" thickBot="1" x14ac:dyDescent="0.4">
      <c r="AU347" s="115"/>
      <c r="AV347" s="115"/>
      <c r="AW347" s="115"/>
      <c r="AX347" s="115"/>
      <c r="AY347" s="115"/>
      <c r="AZ347" s="115"/>
      <c r="BA347" s="115"/>
      <c r="BB347" s="115"/>
      <c r="BC347" s="115"/>
      <c r="BD347" s="115"/>
      <c r="BE347" s="115"/>
      <c r="BF347" s="115"/>
      <c r="BG347" s="115"/>
      <c r="BH347" s="115"/>
      <c r="BI347" s="115"/>
      <c r="BJ347" s="115"/>
      <c r="BK347" s="115"/>
      <c r="BL347" s="115"/>
      <c r="BM347" s="115"/>
      <c r="BN347" s="115"/>
      <c r="BO347" s="115"/>
    </row>
    <row r="348" spans="47:67" ht="15.75" customHeight="1" thickBot="1" x14ac:dyDescent="0.4">
      <c r="AU348" s="115"/>
      <c r="AV348" s="115"/>
      <c r="AW348" s="115"/>
      <c r="AX348" s="115"/>
      <c r="AY348" s="115"/>
      <c r="AZ348" s="115"/>
      <c r="BA348" s="115"/>
      <c r="BB348" s="115"/>
      <c r="BC348" s="115"/>
      <c r="BD348" s="115"/>
      <c r="BE348" s="115"/>
      <c r="BF348" s="115"/>
      <c r="BG348" s="115"/>
      <c r="BH348" s="115"/>
      <c r="BI348" s="115"/>
      <c r="BJ348" s="115"/>
      <c r="BK348" s="115"/>
      <c r="BL348" s="115"/>
      <c r="BM348" s="115"/>
      <c r="BN348" s="115"/>
      <c r="BO348" s="115"/>
    </row>
    <row r="349" spans="47:67" ht="15.75" customHeight="1" thickBot="1" x14ac:dyDescent="0.4">
      <c r="AU349" s="115"/>
      <c r="AV349" s="115"/>
      <c r="AW349" s="115"/>
      <c r="AX349" s="115"/>
      <c r="AY349" s="115"/>
      <c r="AZ349" s="115"/>
      <c r="BA349" s="115"/>
      <c r="BB349" s="115"/>
      <c r="BC349" s="115"/>
      <c r="BD349" s="115"/>
      <c r="BE349" s="115"/>
      <c r="BF349" s="115"/>
      <c r="BG349" s="115"/>
      <c r="BH349" s="115"/>
      <c r="BI349" s="115"/>
      <c r="BJ349" s="115"/>
      <c r="BK349" s="115"/>
      <c r="BL349" s="115"/>
      <c r="BM349" s="115"/>
      <c r="BN349" s="115"/>
      <c r="BO349" s="115"/>
    </row>
    <row r="350" spans="47:67" ht="15.75" customHeight="1" thickBot="1" x14ac:dyDescent="0.4">
      <c r="AU350" s="115"/>
      <c r="AV350" s="115"/>
      <c r="AW350" s="115"/>
      <c r="AX350" s="115"/>
      <c r="AY350" s="115"/>
      <c r="AZ350" s="115"/>
      <c r="BA350" s="115"/>
      <c r="BB350" s="115"/>
      <c r="BC350" s="115"/>
      <c r="BD350" s="115"/>
      <c r="BE350" s="115"/>
      <c r="BF350" s="115"/>
      <c r="BG350" s="115"/>
      <c r="BH350" s="115"/>
      <c r="BI350" s="115"/>
      <c r="BJ350" s="115"/>
      <c r="BK350" s="115"/>
      <c r="BL350" s="115"/>
      <c r="BM350" s="115"/>
      <c r="BN350" s="115"/>
      <c r="BO350" s="115"/>
    </row>
    <row r="351" spans="47:67" ht="15.75" customHeight="1" thickBot="1" x14ac:dyDescent="0.4">
      <c r="AU351" s="115"/>
      <c r="AV351" s="115"/>
      <c r="AW351" s="115"/>
      <c r="AX351" s="115"/>
      <c r="AY351" s="115"/>
      <c r="AZ351" s="115"/>
      <c r="BA351" s="115"/>
      <c r="BB351" s="115"/>
      <c r="BC351" s="115"/>
      <c r="BD351" s="115"/>
      <c r="BE351" s="115"/>
      <c r="BF351" s="115"/>
      <c r="BG351" s="115"/>
      <c r="BH351" s="115"/>
      <c r="BI351" s="115"/>
      <c r="BJ351" s="115"/>
      <c r="BK351" s="115"/>
      <c r="BL351" s="115"/>
      <c r="BM351" s="115"/>
      <c r="BN351" s="115"/>
      <c r="BO351" s="115"/>
    </row>
    <row r="352" spans="47:67" ht="15.75" customHeight="1" thickBot="1" x14ac:dyDescent="0.4">
      <c r="AU352" s="115"/>
      <c r="AV352" s="115"/>
      <c r="AW352" s="115"/>
      <c r="AX352" s="115"/>
      <c r="AY352" s="115"/>
      <c r="AZ352" s="115"/>
      <c r="BA352" s="115"/>
      <c r="BB352" s="115"/>
      <c r="BC352" s="115"/>
      <c r="BD352" s="115"/>
      <c r="BE352" s="115"/>
      <c r="BF352" s="115"/>
      <c r="BG352" s="115"/>
      <c r="BH352" s="115"/>
      <c r="BI352" s="115"/>
      <c r="BJ352" s="115"/>
      <c r="BK352" s="115"/>
      <c r="BL352" s="115"/>
      <c r="BM352" s="115"/>
      <c r="BN352" s="115"/>
      <c r="BO352" s="115"/>
    </row>
    <row r="353" spans="47:67" ht="15.75" customHeight="1" thickBot="1" x14ac:dyDescent="0.4">
      <c r="AU353" s="115"/>
      <c r="AV353" s="115"/>
      <c r="AW353" s="115"/>
      <c r="AX353" s="115"/>
      <c r="AY353" s="115"/>
      <c r="AZ353" s="115"/>
      <c r="BA353" s="115"/>
      <c r="BB353" s="115"/>
      <c r="BC353" s="115"/>
      <c r="BD353" s="115"/>
      <c r="BE353" s="115"/>
      <c r="BF353" s="115"/>
      <c r="BG353" s="115"/>
      <c r="BH353" s="115"/>
      <c r="BI353" s="115"/>
      <c r="BJ353" s="115"/>
      <c r="BK353" s="115"/>
      <c r="BL353" s="115"/>
      <c r="BM353" s="115"/>
      <c r="BN353" s="115"/>
      <c r="BO353" s="115"/>
    </row>
    <row r="354" spans="47:67" ht="15.75" customHeight="1" thickBot="1" x14ac:dyDescent="0.4">
      <c r="AU354" s="115"/>
      <c r="AV354" s="115"/>
      <c r="AW354" s="115"/>
      <c r="AX354" s="115"/>
      <c r="AY354" s="115"/>
      <c r="AZ354" s="115"/>
      <c r="BA354" s="115"/>
      <c r="BB354" s="115"/>
      <c r="BC354" s="115"/>
      <c r="BD354" s="115"/>
      <c r="BE354" s="115"/>
      <c r="BF354" s="115"/>
      <c r="BG354" s="115"/>
      <c r="BH354" s="115"/>
      <c r="BI354" s="115"/>
      <c r="BJ354" s="115"/>
      <c r="BK354" s="115"/>
      <c r="BL354" s="115"/>
      <c r="BM354" s="115"/>
      <c r="BN354" s="115"/>
      <c r="BO354" s="115"/>
    </row>
    <row r="355" spans="47:67" ht="15.75" customHeight="1" thickBot="1" x14ac:dyDescent="0.4">
      <c r="AU355" s="115"/>
      <c r="AV355" s="115"/>
      <c r="AW355" s="115"/>
      <c r="AX355" s="115"/>
      <c r="AY355" s="115"/>
      <c r="AZ355" s="115"/>
      <c r="BA355" s="115"/>
      <c r="BB355" s="115"/>
      <c r="BC355" s="115"/>
      <c r="BD355" s="115"/>
      <c r="BE355" s="115"/>
      <c r="BF355" s="115"/>
      <c r="BG355" s="115"/>
      <c r="BH355" s="115"/>
      <c r="BI355" s="115"/>
      <c r="BJ355" s="115"/>
      <c r="BK355" s="115"/>
      <c r="BL355" s="115"/>
      <c r="BM355" s="115"/>
      <c r="BN355" s="115"/>
      <c r="BO355" s="115"/>
    </row>
    <row r="356" spans="47:67" ht="15.75" customHeight="1" thickBot="1" x14ac:dyDescent="0.4">
      <c r="AU356" s="115"/>
      <c r="AV356" s="115"/>
      <c r="AW356" s="115"/>
      <c r="AX356" s="115"/>
      <c r="AY356" s="115"/>
      <c r="AZ356" s="115"/>
      <c r="BA356" s="115"/>
      <c r="BB356" s="115"/>
      <c r="BC356" s="115"/>
      <c r="BD356" s="115"/>
      <c r="BE356" s="115"/>
      <c r="BF356" s="115"/>
      <c r="BG356" s="115"/>
      <c r="BH356" s="115"/>
      <c r="BI356" s="115"/>
      <c r="BJ356" s="115"/>
      <c r="BK356" s="115"/>
      <c r="BL356" s="115"/>
      <c r="BM356" s="115"/>
      <c r="BN356" s="115"/>
      <c r="BO356" s="115"/>
    </row>
    <row r="357" spans="47:67" ht="15.75" customHeight="1" thickBot="1" x14ac:dyDescent="0.4">
      <c r="AU357" s="115"/>
      <c r="AV357" s="115"/>
      <c r="AW357" s="115"/>
      <c r="AX357" s="115"/>
      <c r="AY357" s="115"/>
      <c r="AZ357" s="115"/>
      <c r="BA357" s="115"/>
      <c r="BB357" s="115"/>
      <c r="BC357" s="115"/>
      <c r="BD357" s="115"/>
      <c r="BE357" s="115"/>
      <c r="BF357" s="115"/>
      <c r="BG357" s="115"/>
      <c r="BH357" s="115"/>
      <c r="BI357" s="115"/>
      <c r="BJ357" s="115"/>
      <c r="BK357" s="115"/>
      <c r="BL357" s="115"/>
      <c r="BM357" s="115"/>
      <c r="BN357" s="115"/>
      <c r="BO357" s="115"/>
    </row>
    <row r="358" spans="47:67" ht="15.75" customHeight="1" thickBot="1" x14ac:dyDescent="0.4">
      <c r="AU358" s="115"/>
      <c r="AV358" s="115"/>
      <c r="AW358" s="115"/>
      <c r="AX358" s="115"/>
      <c r="AY358" s="115"/>
      <c r="AZ358" s="115"/>
      <c r="BA358" s="115"/>
      <c r="BB358" s="115"/>
      <c r="BC358" s="115"/>
      <c r="BD358" s="115"/>
      <c r="BE358" s="115"/>
      <c r="BF358" s="115"/>
      <c r="BG358" s="115"/>
      <c r="BH358" s="115"/>
      <c r="BI358" s="115"/>
      <c r="BJ358" s="115"/>
      <c r="BK358" s="115"/>
      <c r="BL358" s="115"/>
      <c r="BM358" s="115"/>
      <c r="BN358" s="115"/>
      <c r="BO358" s="115"/>
    </row>
    <row r="359" spans="47:67" ht="15.75" customHeight="1" thickBot="1" x14ac:dyDescent="0.4">
      <c r="AU359" s="115"/>
      <c r="AV359" s="115"/>
      <c r="AW359" s="115"/>
      <c r="AX359" s="115"/>
      <c r="AY359" s="115"/>
      <c r="AZ359" s="115"/>
      <c r="BA359" s="115"/>
      <c r="BB359" s="115"/>
      <c r="BC359" s="115"/>
      <c r="BD359" s="115"/>
      <c r="BE359" s="115"/>
      <c r="BF359" s="115"/>
      <c r="BG359" s="115"/>
      <c r="BH359" s="115"/>
      <c r="BI359" s="115"/>
      <c r="BJ359" s="115"/>
      <c r="BK359" s="115"/>
      <c r="BL359" s="115"/>
      <c r="BM359" s="115"/>
      <c r="BN359" s="115"/>
      <c r="BO359" s="115"/>
    </row>
    <row r="360" spans="47:67" ht="15.75" customHeight="1" thickBot="1" x14ac:dyDescent="0.4">
      <c r="AU360" s="115"/>
      <c r="AV360" s="115"/>
      <c r="AW360" s="115"/>
      <c r="AX360" s="115"/>
      <c r="AY360" s="115"/>
      <c r="AZ360" s="115"/>
      <c r="BA360" s="115"/>
      <c r="BB360" s="115"/>
      <c r="BC360" s="115"/>
      <c r="BD360" s="115"/>
      <c r="BE360" s="115"/>
      <c r="BF360" s="115"/>
      <c r="BG360" s="115"/>
      <c r="BH360" s="115"/>
      <c r="BI360" s="115"/>
      <c r="BJ360" s="115"/>
      <c r="BK360" s="115"/>
      <c r="BL360" s="115"/>
      <c r="BM360" s="115"/>
      <c r="BN360" s="115"/>
      <c r="BO360" s="115"/>
    </row>
    <row r="361" spans="47:67" ht="15.75" customHeight="1" thickBot="1" x14ac:dyDescent="0.4">
      <c r="AU361" s="115"/>
      <c r="AV361" s="115"/>
      <c r="AW361" s="115"/>
      <c r="AX361" s="115"/>
      <c r="AY361" s="115"/>
      <c r="AZ361" s="115"/>
      <c r="BA361" s="115"/>
      <c r="BB361" s="115"/>
      <c r="BC361" s="115"/>
      <c r="BD361" s="115"/>
      <c r="BE361" s="115"/>
      <c r="BF361" s="115"/>
      <c r="BG361" s="115"/>
      <c r="BH361" s="115"/>
      <c r="BI361" s="115"/>
      <c r="BJ361" s="115"/>
      <c r="BK361" s="115"/>
      <c r="BL361" s="115"/>
      <c r="BM361" s="115"/>
      <c r="BN361" s="115"/>
      <c r="BO361" s="115"/>
    </row>
    <row r="362" spans="47:67" ht="15.75" customHeight="1" thickBot="1" x14ac:dyDescent="0.4">
      <c r="AU362" s="115"/>
      <c r="AV362" s="115"/>
      <c r="AW362" s="115"/>
      <c r="AX362" s="115"/>
      <c r="AY362" s="115"/>
      <c r="AZ362" s="115"/>
      <c r="BA362" s="115"/>
      <c r="BB362" s="115"/>
      <c r="BC362" s="115"/>
      <c r="BD362" s="115"/>
      <c r="BE362" s="115"/>
      <c r="BF362" s="115"/>
      <c r="BG362" s="115"/>
      <c r="BH362" s="115"/>
      <c r="BI362" s="115"/>
      <c r="BJ362" s="115"/>
      <c r="BK362" s="115"/>
      <c r="BL362" s="115"/>
      <c r="BM362" s="115"/>
      <c r="BN362" s="115"/>
      <c r="BO362" s="115"/>
    </row>
    <row r="363" spans="47:67" ht="15.75" customHeight="1" thickBot="1" x14ac:dyDescent="0.4">
      <c r="AU363" s="115"/>
      <c r="AV363" s="115"/>
      <c r="AW363" s="115"/>
      <c r="AX363" s="115"/>
      <c r="AY363" s="115"/>
      <c r="AZ363" s="115"/>
      <c r="BA363" s="115"/>
      <c r="BB363" s="115"/>
      <c r="BC363" s="115"/>
      <c r="BD363" s="115"/>
      <c r="BE363" s="115"/>
      <c r="BF363" s="115"/>
      <c r="BG363" s="115"/>
      <c r="BH363" s="115"/>
      <c r="BI363" s="115"/>
      <c r="BJ363" s="115"/>
      <c r="BK363" s="115"/>
      <c r="BL363" s="115"/>
      <c r="BM363" s="115"/>
      <c r="BN363" s="115"/>
      <c r="BO363" s="115"/>
    </row>
    <row r="364" spans="47:67" ht="15.75" customHeight="1" thickBot="1" x14ac:dyDescent="0.4">
      <c r="AU364" s="115"/>
      <c r="AV364" s="115"/>
      <c r="AW364" s="115"/>
      <c r="AX364" s="115"/>
      <c r="AY364" s="115"/>
      <c r="AZ364" s="115"/>
      <c r="BA364" s="115"/>
      <c r="BB364" s="115"/>
      <c r="BC364" s="115"/>
      <c r="BD364" s="115"/>
      <c r="BE364" s="115"/>
      <c r="BF364" s="115"/>
      <c r="BG364" s="115"/>
      <c r="BH364" s="115"/>
      <c r="BI364" s="115"/>
      <c r="BJ364" s="115"/>
      <c r="BK364" s="115"/>
      <c r="BL364" s="115"/>
      <c r="BM364" s="115"/>
      <c r="BN364" s="115"/>
      <c r="BO364" s="115"/>
    </row>
    <row r="365" spans="47:67" ht="15.75" customHeight="1" thickBot="1" x14ac:dyDescent="0.4">
      <c r="AU365" s="115"/>
      <c r="AV365" s="115"/>
      <c r="AW365" s="115"/>
      <c r="AX365" s="115"/>
      <c r="AY365" s="115"/>
      <c r="AZ365" s="115"/>
      <c r="BA365" s="115"/>
      <c r="BB365" s="115"/>
      <c r="BC365" s="115"/>
      <c r="BD365" s="115"/>
      <c r="BE365" s="115"/>
      <c r="BF365" s="115"/>
      <c r="BG365" s="115"/>
      <c r="BH365" s="115"/>
      <c r="BI365" s="115"/>
      <c r="BJ365" s="115"/>
      <c r="BK365" s="115"/>
      <c r="BL365" s="115"/>
      <c r="BM365" s="115"/>
      <c r="BN365" s="115"/>
      <c r="BO365" s="115"/>
    </row>
    <row r="366" spans="47:67" ht="15.75" customHeight="1" thickBot="1" x14ac:dyDescent="0.4">
      <c r="AU366" s="115"/>
      <c r="AV366" s="115"/>
      <c r="AW366" s="115"/>
      <c r="AX366" s="115"/>
      <c r="AY366" s="115"/>
      <c r="AZ366" s="115"/>
      <c r="BA366" s="115"/>
      <c r="BB366" s="115"/>
      <c r="BC366" s="115"/>
      <c r="BD366" s="115"/>
      <c r="BE366" s="115"/>
      <c r="BF366" s="115"/>
      <c r="BG366" s="115"/>
      <c r="BH366" s="115"/>
      <c r="BI366" s="115"/>
      <c r="BJ366" s="115"/>
      <c r="BK366" s="115"/>
      <c r="BL366" s="115"/>
      <c r="BM366" s="115"/>
      <c r="BN366" s="115"/>
      <c r="BO366" s="115"/>
    </row>
    <row r="367" spans="47:67" ht="15.75" customHeight="1" thickBot="1" x14ac:dyDescent="0.4">
      <c r="AU367" s="115"/>
      <c r="AV367" s="115"/>
      <c r="AW367" s="115"/>
      <c r="AX367" s="115"/>
      <c r="AY367" s="115"/>
      <c r="AZ367" s="115"/>
      <c r="BA367" s="115"/>
      <c r="BB367" s="115"/>
      <c r="BC367" s="115"/>
      <c r="BD367" s="115"/>
      <c r="BE367" s="115"/>
      <c r="BF367" s="115"/>
      <c r="BG367" s="115"/>
      <c r="BH367" s="115"/>
      <c r="BI367" s="115"/>
      <c r="BJ367" s="115"/>
      <c r="BK367" s="115"/>
      <c r="BL367" s="115"/>
      <c r="BM367" s="115"/>
      <c r="BN367" s="115"/>
      <c r="BO367" s="115"/>
    </row>
    <row r="368" spans="47:67" ht="15.75" customHeight="1" thickBot="1" x14ac:dyDescent="0.4">
      <c r="AU368" s="115"/>
      <c r="AV368" s="115"/>
      <c r="AW368" s="115"/>
      <c r="AX368" s="115"/>
      <c r="AY368" s="115"/>
      <c r="AZ368" s="115"/>
      <c r="BA368" s="115"/>
      <c r="BB368" s="115"/>
      <c r="BC368" s="115"/>
      <c r="BD368" s="115"/>
      <c r="BE368" s="115"/>
      <c r="BF368" s="115"/>
      <c r="BG368" s="115"/>
      <c r="BH368" s="115"/>
      <c r="BI368" s="115"/>
      <c r="BJ368" s="115"/>
      <c r="BK368" s="115"/>
      <c r="BL368" s="115"/>
      <c r="BM368" s="115"/>
      <c r="BN368" s="115"/>
      <c r="BO368" s="115"/>
    </row>
    <row r="369" spans="47:67" ht="15.75" customHeight="1" thickBot="1" x14ac:dyDescent="0.4">
      <c r="AU369" s="115"/>
      <c r="AV369" s="115"/>
      <c r="AW369" s="115"/>
      <c r="AX369" s="115"/>
      <c r="AY369" s="115"/>
      <c r="AZ369" s="115"/>
      <c r="BA369" s="115"/>
      <c r="BB369" s="115"/>
      <c r="BC369" s="115"/>
      <c r="BD369" s="115"/>
      <c r="BE369" s="115"/>
      <c r="BF369" s="115"/>
      <c r="BG369" s="115"/>
      <c r="BH369" s="115"/>
      <c r="BI369" s="115"/>
      <c r="BJ369" s="115"/>
      <c r="BK369" s="115"/>
      <c r="BL369" s="115"/>
      <c r="BM369" s="115"/>
      <c r="BN369" s="115"/>
      <c r="BO369" s="115"/>
    </row>
    <row r="370" spans="47:67" ht="15.75" customHeight="1" thickBot="1" x14ac:dyDescent="0.4">
      <c r="AU370" s="115"/>
      <c r="AV370" s="115"/>
      <c r="AW370" s="115"/>
      <c r="AX370" s="115"/>
      <c r="AY370" s="115"/>
      <c r="AZ370" s="115"/>
      <c r="BA370" s="115"/>
      <c r="BB370" s="115"/>
      <c r="BC370" s="115"/>
      <c r="BD370" s="115"/>
      <c r="BE370" s="115"/>
      <c r="BF370" s="115"/>
      <c r="BG370" s="115"/>
      <c r="BH370" s="115"/>
      <c r="BI370" s="115"/>
      <c r="BJ370" s="115"/>
      <c r="BK370" s="115"/>
      <c r="BL370" s="115"/>
      <c r="BM370" s="115"/>
      <c r="BN370" s="115"/>
      <c r="BO370" s="115"/>
    </row>
    <row r="371" spans="47:67" ht="15.75" customHeight="1" thickBot="1" x14ac:dyDescent="0.4">
      <c r="AU371" s="115"/>
      <c r="AV371" s="115"/>
      <c r="AW371" s="115"/>
      <c r="AX371" s="115"/>
      <c r="AY371" s="115"/>
      <c r="AZ371" s="115"/>
      <c r="BA371" s="115"/>
      <c r="BB371" s="115"/>
      <c r="BC371" s="115"/>
      <c r="BD371" s="115"/>
      <c r="BE371" s="115"/>
      <c r="BF371" s="115"/>
      <c r="BG371" s="115"/>
      <c r="BH371" s="115"/>
      <c r="BI371" s="115"/>
      <c r="BJ371" s="115"/>
      <c r="BK371" s="115"/>
      <c r="BL371" s="115"/>
      <c r="BM371" s="115"/>
      <c r="BN371" s="115"/>
      <c r="BO371" s="115"/>
    </row>
    <row r="372" spans="47:67" ht="15.75" customHeight="1" thickBot="1" x14ac:dyDescent="0.4">
      <c r="AU372" s="115"/>
      <c r="AV372" s="115"/>
      <c r="AW372" s="115"/>
      <c r="AX372" s="115"/>
      <c r="AY372" s="115"/>
      <c r="AZ372" s="115"/>
      <c r="BA372" s="115"/>
      <c r="BB372" s="115"/>
      <c r="BC372" s="115"/>
      <c r="BD372" s="115"/>
      <c r="BE372" s="115"/>
      <c r="BF372" s="115"/>
      <c r="BG372" s="115"/>
      <c r="BH372" s="115"/>
      <c r="BI372" s="115"/>
      <c r="BJ372" s="115"/>
      <c r="BK372" s="115"/>
      <c r="BL372" s="115"/>
      <c r="BM372" s="115"/>
      <c r="BN372" s="115"/>
      <c r="BO372" s="115"/>
    </row>
    <row r="373" spans="47:67" ht="15.75" customHeight="1" thickBot="1" x14ac:dyDescent="0.4">
      <c r="AU373" s="115"/>
      <c r="AV373" s="115"/>
      <c r="AW373" s="115"/>
      <c r="AX373" s="115"/>
      <c r="AY373" s="115"/>
      <c r="AZ373" s="115"/>
      <c r="BA373" s="115"/>
      <c r="BB373" s="115"/>
      <c r="BC373" s="115"/>
      <c r="BD373" s="115"/>
      <c r="BE373" s="115"/>
      <c r="BF373" s="115"/>
      <c r="BG373" s="115"/>
      <c r="BH373" s="115"/>
      <c r="BI373" s="115"/>
      <c r="BJ373" s="115"/>
      <c r="BK373" s="115"/>
      <c r="BL373" s="115"/>
      <c r="BM373" s="115"/>
      <c r="BN373" s="115"/>
      <c r="BO373" s="115"/>
    </row>
    <row r="374" spans="47:67" ht="15.75" customHeight="1" thickBot="1" x14ac:dyDescent="0.4">
      <c r="AU374" s="115"/>
      <c r="AV374" s="115"/>
      <c r="AW374" s="115"/>
      <c r="AX374" s="115"/>
      <c r="AY374" s="115"/>
      <c r="AZ374" s="115"/>
      <c r="BA374" s="115"/>
      <c r="BB374" s="115"/>
      <c r="BC374" s="115"/>
      <c r="BD374" s="115"/>
      <c r="BE374" s="115"/>
      <c r="BF374" s="115"/>
      <c r="BG374" s="115"/>
      <c r="BH374" s="115"/>
      <c r="BI374" s="115"/>
      <c r="BJ374" s="115"/>
      <c r="BK374" s="115"/>
      <c r="BL374" s="115"/>
      <c r="BM374" s="115"/>
      <c r="BN374" s="115"/>
      <c r="BO374" s="115"/>
    </row>
    <row r="375" spans="47:67" ht="15.75" customHeight="1" thickBot="1" x14ac:dyDescent="0.4">
      <c r="AU375" s="115"/>
      <c r="AV375" s="115"/>
      <c r="AW375" s="115"/>
      <c r="AX375" s="115"/>
      <c r="AY375" s="115"/>
      <c r="AZ375" s="115"/>
      <c r="BA375" s="115"/>
      <c r="BB375" s="115"/>
      <c r="BC375" s="115"/>
      <c r="BD375" s="115"/>
      <c r="BE375" s="115"/>
      <c r="BF375" s="115"/>
      <c r="BG375" s="115"/>
      <c r="BH375" s="115"/>
      <c r="BI375" s="115"/>
      <c r="BJ375" s="115"/>
      <c r="BK375" s="115"/>
      <c r="BL375" s="115"/>
      <c r="BM375" s="115"/>
      <c r="BN375" s="115"/>
      <c r="BO375" s="115"/>
    </row>
    <row r="376" spans="47:67" ht="15.75" customHeight="1" thickBot="1" x14ac:dyDescent="0.4">
      <c r="AU376" s="115"/>
      <c r="AV376" s="115"/>
      <c r="AW376" s="115"/>
      <c r="AX376" s="115"/>
      <c r="AY376" s="115"/>
      <c r="AZ376" s="115"/>
      <c r="BA376" s="115"/>
      <c r="BB376" s="115"/>
      <c r="BC376" s="115"/>
      <c r="BD376" s="115"/>
      <c r="BE376" s="115"/>
      <c r="BF376" s="115"/>
      <c r="BG376" s="115"/>
      <c r="BH376" s="115"/>
      <c r="BI376" s="115"/>
      <c r="BJ376" s="115"/>
      <c r="BK376" s="115"/>
      <c r="BL376" s="115"/>
      <c r="BM376" s="115"/>
      <c r="BN376" s="115"/>
      <c r="BO376" s="115"/>
    </row>
    <row r="377" spans="47:67" ht="15.75" customHeight="1" thickBot="1" x14ac:dyDescent="0.4">
      <c r="AU377" s="115"/>
      <c r="AV377" s="115"/>
      <c r="AW377" s="115"/>
      <c r="AX377" s="115"/>
      <c r="AY377" s="115"/>
      <c r="AZ377" s="115"/>
      <c r="BA377" s="115"/>
      <c r="BB377" s="115"/>
      <c r="BC377" s="115"/>
      <c r="BD377" s="115"/>
      <c r="BE377" s="115"/>
      <c r="BF377" s="115"/>
      <c r="BG377" s="115"/>
      <c r="BH377" s="115"/>
      <c r="BI377" s="115"/>
      <c r="BJ377" s="115"/>
      <c r="BK377" s="115"/>
      <c r="BL377" s="115"/>
      <c r="BM377" s="115"/>
      <c r="BN377" s="115"/>
      <c r="BO377" s="115"/>
    </row>
    <row r="378" spans="47:67" ht="15.75" customHeight="1" thickBot="1" x14ac:dyDescent="0.4">
      <c r="AU378" s="115"/>
      <c r="AV378" s="115"/>
      <c r="AW378" s="115"/>
      <c r="AX378" s="115"/>
      <c r="AY378" s="115"/>
      <c r="AZ378" s="115"/>
      <c r="BA378" s="115"/>
      <c r="BB378" s="115"/>
      <c r="BC378" s="115"/>
      <c r="BD378" s="115"/>
      <c r="BE378" s="115"/>
      <c r="BF378" s="115"/>
      <c r="BG378" s="115"/>
      <c r="BH378" s="115"/>
      <c r="BI378" s="115"/>
      <c r="BJ378" s="115"/>
      <c r="BK378" s="115"/>
      <c r="BL378" s="115"/>
      <c r="BM378" s="115"/>
      <c r="BN378" s="115"/>
      <c r="BO378" s="115"/>
    </row>
    <row r="379" spans="47:67" ht="15.75" customHeight="1" thickBot="1" x14ac:dyDescent="0.4">
      <c r="AU379" s="115"/>
      <c r="AV379" s="115"/>
      <c r="AW379" s="115"/>
      <c r="AX379" s="115"/>
      <c r="AY379" s="115"/>
      <c r="AZ379" s="115"/>
      <c r="BA379" s="115"/>
      <c r="BB379" s="115"/>
      <c r="BC379" s="115"/>
      <c r="BD379" s="115"/>
      <c r="BE379" s="115"/>
      <c r="BF379" s="115"/>
      <c r="BG379" s="115"/>
      <c r="BH379" s="115"/>
      <c r="BI379" s="115"/>
      <c r="BJ379" s="115"/>
      <c r="BK379" s="115"/>
      <c r="BL379" s="115"/>
      <c r="BM379" s="115"/>
      <c r="BN379" s="115"/>
      <c r="BO379" s="115"/>
    </row>
    <row r="380" spans="47:67" ht="15.75" customHeight="1" thickBot="1" x14ac:dyDescent="0.4">
      <c r="AU380" s="115"/>
      <c r="AV380" s="115"/>
      <c r="AW380" s="115"/>
      <c r="AX380" s="115"/>
      <c r="AY380" s="115"/>
      <c r="AZ380" s="115"/>
      <c r="BA380" s="115"/>
      <c r="BB380" s="115"/>
      <c r="BC380" s="115"/>
      <c r="BD380" s="115"/>
      <c r="BE380" s="115"/>
      <c r="BF380" s="115"/>
      <c r="BG380" s="115"/>
      <c r="BH380" s="115"/>
      <c r="BI380" s="115"/>
      <c r="BJ380" s="115"/>
      <c r="BK380" s="115"/>
      <c r="BL380" s="115"/>
      <c r="BM380" s="115"/>
      <c r="BN380" s="115"/>
      <c r="BO380" s="115"/>
    </row>
    <row r="381" spans="47:67" ht="15.75" customHeight="1" thickBot="1" x14ac:dyDescent="0.4">
      <c r="AU381" s="115"/>
      <c r="AV381" s="115"/>
      <c r="AW381" s="115"/>
      <c r="AX381" s="115"/>
      <c r="AY381" s="115"/>
      <c r="AZ381" s="115"/>
      <c r="BA381" s="115"/>
      <c r="BB381" s="115"/>
      <c r="BC381" s="115"/>
      <c r="BD381" s="115"/>
      <c r="BE381" s="115"/>
      <c r="BF381" s="115"/>
      <c r="BG381" s="115"/>
      <c r="BH381" s="115"/>
      <c r="BI381" s="115"/>
      <c r="BJ381" s="115"/>
      <c r="BK381" s="115"/>
      <c r="BL381" s="115"/>
      <c r="BM381" s="115"/>
      <c r="BN381" s="115"/>
      <c r="BO381" s="115"/>
    </row>
    <row r="382" spans="47:67" ht="15.75" customHeight="1" thickBot="1" x14ac:dyDescent="0.4">
      <c r="AU382" s="115"/>
      <c r="AV382" s="115"/>
      <c r="AW382" s="115"/>
      <c r="AX382" s="115"/>
      <c r="AY382" s="115"/>
      <c r="AZ382" s="115"/>
      <c r="BA382" s="115"/>
      <c r="BB382" s="115"/>
      <c r="BC382" s="115"/>
      <c r="BD382" s="115"/>
      <c r="BE382" s="115"/>
      <c r="BF382" s="115"/>
      <c r="BG382" s="115"/>
      <c r="BH382" s="115"/>
      <c r="BI382" s="115"/>
      <c r="BJ382" s="115"/>
      <c r="BK382" s="115"/>
      <c r="BL382" s="115"/>
      <c r="BM382" s="115"/>
      <c r="BN382" s="115"/>
      <c r="BO382" s="115"/>
    </row>
    <row r="383" spans="47:67" ht="15.75" customHeight="1" thickBot="1" x14ac:dyDescent="0.4">
      <c r="AU383" s="115"/>
      <c r="AV383" s="115"/>
      <c r="AW383" s="115"/>
      <c r="AX383" s="115"/>
      <c r="AY383" s="115"/>
      <c r="AZ383" s="115"/>
      <c r="BA383" s="115"/>
      <c r="BB383" s="115"/>
      <c r="BC383" s="115"/>
      <c r="BD383" s="115"/>
      <c r="BE383" s="115"/>
      <c r="BF383" s="115"/>
      <c r="BG383" s="115"/>
      <c r="BH383" s="115"/>
      <c r="BI383" s="115"/>
      <c r="BJ383" s="115"/>
      <c r="BK383" s="115"/>
      <c r="BL383" s="115"/>
      <c r="BM383" s="115"/>
      <c r="BN383" s="115"/>
      <c r="BO383" s="115"/>
    </row>
    <row r="384" spans="47:67" ht="15.75" customHeight="1" thickBot="1" x14ac:dyDescent="0.4">
      <c r="AU384" s="115"/>
      <c r="AV384" s="115"/>
      <c r="AW384" s="115"/>
      <c r="AX384" s="115"/>
      <c r="AY384" s="115"/>
      <c r="AZ384" s="115"/>
      <c r="BA384" s="115"/>
      <c r="BB384" s="115"/>
      <c r="BC384" s="115"/>
      <c r="BD384" s="115"/>
      <c r="BE384" s="115"/>
      <c r="BF384" s="115"/>
      <c r="BG384" s="115"/>
      <c r="BH384" s="115"/>
      <c r="BI384" s="115"/>
      <c r="BJ384" s="115"/>
      <c r="BK384" s="115"/>
      <c r="BL384" s="115"/>
      <c r="BM384" s="115"/>
      <c r="BN384" s="115"/>
      <c r="BO384" s="115"/>
    </row>
    <row r="385" spans="47:67" ht="15.75" customHeight="1" thickBot="1" x14ac:dyDescent="0.4">
      <c r="AU385" s="115"/>
      <c r="AV385" s="115"/>
      <c r="AW385" s="115"/>
      <c r="AX385" s="115"/>
      <c r="AY385" s="115"/>
      <c r="AZ385" s="115"/>
      <c r="BA385" s="115"/>
      <c r="BB385" s="115"/>
      <c r="BC385" s="115"/>
      <c r="BD385" s="115"/>
      <c r="BE385" s="115"/>
      <c r="BF385" s="115"/>
      <c r="BG385" s="115"/>
      <c r="BH385" s="115"/>
      <c r="BI385" s="115"/>
      <c r="BJ385" s="115"/>
      <c r="BK385" s="115"/>
      <c r="BL385" s="115"/>
      <c r="BM385" s="115"/>
      <c r="BN385" s="115"/>
      <c r="BO385" s="115"/>
    </row>
    <row r="386" spans="47:67" ht="15.75" customHeight="1" thickBot="1" x14ac:dyDescent="0.4">
      <c r="AU386" s="115"/>
      <c r="AV386" s="115"/>
      <c r="AW386" s="115"/>
      <c r="AX386" s="115"/>
      <c r="AY386" s="115"/>
      <c r="AZ386" s="115"/>
      <c r="BA386" s="115"/>
      <c r="BB386" s="115"/>
      <c r="BC386" s="115"/>
      <c r="BD386" s="115"/>
      <c r="BE386" s="115"/>
      <c r="BF386" s="115"/>
      <c r="BG386" s="115"/>
      <c r="BH386" s="115"/>
      <c r="BI386" s="115"/>
      <c r="BJ386" s="115"/>
      <c r="BK386" s="115"/>
      <c r="BL386" s="115"/>
      <c r="BM386" s="115"/>
      <c r="BN386" s="115"/>
      <c r="BO386" s="115"/>
    </row>
    <row r="387" spans="47:67" ht="15.75" customHeight="1" thickBot="1" x14ac:dyDescent="0.4">
      <c r="AU387" s="115"/>
      <c r="AV387" s="115"/>
      <c r="AW387" s="115"/>
      <c r="AX387" s="115"/>
      <c r="AY387" s="115"/>
      <c r="AZ387" s="115"/>
      <c r="BA387" s="115"/>
      <c r="BB387" s="115"/>
      <c r="BC387" s="115"/>
      <c r="BD387" s="115"/>
      <c r="BE387" s="115"/>
      <c r="BF387" s="115"/>
      <c r="BG387" s="115"/>
      <c r="BH387" s="115"/>
      <c r="BI387" s="115"/>
      <c r="BJ387" s="115"/>
      <c r="BK387" s="115"/>
      <c r="BL387" s="115"/>
      <c r="BM387" s="115"/>
      <c r="BN387" s="115"/>
      <c r="BO387" s="115"/>
    </row>
    <row r="388" spans="47:67" ht="15.75" customHeight="1" thickBot="1" x14ac:dyDescent="0.4">
      <c r="AU388" s="115"/>
      <c r="AV388" s="115"/>
      <c r="AW388" s="115"/>
      <c r="AX388" s="115"/>
      <c r="AY388" s="115"/>
      <c r="AZ388" s="115"/>
      <c r="BA388" s="115"/>
      <c r="BB388" s="115"/>
      <c r="BC388" s="115"/>
      <c r="BD388" s="115"/>
      <c r="BE388" s="115"/>
      <c r="BF388" s="115"/>
      <c r="BG388" s="115"/>
      <c r="BH388" s="115"/>
      <c r="BI388" s="115"/>
      <c r="BJ388" s="115"/>
      <c r="BK388" s="115"/>
      <c r="BL388" s="115"/>
      <c r="BM388" s="115"/>
      <c r="BN388" s="115"/>
      <c r="BO388" s="115"/>
    </row>
    <row r="389" spans="47:67" ht="15.75" customHeight="1" thickBot="1" x14ac:dyDescent="0.4">
      <c r="AU389" s="115"/>
      <c r="AV389" s="115"/>
      <c r="AW389" s="115"/>
      <c r="AX389" s="115"/>
      <c r="AY389" s="115"/>
      <c r="AZ389" s="115"/>
      <c r="BA389" s="115"/>
      <c r="BB389" s="115"/>
      <c r="BC389" s="115"/>
      <c r="BD389" s="115"/>
      <c r="BE389" s="115"/>
      <c r="BF389" s="115"/>
      <c r="BG389" s="115"/>
      <c r="BH389" s="115"/>
      <c r="BI389" s="115"/>
      <c r="BJ389" s="115"/>
      <c r="BK389" s="115"/>
      <c r="BL389" s="115"/>
      <c r="BM389" s="115"/>
      <c r="BN389" s="115"/>
      <c r="BO389" s="115"/>
    </row>
    <row r="390" spans="47:67" ht="15.75" customHeight="1" thickBot="1" x14ac:dyDescent="0.4">
      <c r="AU390" s="115"/>
      <c r="AV390" s="115"/>
      <c r="AW390" s="115"/>
      <c r="AX390" s="115"/>
      <c r="AY390" s="115"/>
      <c r="AZ390" s="115"/>
      <c r="BA390" s="115"/>
      <c r="BB390" s="115"/>
      <c r="BC390" s="115"/>
      <c r="BD390" s="115"/>
      <c r="BE390" s="115"/>
      <c r="BF390" s="115"/>
      <c r="BG390" s="115"/>
      <c r="BH390" s="115"/>
      <c r="BI390" s="115"/>
      <c r="BJ390" s="115"/>
      <c r="BK390" s="115"/>
      <c r="BL390" s="115"/>
      <c r="BM390" s="115"/>
      <c r="BN390" s="115"/>
      <c r="BO390" s="115"/>
    </row>
    <row r="391" spans="47:67" ht="15.75" customHeight="1" thickBot="1" x14ac:dyDescent="0.4">
      <c r="AU391" s="115"/>
      <c r="AV391" s="115"/>
      <c r="AW391" s="115"/>
      <c r="AX391" s="115"/>
      <c r="AY391" s="115"/>
      <c r="AZ391" s="115"/>
      <c r="BA391" s="115"/>
      <c r="BB391" s="115"/>
      <c r="BC391" s="115"/>
      <c r="BD391" s="115"/>
      <c r="BE391" s="115"/>
      <c r="BF391" s="115"/>
      <c r="BG391" s="115"/>
      <c r="BH391" s="115"/>
      <c r="BI391" s="115"/>
      <c r="BJ391" s="115"/>
      <c r="BK391" s="115"/>
      <c r="BL391" s="115"/>
      <c r="BM391" s="115"/>
      <c r="BN391" s="115"/>
      <c r="BO391" s="115"/>
    </row>
    <row r="392" spans="47:67" ht="15.75" customHeight="1" thickBot="1" x14ac:dyDescent="0.4">
      <c r="AU392" s="115"/>
      <c r="AV392" s="115"/>
      <c r="AW392" s="115"/>
      <c r="AX392" s="115"/>
      <c r="AY392" s="115"/>
      <c r="AZ392" s="115"/>
      <c r="BA392" s="115"/>
      <c r="BB392" s="115"/>
      <c r="BC392" s="115"/>
      <c r="BD392" s="115"/>
      <c r="BE392" s="115"/>
      <c r="BF392" s="115"/>
      <c r="BG392" s="115"/>
      <c r="BH392" s="115"/>
      <c r="BI392" s="115"/>
      <c r="BJ392" s="115"/>
      <c r="BK392" s="115"/>
      <c r="BL392" s="115"/>
      <c r="BM392" s="115"/>
      <c r="BN392" s="115"/>
      <c r="BO392" s="115"/>
    </row>
    <row r="393" spans="47:67" ht="15.75" customHeight="1" thickBot="1" x14ac:dyDescent="0.4">
      <c r="AU393" s="115"/>
      <c r="AV393" s="115"/>
      <c r="AW393" s="115"/>
      <c r="AX393" s="115"/>
      <c r="AY393" s="115"/>
      <c r="AZ393" s="115"/>
      <c r="BA393" s="115"/>
      <c r="BB393" s="115"/>
      <c r="BC393" s="115"/>
      <c r="BD393" s="115"/>
      <c r="BE393" s="115"/>
      <c r="BF393" s="115"/>
      <c r="BG393" s="115"/>
      <c r="BH393" s="115"/>
      <c r="BI393" s="115"/>
      <c r="BJ393" s="115"/>
      <c r="BK393" s="115"/>
      <c r="BL393" s="115"/>
      <c r="BM393" s="115"/>
      <c r="BN393" s="115"/>
      <c r="BO393" s="115"/>
    </row>
    <row r="394" spans="47:67" ht="15.75" customHeight="1" thickBot="1" x14ac:dyDescent="0.4">
      <c r="AU394" s="115"/>
      <c r="AV394" s="115"/>
      <c r="AW394" s="115"/>
      <c r="AX394" s="115"/>
      <c r="AY394" s="115"/>
      <c r="AZ394" s="115"/>
      <c r="BA394" s="115"/>
      <c r="BB394" s="115"/>
      <c r="BC394" s="115"/>
      <c r="BD394" s="115"/>
      <c r="BE394" s="115"/>
      <c r="BF394" s="115"/>
      <c r="BG394" s="115"/>
      <c r="BH394" s="115"/>
      <c r="BI394" s="115"/>
      <c r="BJ394" s="115"/>
      <c r="BK394" s="115"/>
      <c r="BL394" s="115"/>
      <c r="BM394" s="115"/>
      <c r="BN394" s="115"/>
      <c r="BO394" s="115"/>
    </row>
    <row r="395" spans="47:67" ht="15.75" customHeight="1" thickBot="1" x14ac:dyDescent="0.4">
      <c r="AU395" s="115"/>
      <c r="AV395" s="115"/>
      <c r="AW395" s="115"/>
      <c r="AX395" s="115"/>
      <c r="AY395" s="115"/>
      <c r="AZ395" s="115"/>
      <c r="BA395" s="115"/>
      <c r="BB395" s="115"/>
      <c r="BC395" s="115"/>
      <c r="BD395" s="115"/>
      <c r="BE395" s="115"/>
      <c r="BF395" s="115"/>
      <c r="BG395" s="115"/>
      <c r="BH395" s="115"/>
      <c r="BI395" s="115"/>
      <c r="BJ395" s="115"/>
      <c r="BK395" s="115"/>
      <c r="BL395" s="115"/>
      <c r="BM395" s="115"/>
      <c r="BN395" s="115"/>
      <c r="BO395" s="115"/>
    </row>
    <row r="396" spans="47:67" ht="15.75" customHeight="1" thickBot="1" x14ac:dyDescent="0.4">
      <c r="AU396" s="115"/>
      <c r="AV396" s="115"/>
      <c r="AW396" s="115"/>
      <c r="AX396" s="115"/>
      <c r="AY396" s="115"/>
      <c r="AZ396" s="115"/>
      <c r="BA396" s="115"/>
      <c r="BB396" s="115"/>
      <c r="BC396" s="115"/>
      <c r="BD396" s="115"/>
      <c r="BE396" s="115"/>
      <c r="BF396" s="115"/>
      <c r="BG396" s="115"/>
      <c r="BH396" s="115"/>
      <c r="BI396" s="115"/>
      <c r="BJ396" s="115"/>
      <c r="BK396" s="115"/>
      <c r="BL396" s="115"/>
      <c r="BM396" s="115"/>
      <c r="BN396" s="115"/>
      <c r="BO396" s="115"/>
    </row>
    <row r="397" spans="47:67" ht="15.75" customHeight="1" thickBot="1" x14ac:dyDescent="0.4">
      <c r="AU397" s="115"/>
      <c r="AV397" s="115"/>
      <c r="AW397" s="115"/>
      <c r="AX397" s="115"/>
      <c r="AY397" s="115"/>
      <c r="AZ397" s="115"/>
      <c r="BA397" s="115"/>
      <c r="BB397" s="115"/>
      <c r="BC397" s="115"/>
      <c r="BD397" s="115"/>
      <c r="BE397" s="115"/>
      <c r="BF397" s="115"/>
      <c r="BG397" s="115"/>
      <c r="BH397" s="115"/>
      <c r="BI397" s="115"/>
      <c r="BJ397" s="115"/>
      <c r="BK397" s="115"/>
      <c r="BL397" s="115"/>
      <c r="BM397" s="115"/>
      <c r="BN397" s="115"/>
      <c r="BO397" s="115"/>
    </row>
    <row r="398" spans="47:67" ht="15.75" customHeight="1" thickBot="1" x14ac:dyDescent="0.4">
      <c r="AU398" s="115"/>
      <c r="AV398" s="115"/>
      <c r="AW398" s="115"/>
      <c r="AX398" s="115"/>
      <c r="AY398" s="115"/>
      <c r="AZ398" s="115"/>
      <c r="BA398" s="115"/>
      <c r="BB398" s="115"/>
      <c r="BC398" s="115"/>
      <c r="BD398" s="115"/>
      <c r="BE398" s="115"/>
      <c r="BF398" s="115"/>
      <c r="BG398" s="115"/>
      <c r="BH398" s="115"/>
      <c r="BI398" s="115"/>
      <c r="BJ398" s="115"/>
      <c r="BK398" s="115"/>
      <c r="BL398" s="115"/>
      <c r="BM398" s="115"/>
      <c r="BN398" s="115"/>
      <c r="BO398" s="115"/>
    </row>
    <row r="399" spans="47:67" ht="15.75" customHeight="1" thickBot="1" x14ac:dyDescent="0.4">
      <c r="AU399" s="115"/>
      <c r="AV399" s="115"/>
      <c r="AW399" s="115"/>
      <c r="AX399" s="115"/>
      <c r="AY399" s="115"/>
      <c r="AZ399" s="115"/>
      <c r="BA399" s="115"/>
      <c r="BB399" s="115"/>
      <c r="BC399" s="115"/>
      <c r="BD399" s="115"/>
      <c r="BE399" s="115"/>
      <c r="BF399" s="115"/>
      <c r="BG399" s="115"/>
      <c r="BH399" s="115"/>
      <c r="BI399" s="115"/>
      <c r="BJ399" s="115"/>
      <c r="BK399" s="115"/>
      <c r="BL399" s="115"/>
      <c r="BM399" s="115"/>
      <c r="BN399" s="115"/>
      <c r="BO399" s="115"/>
    </row>
    <row r="400" spans="47:67" ht="15.75" customHeight="1" thickBot="1" x14ac:dyDescent="0.4">
      <c r="AU400" s="115"/>
      <c r="AV400" s="115"/>
      <c r="AW400" s="115"/>
      <c r="AX400" s="115"/>
      <c r="AY400" s="115"/>
      <c r="AZ400" s="115"/>
      <c r="BA400" s="115"/>
      <c r="BB400" s="115"/>
      <c r="BC400" s="115"/>
      <c r="BD400" s="115"/>
      <c r="BE400" s="115"/>
      <c r="BF400" s="115"/>
      <c r="BG400" s="115"/>
      <c r="BH400" s="115"/>
      <c r="BI400" s="115"/>
      <c r="BJ400" s="115"/>
      <c r="BK400" s="115"/>
      <c r="BL400" s="115"/>
      <c r="BM400" s="115"/>
      <c r="BN400" s="115"/>
      <c r="BO400" s="115"/>
    </row>
    <row r="401" spans="47:67" ht="15.75" customHeight="1" thickBot="1" x14ac:dyDescent="0.4">
      <c r="AU401" s="115"/>
      <c r="AV401" s="115"/>
      <c r="AW401" s="115"/>
      <c r="AX401" s="115"/>
      <c r="AY401" s="115"/>
      <c r="AZ401" s="115"/>
      <c r="BA401" s="115"/>
      <c r="BB401" s="115"/>
      <c r="BC401" s="115"/>
      <c r="BD401" s="115"/>
      <c r="BE401" s="115"/>
      <c r="BF401" s="115"/>
      <c r="BG401" s="115"/>
      <c r="BH401" s="115"/>
      <c r="BI401" s="115"/>
      <c r="BJ401" s="115"/>
      <c r="BK401" s="115"/>
      <c r="BL401" s="115"/>
      <c r="BM401" s="115"/>
      <c r="BN401" s="115"/>
      <c r="BO401" s="115"/>
    </row>
    <row r="402" spans="47:67" ht="15.75" customHeight="1" thickBot="1" x14ac:dyDescent="0.4">
      <c r="AU402" s="115"/>
      <c r="AV402" s="115"/>
      <c r="AW402" s="115"/>
      <c r="AX402" s="115"/>
      <c r="AY402" s="115"/>
      <c r="AZ402" s="115"/>
      <c r="BA402" s="115"/>
      <c r="BB402" s="115"/>
      <c r="BC402" s="115"/>
      <c r="BD402" s="115"/>
      <c r="BE402" s="115"/>
      <c r="BF402" s="115"/>
      <c r="BG402" s="115"/>
      <c r="BH402" s="115"/>
      <c r="BI402" s="115"/>
      <c r="BJ402" s="115"/>
      <c r="BK402" s="115"/>
      <c r="BL402" s="115"/>
      <c r="BM402" s="115"/>
      <c r="BN402" s="115"/>
      <c r="BO402" s="115"/>
    </row>
    <row r="403" spans="47:67" ht="15.75" customHeight="1" thickBot="1" x14ac:dyDescent="0.4">
      <c r="AU403" s="115"/>
      <c r="AV403" s="115"/>
      <c r="AW403" s="115"/>
      <c r="AX403" s="115"/>
      <c r="AY403" s="115"/>
      <c r="AZ403" s="115"/>
      <c r="BA403" s="115"/>
      <c r="BB403" s="115"/>
      <c r="BC403" s="115"/>
      <c r="BD403" s="115"/>
      <c r="BE403" s="115"/>
      <c r="BF403" s="115"/>
      <c r="BG403" s="115"/>
      <c r="BH403" s="115"/>
      <c r="BI403" s="115"/>
      <c r="BJ403" s="115"/>
      <c r="BK403" s="115"/>
      <c r="BL403" s="115"/>
      <c r="BM403" s="115"/>
      <c r="BN403" s="115"/>
      <c r="BO403" s="115"/>
    </row>
    <row r="404" spans="47:67" ht="15.75" customHeight="1" thickBot="1" x14ac:dyDescent="0.4">
      <c r="AU404" s="115"/>
      <c r="AV404" s="115"/>
      <c r="AW404" s="115"/>
      <c r="AX404" s="115"/>
      <c r="AY404" s="115"/>
      <c r="AZ404" s="115"/>
      <c r="BA404" s="115"/>
      <c r="BB404" s="115"/>
      <c r="BC404" s="115"/>
      <c r="BD404" s="115"/>
      <c r="BE404" s="115"/>
      <c r="BF404" s="115"/>
      <c r="BG404" s="115"/>
      <c r="BH404" s="115"/>
      <c r="BI404" s="115"/>
      <c r="BJ404" s="115"/>
      <c r="BK404" s="115"/>
      <c r="BL404" s="115"/>
      <c r="BM404" s="115"/>
      <c r="BN404" s="115"/>
      <c r="BO404" s="115"/>
    </row>
    <row r="405" spans="47:67" ht="15.75" customHeight="1" thickBot="1" x14ac:dyDescent="0.4">
      <c r="AU405" s="115"/>
      <c r="AV405" s="115"/>
      <c r="AW405" s="115"/>
      <c r="AX405" s="115"/>
      <c r="AY405" s="115"/>
      <c r="AZ405" s="115"/>
      <c r="BA405" s="115"/>
      <c r="BB405" s="115"/>
      <c r="BC405" s="115"/>
      <c r="BD405" s="115"/>
      <c r="BE405" s="115"/>
      <c r="BF405" s="115"/>
      <c r="BG405" s="115"/>
      <c r="BH405" s="115"/>
      <c r="BI405" s="115"/>
      <c r="BJ405" s="115"/>
      <c r="BK405" s="115"/>
      <c r="BL405" s="115"/>
      <c r="BM405" s="115"/>
      <c r="BN405" s="115"/>
      <c r="BO405" s="115"/>
    </row>
    <row r="406" spans="47:67" ht="15.75" customHeight="1" thickBot="1" x14ac:dyDescent="0.4">
      <c r="AU406" s="115"/>
      <c r="AV406" s="115"/>
      <c r="AW406" s="115"/>
      <c r="AX406" s="115"/>
      <c r="AY406" s="115"/>
      <c r="AZ406" s="115"/>
      <c r="BA406" s="115"/>
      <c r="BB406" s="115"/>
      <c r="BC406" s="115"/>
      <c r="BD406" s="115"/>
      <c r="BE406" s="115"/>
      <c r="BF406" s="115"/>
      <c r="BG406" s="115"/>
      <c r="BH406" s="115"/>
      <c r="BI406" s="115"/>
      <c r="BJ406" s="115"/>
      <c r="BK406" s="115"/>
      <c r="BL406" s="115"/>
      <c r="BM406" s="115"/>
      <c r="BN406" s="115"/>
      <c r="BO406" s="115"/>
    </row>
    <row r="407" spans="47:67" ht="15.75" customHeight="1" thickBot="1" x14ac:dyDescent="0.4">
      <c r="AU407" s="115"/>
      <c r="AV407" s="115"/>
      <c r="AW407" s="115"/>
      <c r="AX407" s="115"/>
      <c r="AY407" s="115"/>
      <c r="AZ407" s="115"/>
      <c r="BA407" s="115"/>
      <c r="BB407" s="115"/>
      <c r="BC407" s="115"/>
      <c r="BD407" s="115"/>
      <c r="BE407" s="115"/>
      <c r="BF407" s="115"/>
      <c r="BG407" s="115"/>
      <c r="BH407" s="115"/>
      <c r="BI407" s="115"/>
      <c r="BJ407" s="115"/>
      <c r="BK407" s="115"/>
      <c r="BL407" s="115"/>
      <c r="BM407" s="115"/>
      <c r="BN407" s="115"/>
      <c r="BO407" s="115"/>
    </row>
    <row r="408" spans="47:67" ht="15.75" customHeight="1" thickBot="1" x14ac:dyDescent="0.4">
      <c r="AU408" s="115"/>
      <c r="AV408" s="115"/>
      <c r="AW408" s="115"/>
      <c r="AX408" s="115"/>
      <c r="AY408" s="115"/>
      <c r="AZ408" s="115"/>
      <c r="BA408" s="115"/>
      <c r="BB408" s="115"/>
      <c r="BC408" s="115"/>
      <c r="BD408" s="115"/>
      <c r="BE408" s="115"/>
      <c r="BF408" s="115"/>
      <c r="BG408" s="115"/>
      <c r="BH408" s="115"/>
      <c r="BI408" s="115"/>
      <c r="BJ408" s="115"/>
      <c r="BK408" s="115"/>
      <c r="BL408" s="115"/>
      <c r="BM408" s="115"/>
      <c r="BN408" s="115"/>
      <c r="BO408" s="115"/>
    </row>
    <row r="409" spans="47:67" ht="15.75" customHeight="1" thickBot="1" x14ac:dyDescent="0.4">
      <c r="AU409" s="115"/>
      <c r="AV409" s="115"/>
      <c r="AW409" s="115"/>
      <c r="AX409" s="115"/>
      <c r="AY409" s="115"/>
      <c r="AZ409" s="115"/>
      <c r="BA409" s="115"/>
      <c r="BB409" s="115"/>
      <c r="BC409" s="115"/>
      <c r="BD409" s="115"/>
      <c r="BE409" s="115"/>
      <c r="BF409" s="115"/>
      <c r="BG409" s="115"/>
      <c r="BH409" s="115"/>
      <c r="BI409" s="115"/>
      <c r="BJ409" s="115"/>
      <c r="BK409" s="115"/>
      <c r="BL409" s="115"/>
      <c r="BM409" s="115"/>
      <c r="BN409" s="115"/>
      <c r="BO409" s="115"/>
    </row>
    <row r="410" spans="47:67" ht="15.75" customHeight="1" thickBot="1" x14ac:dyDescent="0.4">
      <c r="AU410" s="115"/>
      <c r="AV410" s="115"/>
      <c r="AW410" s="115"/>
      <c r="AX410" s="115"/>
      <c r="AY410" s="115"/>
      <c r="AZ410" s="115"/>
      <c r="BA410" s="115"/>
      <c r="BB410" s="115"/>
      <c r="BC410" s="115"/>
      <c r="BD410" s="115"/>
      <c r="BE410" s="115"/>
      <c r="BF410" s="115"/>
      <c r="BG410" s="115"/>
      <c r="BH410" s="115"/>
      <c r="BI410" s="115"/>
      <c r="BJ410" s="115"/>
      <c r="BK410" s="115"/>
      <c r="BL410" s="115"/>
      <c r="BM410" s="115"/>
      <c r="BN410" s="115"/>
      <c r="BO410" s="115"/>
    </row>
    <row r="411" spans="47:67" ht="15.75" customHeight="1" thickBot="1" x14ac:dyDescent="0.4">
      <c r="AU411" s="115"/>
      <c r="AV411" s="115"/>
      <c r="AW411" s="115"/>
      <c r="AX411" s="115"/>
      <c r="AY411" s="115"/>
      <c r="AZ411" s="115"/>
      <c r="BA411" s="115"/>
      <c r="BB411" s="115"/>
      <c r="BC411" s="115"/>
      <c r="BD411" s="115"/>
      <c r="BE411" s="115"/>
      <c r="BF411" s="115"/>
      <c r="BG411" s="115"/>
      <c r="BH411" s="115"/>
      <c r="BI411" s="115"/>
      <c r="BJ411" s="115"/>
      <c r="BK411" s="115"/>
      <c r="BL411" s="115"/>
      <c r="BM411" s="115"/>
      <c r="BN411" s="115"/>
      <c r="BO411" s="115"/>
    </row>
    <row r="412" spans="47:67" ht="15.75" customHeight="1" thickBot="1" x14ac:dyDescent="0.4">
      <c r="AU412" s="115"/>
      <c r="AV412" s="115"/>
      <c r="AW412" s="115"/>
      <c r="AX412" s="115"/>
      <c r="AY412" s="115"/>
      <c r="AZ412" s="115"/>
      <c r="BA412" s="115"/>
      <c r="BB412" s="115"/>
      <c r="BC412" s="115"/>
      <c r="BD412" s="115"/>
      <c r="BE412" s="115"/>
      <c r="BF412" s="115"/>
      <c r="BG412" s="115"/>
      <c r="BH412" s="115"/>
      <c r="BI412" s="115"/>
      <c r="BJ412" s="115"/>
      <c r="BK412" s="115"/>
      <c r="BL412" s="115"/>
      <c r="BM412" s="115"/>
      <c r="BN412" s="115"/>
      <c r="BO412" s="115"/>
    </row>
    <row r="413" spans="47:67" ht="15.75" customHeight="1" thickBot="1" x14ac:dyDescent="0.4">
      <c r="AU413" s="115"/>
      <c r="AV413" s="115"/>
      <c r="AW413" s="115"/>
      <c r="AX413" s="115"/>
      <c r="AY413" s="115"/>
      <c r="AZ413" s="115"/>
      <c r="BA413" s="115"/>
      <c r="BB413" s="115"/>
      <c r="BC413" s="115"/>
      <c r="BD413" s="115"/>
      <c r="BE413" s="115"/>
      <c r="BF413" s="115"/>
      <c r="BG413" s="115"/>
      <c r="BH413" s="115"/>
      <c r="BI413" s="115"/>
      <c r="BJ413" s="115"/>
      <c r="BK413" s="115"/>
      <c r="BL413" s="115"/>
      <c r="BM413" s="115"/>
      <c r="BN413" s="115"/>
      <c r="BO413" s="115"/>
    </row>
    <row r="414" spans="47:67" ht="15.75" customHeight="1" thickBot="1" x14ac:dyDescent="0.4">
      <c r="AU414" s="115"/>
      <c r="AV414" s="115"/>
      <c r="AW414" s="115"/>
      <c r="AX414" s="115"/>
      <c r="AY414" s="115"/>
      <c r="AZ414" s="115"/>
      <c r="BA414" s="115"/>
      <c r="BB414" s="115"/>
      <c r="BC414" s="115"/>
      <c r="BD414" s="115"/>
      <c r="BE414" s="115"/>
      <c r="BF414" s="115"/>
      <c r="BG414" s="115"/>
      <c r="BH414" s="115"/>
      <c r="BI414" s="115"/>
      <c r="BJ414" s="115"/>
      <c r="BK414" s="115"/>
      <c r="BL414" s="115"/>
      <c r="BM414" s="115"/>
      <c r="BN414" s="115"/>
      <c r="BO414" s="115"/>
    </row>
    <row r="415" spans="47:67" ht="15.75" customHeight="1" thickBot="1" x14ac:dyDescent="0.4">
      <c r="AU415" s="115"/>
      <c r="AV415" s="115"/>
      <c r="AW415" s="115"/>
      <c r="AX415" s="115"/>
      <c r="AY415" s="115"/>
      <c r="AZ415" s="115"/>
      <c r="BA415" s="115"/>
      <c r="BB415" s="115"/>
      <c r="BC415" s="115"/>
      <c r="BD415" s="115"/>
      <c r="BE415" s="115"/>
      <c r="BF415" s="115"/>
      <c r="BG415" s="115"/>
      <c r="BH415" s="115"/>
      <c r="BI415" s="115"/>
      <c r="BJ415" s="115"/>
      <c r="BK415" s="115"/>
      <c r="BL415" s="115"/>
      <c r="BM415" s="115"/>
      <c r="BN415" s="115"/>
      <c r="BO415" s="115"/>
    </row>
    <row r="416" spans="47:67" ht="15.75" customHeight="1" thickBot="1" x14ac:dyDescent="0.4">
      <c r="AU416" s="115"/>
      <c r="AV416" s="115"/>
      <c r="AW416" s="115"/>
      <c r="AX416" s="115"/>
      <c r="AY416" s="115"/>
      <c r="AZ416" s="115"/>
      <c r="BA416" s="115"/>
      <c r="BB416" s="115"/>
      <c r="BC416" s="115"/>
      <c r="BD416" s="115"/>
      <c r="BE416" s="115"/>
      <c r="BF416" s="115"/>
      <c r="BG416" s="115"/>
      <c r="BH416" s="115"/>
      <c r="BI416" s="115"/>
      <c r="BJ416" s="115"/>
      <c r="BK416" s="115"/>
      <c r="BL416" s="115"/>
      <c r="BM416" s="115"/>
      <c r="BN416" s="115"/>
      <c r="BO416" s="115"/>
    </row>
    <row r="417" spans="47:67" ht="15.75" customHeight="1" thickBot="1" x14ac:dyDescent="0.4">
      <c r="AU417" s="115"/>
      <c r="AV417" s="115"/>
      <c r="AW417" s="115"/>
      <c r="AX417" s="115"/>
      <c r="AY417" s="115"/>
      <c r="AZ417" s="115"/>
      <c r="BA417" s="115"/>
      <c r="BB417" s="115"/>
      <c r="BC417" s="115"/>
      <c r="BD417" s="115"/>
      <c r="BE417" s="115"/>
      <c r="BF417" s="115"/>
      <c r="BG417" s="115"/>
      <c r="BH417" s="115"/>
      <c r="BI417" s="115"/>
      <c r="BJ417" s="115"/>
      <c r="BK417" s="115"/>
      <c r="BL417" s="115"/>
      <c r="BM417" s="115"/>
      <c r="BN417" s="115"/>
      <c r="BO417" s="115"/>
    </row>
    <row r="418" spans="47:67" ht="15.75" customHeight="1" thickBot="1" x14ac:dyDescent="0.4">
      <c r="AU418" s="115"/>
      <c r="AV418" s="115"/>
      <c r="AW418" s="115"/>
      <c r="AX418" s="115"/>
      <c r="AY418" s="115"/>
      <c r="AZ418" s="115"/>
      <c r="BA418" s="115"/>
      <c r="BB418" s="115"/>
      <c r="BC418" s="115"/>
      <c r="BD418" s="115"/>
      <c r="BE418" s="115"/>
      <c r="BF418" s="115"/>
      <c r="BG418" s="115"/>
      <c r="BH418" s="115"/>
      <c r="BI418" s="115"/>
      <c r="BJ418" s="115"/>
      <c r="BK418" s="115"/>
      <c r="BL418" s="115"/>
      <c r="BM418" s="115"/>
      <c r="BN418" s="115"/>
      <c r="BO418" s="115"/>
    </row>
    <row r="419" spans="47:67" ht="15.75" customHeight="1" thickBot="1" x14ac:dyDescent="0.4">
      <c r="AU419" s="115"/>
      <c r="AV419" s="115"/>
      <c r="AW419" s="115"/>
      <c r="AX419" s="115"/>
      <c r="AY419" s="115"/>
      <c r="AZ419" s="115"/>
      <c r="BA419" s="115"/>
      <c r="BB419" s="115"/>
      <c r="BC419" s="115"/>
      <c r="BD419" s="115"/>
      <c r="BE419" s="115"/>
      <c r="BF419" s="115"/>
      <c r="BG419" s="115"/>
      <c r="BH419" s="115"/>
      <c r="BI419" s="115"/>
      <c r="BJ419" s="115"/>
      <c r="BK419" s="115"/>
      <c r="BL419" s="115"/>
      <c r="BM419" s="115"/>
      <c r="BN419" s="115"/>
      <c r="BO419" s="115"/>
    </row>
    <row r="420" spans="47:67" ht="15.75" customHeight="1" thickBot="1" x14ac:dyDescent="0.4">
      <c r="AU420" s="115"/>
      <c r="AV420" s="115"/>
      <c r="AW420" s="115"/>
      <c r="AX420" s="115"/>
      <c r="AY420" s="115"/>
      <c r="AZ420" s="115"/>
      <c r="BA420" s="115"/>
      <c r="BB420" s="115"/>
      <c r="BC420" s="115"/>
      <c r="BD420" s="115"/>
      <c r="BE420" s="115"/>
      <c r="BF420" s="115"/>
      <c r="BG420" s="115"/>
      <c r="BH420" s="115"/>
      <c r="BI420" s="115"/>
      <c r="BJ420" s="115"/>
      <c r="BK420" s="115"/>
      <c r="BL420" s="115"/>
      <c r="BM420" s="115"/>
      <c r="BN420" s="115"/>
      <c r="BO420" s="115"/>
    </row>
    <row r="421" spans="47:67" ht="15.75" customHeight="1" thickBot="1" x14ac:dyDescent="0.4">
      <c r="AU421" s="115"/>
      <c r="AV421" s="115"/>
      <c r="AW421" s="115"/>
      <c r="AX421" s="115"/>
      <c r="AY421" s="115"/>
      <c r="AZ421" s="115"/>
      <c r="BA421" s="115"/>
      <c r="BB421" s="115"/>
      <c r="BC421" s="115"/>
      <c r="BD421" s="115"/>
      <c r="BE421" s="115"/>
      <c r="BF421" s="115"/>
      <c r="BG421" s="115"/>
      <c r="BH421" s="115"/>
      <c r="BI421" s="115"/>
      <c r="BJ421" s="115"/>
      <c r="BK421" s="115"/>
      <c r="BL421" s="115"/>
      <c r="BM421" s="115"/>
      <c r="BN421" s="115"/>
      <c r="BO421" s="115"/>
    </row>
    <row r="422" spans="47:67" ht="15.75" customHeight="1" thickBot="1" x14ac:dyDescent="0.4">
      <c r="AU422" s="115"/>
      <c r="AV422" s="115"/>
      <c r="AW422" s="115"/>
      <c r="AX422" s="115"/>
      <c r="AY422" s="115"/>
      <c r="AZ422" s="115"/>
      <c r="BA422" s="115"/>
      <c r="BB422" s="115"/>
      <c r="BC422" s="115"/>
      <c r="BD422" s="115"/>
      <c r="BE422" s="115"/>
      <c r="BF422" s="115"/>
      <c r="BG422" s="115"/>
      <c r="BH422" s="115"/>
      <c r="BI422" s="115"/>
      <c r="BJ422" s="115"/>
      <c r="BK422" s="115"/>
      <c r="BL422" s="115"/>
      <c r="BM422" s="115"/>
      <c r="BN422" s="115"/>
      <c r="BO422" s="115"/>
    </row>
    <row r="423" spans="47:67" ht="15.75" customHeight="1" thickBot="1" x14ac:dyDescent="0.4">
      <c r="AU423" s="115"/>
      <c r="AV423" s="115"/>
      <c r="AW423" s="115"/>
      <c r="AX423" s="115"/>
      <c r="AY423" s="115"/>
      <c r="AZ423" s="115"/>
      <c r="BA423" s="115"/>
      <c r="BB423" s="115"/>
      <c r="BC423" s="115"/>
      <c r="BD423" s="115"/>
      <c r="BE423" s="115"/>
      <c r="BF423" s="115"/>
      <c r="BG423" s="115"/>
      <c r="BH423" s="115"/>
      <c r="BI423" s="115"/>
      <c r="BJ423" s="115"/>
      <c r="BK423" s="115"/>
      <c r="BL423" s="115"/>
      <c r="BM423" s="115"/>
      <c r="BN423" s="115"/>
      <c r="BO423" s="115"/>
    </row>
    <row r="424" spans="47:67" ht="15.75" customHeight="1" thickBot="1" x14ac:dyDescent="0.4">
      <c r="AU424" s="115"/>
      <c r="AV424" s="115"/>
      <c r="AW424" s="115"/>
      <c r="AX424" s="115"/>
      <c r="AY424" s="115"/>
      <c r="AZ424" s="115"/>
      <c r="BA424" s="115"/>
      <c r="BB424" s="115"/>
      <c r="BC424" s="115"/>
      <c r="BD424" s="115"/>
      <c r="BE424" s="115"/>
      <c r="BF424" s="115"/>
      <c r="BG424" s="115"/>
      <c r="BH424" s="115"/>
      <c r="BI424" s="115"/>
      <c r="BJ424" s="115"/>
      <c r="BK424" s="115"/>
      <c r="BL424" s="115"/>
      <c r="BM424" s="115"/>
      <c r="BN424" s="115"/>
      <c r="BO424" s="115"/>
    </row>
    <row r="425" spans="47:67" ht="15.75" customHeight="1" x14ac:dyDescent="0.35"/>
    <row r="426" spans="47:67" ht="15.75" customHeight="1" x14ac:dyDescent="0.35"/>
    <row r="427" spans="47:67" ht="15.75" customHeight="1" x14ac:dyDescent="0.35"/>
    <row r="428" spans="47:67" ht="15.75" customHeight="1" x14ac:dyDescent="0.35"/>
    <row r="429" spans="47:67" ht="15.75" customHeight="1" x14ac:dyDescent="0.35"/>
    <row r="430" spans="47:67" ht="15.75" customHeight="1" x14ac:dyDescent="0.35"/>
    <row r="431" spans="47:67" ht="15.75" customHeight="1" x14ac:dyDescent="0.35"/>
    <row r="432" spans="47:67"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sheetProtection password="DF7C" sheet="1" objects="1" scenarios="1"/>
  <autoFilter ref="A2:AU132">
    <filterColumn colId="1" showButton="0"/>
  </autoFilter>
  <mergeCells count="33">
    <mergeCell ref="B91:C91"/>
    <mergeCell ref="B34:C34"/>
    <mergeCell ref="AR37:AR39"/>
    <mergeCell ref="B129:C129"/>
    <mergeCell ref="B100:C100"/>
    <mergeCell ref="B101:C101"/>
    <mergeCell ref="B107:C107"/>
    <mergeCell ref="B117:C117"/>
    <mergeCell ref="B124:C124"/>
    <mergeCell ref="B125:C125"/>
    <mergeCell ref="B96:C96"/>
    <mergeCell ref="B43:C43"/>
    <mergeCell ref="B45:C45"/>
    <mergeCell ref="B46:C46"/>
    <mergeCell ref="B54:C54"/>
    <mergeCell ref="B59:C59"/>
    <mergeCell ref="B64:C64"/>
    <mergeCell ref="B67:C67"/>
    <mergeCell ref="B68:C68"/>
    <mergeCell ref="B73:C73"/>
    <mergeCell ref="B86:C86"/>
    <mergeCell ref="B2:C2"/>
    <mergeCell ref="B40:C40"/>
    <mergeCell ref="B3:C3"/>
    <mergeCell ref="B4:C4"/>
    <mergeCell ref="B5:C5"/>
    <mergeCell ref="B11:C11"/>
    <mergeCell ref="B15:C15"/>
    <mergeCell ref="B16:C16"/>
    <mergeCell ref="B21:C21"/>
    <mergeCell ref="B24:C24"/>
    <mergeCell ref="B28:C28"/>
    <mergeCell ref="B33:C33"/>
  </mergeCells>
  <pageMargins left="0.7" right="0.7" top="0.75" bottom="0.75" header="0" footer="0"/>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U1000"/>
  <sheetViews>
    <sheetView zoomScale="30" zoomScaleNormal="30" workbookViewId="0">
      <pane xSplit="3" ySplit="2" topLeftCell="D3" activePane="bottomRight" state="frozen"/>
      <selection pane="topRight" activeCell="D1" sqref="D1"/>
      <selection pane="bottomLeft" activeCell="A3" sqref="A3"/>
      <selection pane="bottomRight" activeCell="AO1" sqref="AO1:AY1048576"/>
    </sheetView>
  </sheetViews>
  <sheetFormatPr baseColWidth="10" defaultColWidth="14.44140625" defaultRowHeight="15" customHeight="1" x14ac:dyDescent="0.35"/>
  <cols>
    <col min="1" max="1" width="1.33203125" style="118" customWidth="1"/>
    <col min="2" max="2" width="67.5546875" style="1389" customWidth="1"/>
    <col min="3" max="3" width="66" style="1389" customWidth="1"/>
    <col min="4" max="4" width="42.5546875" style="118" customWidth="1"/>
    <col min="5" max="5" width="34.6640625" style="118" customWidth="1"/>
    <col min="6" max="6" width="30.6640625" style="118" customWidth="1"/>
    <col min="7" max="7" width="32.21875" style="118" customWidth="1"/>
    <col min="8" max="10" width="38.21875" style="118" customWidth="1"/>
    <col min="11" max="12" width="36.33203125" style="118" customWidth="1"/>
    <col min="13" max="13" width="38.44140625" style="118" hidden="1" customWidth="1"/>
    <col min="14" max="15" width="37.44140625" style="118" hidden="1" customWidth="1"/>
    <col min="16" max="16" width="33.109375" style="118" customWidth="1"/>
    <col min="17" max="18" width="33.109375" style="118" hidden="1" customWidth="1"/>
    <col min="19" max="19" width="35.6640625" style="118" hidden="1" customWidth="1"/>
    <col min="20" max="20" width="32.5546875" style="118" hidden="1" customWidth="1"/>
    <col min="21" max="21" width="32.5546875" style="118" customWidth="1"/>
    <col min="22" max="22" width="33.109375" style="118" customWidth="1"/>
    <col min="23" max="24" width="35.5546875" style="118" customWidth="1"/>
    <col min="25" max="25" width="38.109375" style="118" customWidth="1"/>
    <col min="26" max="27" width="35.21875" style="118" hidden="1" customWidth="1"/>
    <col min="28" max="28" width="33" style="118" customWidth="1"/>
    <col min="29" max="29" width="39.33203125" style="118" hidden="1" customWidth="1"/>
    <col min="30" max="31" width="39" style="118" customWidth="1"/>
    <col min="32" max="32" width="40.88671875" style="118" hidden="1" customWidth="1"/>
    <col min="33" max="34" width="38.44140625" style="118" hidden="1" customWidth="1"/>
    <col min="35" max="35" width="36.5546875" style="118" customWidth="1"/>
    <col min="36" max="36" width="41" style="118" customWidth="1"/>
    <col min="37" max="37" width="42.44140625" style="118" customWidth="1"/>
    <col min="38" max="38" width="39.5546875" style="118" customWidth="1"/>
    <col min="39" max="40" width="41.44140625" style="118" customWidth="1"/>
    <col min="41" max="41" width="44.77734375" style="216" hidden="1" customWidth="1"/>
    <col min="42" max="42" width="58.6640625" style="118" hidden="1" customWidth="1"/>
    <col min="43" max="43" width="47.109375" style="118" hidden="1" customWidth="1"/>
    <col min="44" max="44" width="40.6640625" style="118" hidden="1" customWidth="1"/>
    <col min="45" max="45" width="46.44140625" style="118" hidden="1" customWidth="1"/>
    <col min="46" max="46" width="70.109375" style="118" hidden="1" customWidth="1"/>
    <col min="47" max="47" width="66.6640625" style="118" hidden="1" customWidth="1"/>
    <col min="48" max="48" width="59.33203125" style="118" hidden="1" customWidth="1"/>
    <col min="49" max="49" width="69.6640625" style="118" hidden="1" customWidth="1"/>
    <col min="50" max="51" width="0" style="118" hidden="1" customWidth="1"/>
    <col min="52" max="16384" width="14.44140625" style="118"/>
  </cols>
  <sheetData>
    <row r="1" spans="1:125" ht="18.600000000000001" thickBot="1" x14ac:dyDescent="0.4">
      <c r="A1" s="115"/>
      <c r="B1" s="1371"/>
      <c r="C1" s="1371"/>
      <c r="D1" s="116"/>
      <c r="E1" s="116"/>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c r="AE1" s="116"/>
      <c r="AF1" s="116"/>
      <c r="AG1" s="116"/>
      <c r="AH1" s="116"/>
      <c r="AI1" s="116"/>
      <c r="AJ1" s="175"/>
      <c r="AK1" s="175"/>
      <c r="AL1" s="175"/>
      <c r="AM1" s="561"/>
      <c r="AN1" s="561"/>
      <c r="AO1" s="176"/>
    </row>
    <row r="2" spans="1:125" s="259" customFormat="1" ht="222.6" customHeight="1" thickBot="1" x14ac:dyDescent="0.45">
      <c r="A2" s="253"/>
      <c r="B2" s="1287" t="s">
        <v>0</v>
      </c>
      <c r="C2" s="1288"/>
      <c r="D2" s="254" t="s">
        <v>1</v>
      </c>
      <c r="E2" s="255" t="s">
        <v>2</v>
      </c>
      <c r="F2" s="256" t="s">
        <v>3</v>
      </c>
      <c r="G2" s="256" t="s">
        <v>4</v>
      </c>
      <c r="H2" s="256" t="s">
        <v>1867</v>
      </c>
      <c r="I2" s="859" t="s">
        <v>2230</v>
      </c>
      <c r="J2" s="256" t="s">
        <v>5</v>
      </c>
      <c r="K2" s="256" t="s">
        <v>1868</v>
      </c>
      <c r="L2" s="859" t="s">
        <v>2229</v>
      </c>
      <c r="M2" s="865" t="s">
        <v>6</v>
      </c>
      <c r="N2" s="865" t="s">
        <v>1869</v>
      </c>
      <c r="O2" s="1304" t="s">
        <v>2249</v>
      </c>
      <c r="P2" s="866" t="s">
        <v>1841</v>
      </c>
      <c r="Q2" s="867" t="s">
        <v>1870</v>
      </c>
      <c r="R2" s="867" t="s">
        <v>1872</v>
      </c>
      <c r="S2" s="867" t="s">
        <v>1871</v>
      </c>
      <c r="T2" s="867" t="s">
        <v>2134</v>
      </c>
      <c r="U2" s="867" t="s">
        <v>2176</v>
      </c>
      <c r="V2" s="867" t="s">
        <v>1873</v>
      </c>
      <c r="W2" s="1305" t="s">
        <v>2232</v>
      </c>
      <c r="X2" s="859" t="s">
        <v>2231</v>
      </c>
      <c r="Y2" s="859" t="s">
        <v>2233</v>
      </c>
      <c r="Z2" s="859" t="s">
        <v>2234</v>
      </c>
      <c r="AA2" s="868" t="s">
        <v>2235</v>
      </c>
      <c r="AB2" s="1306" t="s">
        <v>2236</v>
      </c>
      <c r="AC2" s="437" t="s">
        <v>7</v>
      </c>
      <c r="AD2" s="857" t="s">
        <v>2237</v>
      </c>
      <c r="AE2" s="1306" t="s">
        <v>2299</v>
      </c>
      <c r="AF2" s="811" t="s">
        <v>8</v>
      </c>
      <c r="AG2" s="871" t="s">
        <v>2238</v>
      </c>
      <c r="AH2" s="1304" t="s">
        <v>2247</v>
      </c>
      <c r="AI2" s="368" t="s">
        <v>1875</v>
      </c>
      <c r="AJ2" s="368" t="s">
        <v>2239</v>
      </c>
      <c r="AK2" s="1307" t="s">
        <v>2300</v>
      </c>
      <c r="AL2" s="871" t="s">
        <v>1843</v>
      </c>
      <c r="AM2" s="811" t="s">
        <v>2250</v>
      </c>
      <c r="AN2" s="1304" t="s">
        <v>2301</v>
      </c>
      <c r="AO2" s="257" t="s">
        <v>2177</v>
      </c>
      <c r="AP2" s="488" t="s">
        <v>1876</v>
      </c>
      <c r="AQ2" s="489" t="s">
        <v>2012</v>
      </c>
      <c r="AR2" s="749" t="s">
        <v>2013</v>
      </c>
      <c r="AS2" s="750" t="s">
        <v>2059</v>
      </c>
      <c r="AT2" s="982" t="s">
        <v>2135</v>
      </c>
      <c r="AU2" s="990" t="s">
        <v>1874</v>
      </c>
      <c r="AV2" s="991" t="s">
        <v>2242</v>
      </c>
      <c r="AW2" s="991" t="s">
        <v>2293</v>
      </c>
      <c r="AX2" s="258"/>
      <c r="AY2" s="258"/>
      <c r="AZ2" s="258"/>
      <c r="BA2" s="258"/>
      <c r="BB2" s="258"/>
      <c r="BC2" s="258"/>
      <c r="BD2" s="258"/>
      <c r="BE2" s="258"/>
      <c r="BF2" s="258"/>
      <c r="BG2" s="258"/>
      <c r="BH2" s="258"/>
      <c r="BI2" s="258"/>
      <c r="BJ2" s="258"/>
      <c r="BK2" s="258"/>
      <c r="BL2" s="258"/>
      <c r="BM2" s="258"/>
      <c r="BN2" s="258"/>
      <c r="BO2" s="258"/>
      <c r="BP2" s="258"/>
      <c r="BQ2" s="258"/>
      <c r="BR2" s="258"/>
      <c r="BS2" s="258"/>
      <c r="BT2" s="258"/>
      <c r="BU2" s="258"/>
      <c r="BV2" s="258"/>
      <c r="BW2" s="258"/>
      <c r="BX2" s="258"/>
      <c r="BY2" s="258"/>
      <c r="BZ2" s="258"/>
      <c r="CA2" s="258"/>
      <c r="CB2" s="258"/>
      <c r="CC2" s="258"/>
      <c r="CD2" s="258"/>
      <c r="CE2" s="258"/>
      <c r="CF2" s="258"/>
      <c r="CG2" s="258"/>
      <c r="CH2" s="258"/>
      <c r="CI2" s="258"/>
      <c r="CJ2" s="258"/>
      <c r="CK2" s="258"/>
      <c r="CL2" s="258"/>
      <c r="CM2" s="258"/>
      <c r="CN2" s="258"/>
      <c r="CO2" s="258"/>
      <c r="CP2" s="258"/>
      <c r="CQ2" s="258"/>
      <c r="CR2" s="258"/>
      <c r="CS2" s="258"/>
      <c r="CT2" s="258"/>
      <c r="CU2" s="258"/>
      <c r="CV2" s="258"/>
      <c r="CW2" s="258"/>
      <c r="CX2" s="258"/>
      <c r="CY2" s="258"/>
      <c r="CZ2" s="258"/>
      <c r="DA2" s="258"/>
      <c r="DB2" s="258"/>
      <c r="DC2" s="258"/>
      <c r="DD2" s="258"/>
      <c r="DE2" s="258"/>
      <c r="DF2" s="258"/>
      <c r="DG2" s="258"/>
      <c r="DH2" s="258"/>
      <c r="DI2" s="258"/>
      <c r="DJ2" s="258"/>
      <c r="DK2" s="258"/>
      <c r="DL2" s="258"/>
      <c r="DM2" s="258"/>
      <c r="DN2" s="258"/>
      <c r="DO2" s="258"/>
      <c r="DP2" s="258"/>
      <c r="DQ2" s="258"/>
      <c r="DR2" s="258"/>
      <c r="DS2" s="258"/>
      <c r="DT2" s="258"/>
      <c r="DU2" s="258"/>
    </row>
    <row r="3" spans="1:125" s="222" customFormat="1" ht="138" customHeight="1" thickBot="1" x14ac:dyDescent="0.95">
      <c r="A3" s="217"/>
      <c r="B3" s="1410" t="s">
        <v>1798</v>
      </c>
      <c r="C3" s="1411"/>
      <c r="D3" s="218"/>
      <c r="E3" s="219">
        <v>0.25</v>
      </c>
      <c r="F3" s="220"/>
      <c r="G3" s="220"/>
      <c r="H3" s="220"/>
      <c r="I3" s="220"/>
      <c r="J3" s="491">
        <f>+(J4+J26+J37+J60+J82+J97+J135+J167)/7</f>
        <v>0.22385775913845282</v>
      </c>
      <c r="K3" s="491">
        <f>+(K4+K26+K37+K60+K82+K97+K135+K167)/8</f>
        <v>0.23066712604683681</v>
      </c>
      <c r="L3" s="493">
        <f>+(L4+L26+L37+L60+L82+L97+L135+L167)/8</f>
        <v>0.29347279550978955</v>
      </c>
      <c r="M3" s="492">
        <f>+(M4+M26+M37+M60+M82+M97+M135)/7</f>
        <v>0.19844971717901827</v>
      </c>
      <c r="N3" s="492">
        <f>+(N4+N26+N37+N60+N82+N97+N135+N167)/8</f>
        <v>0.20087091613383856</v>
      </c>
      <c r="O3" s="492">
        <f>+(O4+O26+O37+O60+O82+O97+O135+O167)/8</f>
        <v>0</v>
      </c>
      <c r="P3" s="221"/>
      <c r="Q3" s="221"/>
      <c r="R3" s="221"/>
      <c r="S3" s="221"/>
      <c r="T3" s="221"/>
      <c r="U3" s="221"/>
      <c r="V3" s="221"/>
      <c r="W3" s="221"/>
      <c r="X3" s="221"/>
      <c r="Y3" s="221"/>
      <c r="Z3" s="221"/>
      <c r="AA3" s="221"/>
      <c r="AB3" s="221"/>
      <c r="AC3" s="491">
        <f>+(AC4+AC26+AC37+AC60+AC82+AC97+AC135)/7</f>
        <v>0.80892636902467829</v>
      </c>
      <c r="AD3" s="491">
        <f>+(AD4+AD26+AD37+AD60+AD82+AD97+AD135+AD167)/8</f>
        <v>0.84012102824924451</v>
      </c>
      <c r="AE3" s="491">
        <f>+(AE4+AE26+AE37+AE60+AE82+AE97+AE135+AE167)/8</f>
        <v>0.38632016869631758</v>
      </c>
      <c r="AF3" s="492">
        <f>+F4+F26+F37+F60+F82+F97+F135+F167</f>
        <v>0.50590750648462857</v>
      </c>
      <c r="AG3" s="492">
        <f>+H4+H26+H37+H60+H82+H97+H135+H167</f>
        <v>0.57681251979401449</v>
      </c>
      <c r="AH3" s="492">
        <f>+I4+I26+I37+I60+I82+I97+I135+I167</f>
        <v>0.33261614705204412</v>
      </c>
      <c r="AI3" s="493">
        <f>+(AI4+AI26+AI37+AI60+AI82+AI97+AI135)/7</f>
        <v>0.22152387408750876</v>
      </c>
      <c r="AJ3" s="493">
        <v>0.48114752787939219</v>
      </c>
      <c r="AK3" s="493">
        <f>+(AK4+AK26+AK37+AK60+AK82+AK97+AK135+AK167)/7</f>
        <v>0.57466973513094477</v>
      </c>
      <c r="AL3" s="494">
        <f>+(AL4+AL26+AL37+AL60+AL82+AL97+AL135)/7</f>
        <v>0.18576863791395756</v>
      </c>
      <c r="AM3" s="494">
        <f>+(AM4*E4+AM26*E26+AM37*E37+AM60*E60+AM82*E82+AM97*E97+AM135*E135+AM167*E167)</f>
        <v>0.37052459010275579</v>
      </c>
      <c r="AN3" s="494">
        <f>+(AN4*E4+AN26*E26+AN37*E37+AN60*E60+AN82*E82+AN97*E97+AN135*E135+AN167*E167)</f>
        <v>0.46213758781001518</v>
      </c>
      <c r="AO3" s="768"/>
      <c r="AP3" s="495" t="s">
        <v>1881</v>
      </c>
      <c r="AQ3" s="220"/>
      <c r="AR3" s="220"/>
      <c r="AS3" s="220"/>
      <c r="AT3" s="983"/>
      <c r="AU3" s="220"/>
      <c r="AV3" s="220"/>
    </row>
    <row r="4" spans="1:125" ht="78" customHeight="1" thickBot="1" x14ac:dyDescent="0.4">
      <c r="A4" s="119"/>
      <c r="B4" s="1374" t="s">
        <v>1799</v>
      </c>
      <c r="C4" s="1412"/>
      <c r="D4" s="177"/>
      <c r="E4" s="122">
        <v>0.2</v>
      </c>
      <c r="F4" s="123">
        <f>+E4*AF4</f>
        <v>0.13357444827586207</v>
      </c>
      <c r="G4" s="178"/>
      <c r="H4" s="123">
        <f>+E4*AG4</f>
        <v>0.14020864041867956</v>
      </c>
      <c r="I4" s="123">
        <f>+E4*AH4</f>
        <v>9.3641223738391996E-2</v>
      </c>
      <c r="J4" s="125">
        <f t="shared" ref="J4:O4" si="0">+(J5+J22)/2</f>
        <v>0.17442942942942941</v>
      </c>
      <c r="K4" s="125">
        <f t="shared" si="0"/>
        <v>0.23004504504504508</v>
      </c>
      <c r="L4" s="125">
        <f t="shared" si="0"/>
        <v>0.36019220779220779</v>
      </c>
      <c r="M4" s="126">
        <f t="shared" si="0"/>
        <v>0.18726443243243246</v>
      </c>
      <c r="N4" s="126">
        <f t="shared" si="0"/>
        <v>0.24209005405405412</v>
      </c>
      <c r="O4" s="126">
        <f t="shared" si="0"/>
        <v>0</v>
      </c>
      <c r="P4" s="179"/>
      <c r="Q4" s="179"/>
      <c r="R4" s="179"/>
      <c r="S4" s="179"/>
      <c r="T4" s="179"/>
      <c r="U4" s="179"/>
      <c r="V4" s="179"/>
      <c r="W4" s="179"/>
      <c r="X4" s="179"/>
      <c r="Y4" s="179"/>
      <c r="Z4" s="179"/>
      <c r="AA4" s="179"/>
      <c r="AB4" s="179"/>
      <c r="AC4" s="125">
        <f>+(AC5+AC22)/2</f>
        <v>0.95366379310344829</v>
      </c>
      <c r="AD4" s="125">
        <f>+(AD5+AD22)/2</f>
        <v>0.92518035426731082</v>
      </c>
      <c r="AE4" s="125">
        <f>+(AE5+AE22)/2</f>
        <v>0.36009345420094091</v>
      </c>
      <c r="AF4" s="126">
        <f>+AF5+AF22</f>
        <v>0.66787224137931034</v>
      </c>
      <c r="AG4" s="126">
        <f>+AG5+AG22</f>
        <v>0.70104320209339777</v>
      </c>
      <c r="AH4" s="126">
        <f>+AH5+AH22</f>
        <v>0.46820611869195994</v>
      </c>
      <c r="AI4" s="180">
        <f>(AI5+AI22)/2</f>
        <v>0.23386643243243244</v>
      </c>
      <c r="AJ4" s="180">
        <v>0.45684270833333329</v>
      </c>
      <c r="AK4" s="180">
        <f>(AK5+AK22)/2</f>
        <v>0.50845678373015868</v>
      </c>
      <c r="AL4" s="181">
        <f>+AL5+AL22</f>
        <v>0.22782968756756758</v>
      </c>
      <c r="AM4" s="181">
        <f>+AM5*E5+AM22*E22</f>
        <v>0.54951656666666659</v>
      </c>
      <c r="AN4" s="181">
        <f>+AN5*E5+AN22*E22</f>
        <v>0.61735872466666675</v>
      </c>
      <c r="AO4" s="769"/>
      <c r="AP4" s="490"/>
      <c r="AQ4" s="490"/>
      <c r="AR4" s="490"/>
      <c r="AS4" s="490"/>
      <c r="AT4" s="984"/>
      <c r="AU4" s="490"/>
      <c r="AV4" s="490"/>
    </row>
    <row r="5" spans="1:125" ht="57" customHeight="1" thickBot="1" x14ac:dyDescent="0.4">
      <c r="A5" s="119"/>
      <c r="B5" s="1376" t="s">
        <v>1800</v>
      </c>
      <c r="C5" s="1412"/>
      <c r="D5" s="177"/>
      <c r="E5" s="182">
        <v>0.7</v>
      </c>
      <c r="F5" s="132"/>
      <c r="G5" s="132"/>
      <c r="H5" s="132"/>
      <c r="I5" s="132"/>
      <c r="J5" s="133">
        <f>+AVERAGE(J6:J21)</f>
        <v>0.21777777777777776</v>
      </c>
      <c r="K5" s="133">
        <f>+AVERAGE(K6:K21)</f>
        <v>0.27000000000000007</v>
      </c>
      <c r="L5" s="133">
        <f>+AVERAGE(L6:L21)</f>
        <v>0.31265714285714286</v>
      </c>
      <c r="M5" s="133">
        <f>+M6+M7+M8+M9+M10+M11+M12+M13+M14+M15+M16+M17+M18+M19+M20+M21</f>
        <v>0.28966400000000003</v>
      </c>
      <c r="N5" s="133">
        <f>+N6+N7+N8+N9+N10+N11+N12+N13+N14+N15+N16+N17+N18+N19+N20+N21</f>
        <v>0.31607200000000013</v>
      </c>
      <c r="O5" s="133">
        <f>+O6+O7+O8+O9+O10+O11+O12+O13+O14+O15+O16+O17+O18+O19+O20+O21</f>
        <v>0</v>
      </c>
      <c r="P5" s="132"/>
      <c r="Q5" s="132"/>
      <c r="R5" s="132"/>
      <c r="S5" s="132"/>
      <c r="T5" s="132"/>
      <c r="U5" s="132"/>
      <c r="V5" s="132"/>
      <c r="W5" s="132"/>
      <c r="X5" s="132"/>
      <c r="Y5" s="132"/>
      <c r="Z5" s="132"/>
      <c r="AA5" s="132"/>
      <c r="AB5" s="132"/>
      <c r="AC5" s="154">
        <f>+AVERAGE(AC6:AC21)</f>
        <v>0.90732758620689657</v>
      </c>
      <c r="AD5" s="154">
        <f>+AVERAGE(AD6:AD21)</f>
        <v>0.85036070853462165</v>
      </c>
      <c r="AE5" s="154">
        <f>+AVERAGE(AE6:AE21)</f>
        <v>0.25105110593274599</v>
      </c>
      <c r="AF5" s="154">
        <f>+(AF6+AF7+AF8+AF9+AF10+AF11+AF12+AF13+AF14+AF15+AF16+AF17+AF18+AF19+AF20+AF21)*E5</f>
        <v>0.48787224137931029</v>
      </c>
      <c r="AG5" s="154">
        <f>+(AG6+AG7+AG8+AG9+AG10+AG11+AG12+AG13+AG14+AG15+AG16+AG17+AG18+AG19+AG20+AG21)*E5</f>
        <v>0.52104320209339772</v>
      </c>
      <c r="AH5" s="154">
        <f>+(AH6+AH7+AH8+AH9+AH10+AH11+AH12+AH13+AH14+AH15+AH16+AH17+AH18+AH19+AH20+AH21)*E5</f>
        <v>0.32376167424751545</v>
      </c>
      <c r="AI5" s="133">
        <f>+AVERAGE(AI6:AI21)</f>
        <v>0.22375</v>
      </c>
      <c r="AJ5" s="133">
        <v>0.34278541666666668</v>
      </c>
      <c r="AK5" s="133">
        <f>+AVERAGE(AK6:AK21)</f>
        <v>0.40971356746031745</v>
      </c>
      <c r="AL5" s="183">
        <f>+(AL6+AL7+AL8+AL9+AL10+AL11+AL12+AL13+AL14+AL15+AL16+AL17+AL18+AL19+AL20+AL21)*E5</f>
        <v>0.17677380000000001</v>
      </c>
      <c r="AM5" s="183">
        <f>+(AM6+AM7+AM8+AM9+AM10+AM11+AM12+AM13+AM14+AM15+AM16+AM17+AM18+AM19+AM20+AM21)</f>
        <v>0.55102366666666669</v>
      </c>
      <c r="AN5" s="183">
        <f>+(AN6+AN7+AN8+AN9+AN10+AN11+AN12+AN13+AN14+AN15+AN16+AN17+AN18+AN19+AN20+AN21)</f>
        <v>0.63851246380952387</v>
      </c>
      <c r="AO5" s="770"/>
      <c r="AP5" s="490"/>
      <c r="AQ5" s="490"/>
      <c r="AR5" s="490"/>
      <c r="AS5" s="490"/>
      <c r="AT5" s="984"/>
      <c r="AU5" s="490"/>
      <c r="AV5" s="490"/>
    </row>
    <row r="6" spans="1:125" ht="105.6" customHeight="1" thickBot="1" x14ac:dyDescent="0.4">
      <c r="A6" s="119"/>
      <c r="B6" s="1378" t="s">
        <v>799</v>
      </c>
      <c r="C6" s="1404" t="s">
        <v>1262</v>
      </c>
      <c r="D6" s="184" t="s">
        <v>560</v>
      </c>
      <c r="E6" s="185">
        <v>0.5</v>
      </c>
      <c r="F6" s="186">
        <v>1</v>
      </c>
      <c r="G6" s="134">
        <v>0.28999999999999998</v>
      </c>
      <c r="H6" s="134">
        <v>0.46</v>
      </c>
      <c r="I6" s="134">
        <v>0.19700000000000001</v>
      </c>
      <c r="J6" s="139">
        <f t="shared" ref="J6:J18" si="1">+G6/F6</f>
        <v>0.28999999999999998</v>
      </c>
      <c r="K6" s="139">
        <f>+H6/F6</f>
        <v>0.46</v>
      </c>
      <c r="L6" s="139">
        <f>+I6/F6</f>
        <v>0.19700000000000001</v>
      </c>
      <c r="M6" s="139">
        <f>+(G6/F6)*E6</f>
        <v>0.14499999999999999</v>
      </c>
      <c r="N6" s="139">
        <f>+(H6/F6)*E6</f>
        <v>0.23</v>
      </c>
      <c r="O6" s="139"/>
      <c r="P6" s="134">
        <v>0.22</v>
      </c>
      <c r="Q6" s="496">
        <v>0.14299999999999999</v>
      </c>
      <c r="R6" s="496">
        <v>0.124</v>
      </c>
      <c r="S6" s="496">
        <v>3.9300000000000002E-2</v>
      </c>
      <c r="T6" s="496">
        <v>0.1066</v>
      </c>
      <c r="U6" s="496">
        <v>0.01</v>
      </c>
      <c r="V6" s="134">
        <f>+Q6+R6+S6+T6+U6</f>
        <v>0.42290000000000005</v>
      </c>
      <c r="W6" s="134">
        <f>+V6+P6+AB6</f>
        <v>0.76634000000000002</v>
      </c>
      <c r="X6" s="496">
        <v>5.6439999999999997E-2</v>
      </c>
      <c r="Y6" s="496">
        <v>6.7000000000000004E-2</v>
      </c>
      <c r="Z6" s="134"/>
      <c r="AA6" s="134"/>
      <c r="AB6" s="134">
        <f>+X6+Y6+Z6+AA6</f>
        <v>0.12343999999999999</v>
      </c>
      <c r="AC6" s="156">
        <f>+(P6/G6)</f>
        <v>0.75862068965517249</v>
      </c>
      <c r="AD6" s="156">
        <f>+V6/H6</f>
        <v>0.91934782608695664</v>
      </c>
      <c r="AE6" s="156">
        <f>+AB6/I6</f>
        <v>0.6265989847715735</v>
      </c>
      <c r="AF6" s="156">
        <f>+AC6*E6</f>
        <v>0.37931034482758624</v>
      </c>
      <c r="AG6" s="156">
        <f>+AD6*E6</f>
        <v>0.45967391304347832</v>
      </c>
      <c r="AH6" s="156">
        <f>+AE6*E6</f>
        <v>0.31329949238578675</v>
      </c>
      <c r="AI6" s="156">
        <f>+P6/F6</f>
        <v>0.22</v>
      </c>
      <c r="AJ6" s="190">
        <v>0.64290000000000003</v>
      </c>
      <c r="AK6" s="190">
        <f>+W6/F6</f>
        <v>0.76634000000000002</v>
      </c>
      <c r="AL6" s="187">
        <f>+AI6*E6</f>
        <v>0.11</v>
      </c>
      <c r="AM6" s="187">
        <f>+AJ6*E6</f>
        <v>0.32145000000000001</v>
      </c>
      <c r="AN6" s="190">
        <f>+AK6*E6</f>
        <v>0.38317000000000001</v>
      </c>
      <c r="AO6" s="521" t="s">
        <v>1844</v>
      </c>
      <c r="AP6" s="527" t="s">
        <v>1895</v>
      </c>
      <c r="AQ6" s="522" t="s">
        <v>1990</v>
      </c>
      <c r="AR6" s="522" t="s">
        <v>2010</v>
      </c>
      <c r="AS6" s="522" t="s">
        <v>2108</v>
      </c>
      <c r="AT6" s="985" t="s">
        <v>2139</v>
      </c>
      <c r="AU6" s="522" t="s">
        <v>2199</v>
      </c>
      <c r="AV6" s="522" t="s">
        <v>1887</v>
      </c>
      <c r="AW6" s="522" t="s">
        <v>2294</v>
      </c>
    </row>
    <row r="7" spans="1:125" ht="133.19999999999999" customHeight="1" thickBot="1" x14ac:dyDescent="0.4">
      <c r="A7" s="119"/>
      <c r="B7" s="1378" t="s">
        <v>800</v>
      </c>
      <c r="C7" s="1404" t="s">
        <v>1263</v>
      </c>
      <c r="D7" s="184" t="s">
        <v>560</v>
      </c>
      <c r="E7" s="188">
        <v>0.2</v>
      </c>
      <c r="F7" s="186">
        <v>1</v>
      </c>
      <c r="G7" s="134">
        <v>0.61</v>
      </c>
      <c r="H7" s="134">
        <v>0.27</v>
      </c>
      <c r="I7" s="134">
        <v>0.1</v>
      </c>
      <c r="J7" s="139">
        <f t="shared" si="1"/>
        <v>0.61</v>
      </c>
      <c r="K7" s="139">
        <f t="shared" ref="K7:K25" si="2">+H7/F7</f>
        <v>0.27</v>
      </c>
      <c r="L7" s="139">
        <f t="shared" ref="L7:L25" si="3">+I7/F7</f>
        <v>0.1</v>
      </c>
      <c r="M7" s="139">
        <f t="shared" ref="M7:M18" si="4">+(G7/F7)*E7</f>
        <v>0.122</v>
      </c>
      <c r="N7" s="139">
        <f t="shared" ref="N7:N25" si="5">+(H7/F7)*E7</f>
        <v>5.4000000000000006E-2</v>
      </c>
      <c r="O7" s="139"/>
      <c r="P7" s="134">
        <v>0.61</v>
      </c>
      <c r="Q7" s="496">
        <v>0.09</v>
      </c>
      <c r="R7" s="496">
        <v>0.11</v>
      </c>
      <c r="S7" s="496">
        <v>0.02</v>
      </c>
      <c r="T7" s="496">
        <v>0.01</v>
      </c>
      <c r="U7" s="496">
        <v>0.02</v>
      </c>
      <c r="V7" s="134">
        <f t="shared" ref="V7:V70" si="6">+Q7+R7+S7+T7+U7</f>
        <v>0.25</v>
      </c>
      <c r="W7" s="202">
        <f>+V7+P7+AB7+0.020199</f>
        <v>0.93199899999999991</v>
      </c>
      <c r="X7" s="496">
        <v>8.9999999999999993E-3</v>
      </c>
      <c r="Y7" s="496">
        <v>4.2799999999999998E-2</v>
      </c>
      <c r="Z7" s="134"/>
      <c r="AA7" s="134"/>
      <c r="AB7" s="134">
        <f t="shared" ref="AB7:AB25" si="7">+X7+Y7+Z7+AA7</f>
        <v>5.1799999999999999E-2</v>
      </c>
      <c r="AC7" s="139">
        <f>+(P7/G7)</f>
        <v>1</v>
      </c>
      <c r="AD7" s="156">
        <f>+V7/H7</f>
        <v>0.92592592592592582</v>
      </c>
      <c r="AE7" s="156">
        <f t="shared" ref="AE7:AE20" si="8">+AB7/I7</f>
        <v>0.5179999999999999</v>
      </c>
      <c r="AF7" s="156">
        <f>+AC7*E7</f>
        <v>0.2</v>
      </c>
      <c r="AG7" s="156">
        <f>+AD7*E7</f>
        <v>0.18518518518518517</v>
      </c>
      <c r="AH7" s="156">
        <f t="shared" ref="AH7:AH20" si="9">+AE7*E7</f>
        <v>0.10359999999999998</v>
      </c>
      <c r="AI7" s="156">
        <f>+P7/F7</f>
        <v>0.61</v>
      </c>
      <c r="AJ7" s="190">
        <v>0.86</v>
      </c>
      <c r="AK7" s="211">
        <f t="shared" ref="AK7:AK25" si="10">+W7/F7</f>
        <v>0.93199899999999991</v>
      </c>
      <c r="AL7" s="187">
        <f>+AI7*E7</f>
        <v>0.122</v>
      </c>
      <c r="AM7" s="187">
        <f>+AJ7*E7</f>
        <v>0.17200000000000001</v>
      </c>
      <c r="AN7" s="190">
        <f t="shared" ref="AN7:AN25" si="11">+AK7*E7</f>
        <v>0.1863998</v>
      </c>
      <c r="AO7" s="521" t="s">
        <v>1844</v>
      </c>
      <c r="AP7" s="527" t="s">
        <v>1895</v>
      </c>
      <c r="AQ7" s="522" t="s">
        <v>1990</v>
      </c>
      <c r="AR7" s="522" t="s">
        <v>2010</v>
      </c>
      <c r="AS7" s="522" t="s">
        <v>2108</v>
      </c>
      <c r="AT7" s="986" t="s">
        <v>1859</v>
      </c>
      <c r="AU7" s="522" t="s">
        <v>2199</v>
      </c>
      <c r="AV7" s="522" t="s">
        <v>1887</v>
      </c>
      <c r="AW7" s="522" t="s">
        <v>2294</v>
      </c>
    </row>
    <row r="8" spans="1:125" ht="90" customHeight="1" thickBot="1" x14ac:dyDescent="0.4">
      <c r="A8" s="119"/>
      <c r="B8" s="1378" t="s">
        <v>801</v>
      </c>
      <c r="C8" s="1404" t="s">
        <v>1264</v>
      </c>
      <c r="D8" s="184" t="s">
        <v>802</v>
      </c>
      <c r="E8" s="189">
        <v>2.1999999999999999E-2</v>
      </c>
      <c r="F8" s="186">
        <v>1</v>
      </c>
      <c r="G8" s="134">
        <v>0</v>
      </c>
      <c r="H8" s="134">
        <v>0</v>
      </c>
      <c r="I8" s="134">
        <v>0.4</v>
      </c>
      <c r="J8" s="139"/>
      <c r="K8" s="139"/>
      <c r="L8" s="139">
        <f t="shared" si="3"/>
        <v>0.4</v>
      </c>
      <c r="M8" s="139"/>
      <c r="N8" s="139">
        <f t="shared" si="5"/>
        <v>0</v>
      </c>
      <c r="O8" s="139"/>
      <c r="P8" s="134"/>
      <c r="Q8" s="496"/>
      <c r="R8" s="496"/>
      <c r="S8" s="496"/>
      <c r="T8" s="496"/>
      <c r="U8" s="496"/>
      <c r="V8" s="134">
        <f t="shared" si="6"/>
        <v>0</v>
      </c>
      <c r="W8" s="134">
        <f t="shared" ref="W8:W25" si="12">+V8+P8+AB8</f>
        <v>0.19945714285714289</v>
      </c>
      <c r="X8" s="496">
        <v>0.1278</v>
      </c>
      <c r="Y8" s="496">
        <v>7.1657142857142878E-2</v>
      </c>
      <c r="Z8" s="134"/>
      <c r="AA8" s="134"/>
      <c r="AB8" s="134">
        <f t="shared" si="7"/>
        <v>0.19945714285714289</v>
      </c>
      <c r="AC8" s="140"/>
      <c r="AD8" s="139"/>
      <c r="AE8" s="156">
        <f t="shared" si="8"/>
        <v>0.49864285714285722</v>
      </c>
      <c r="AF8" s="156"/>
      <c r="AG8" s="156"/>
      <c r="AH8" s="156">
        <f t="shared" si="9"/>
        <v>1.0970142857142859E-2</v>
      </c>
      <c r="AI8" s="156"/>
      <c r="AJ8" s="190"/>
      <c r="AK8" s="190">
        <f t="shared" si="10"/>
        <v>0.19945714285714289</v>
      </c>
      <c r="AL8" s="187">
        <v>0</v>
      </c>
      <c r="AM8" s="187">
        <v>0</v>
      </c>
      <c r="AN8" s="190">
        <f t="shared" si="11"/>
        <v>4.3880571428571435E-3</v>
      </c>
      <c r="AO8" s="521" t="s">
        <v>1844</v>
      </c>
      <c r="AP8" s="527" t="s">
        <v>1895</v>
      </c>
      <c r="AQ8" s="522" t="s">
        <v>1990</v>
      </c>
      <c r="AR8" s="522" t="s">
        <v>2010</v>
      </c>
      <c r="AS8" s="522" t="s">
        <v>2108</v>
      </c>
      <c r="AT8" s="986" t="s">
        <v>1859</v>
      </c>
      <c r="AU8" s="522" t="s">
        <v>2199</v>
      </c>
      <c r="AV8" s="522" t="s">
        <v>1887</v>
      </c>
      <c r="AW8" s="522" t="s">
        <v>2294</v>
      </c>
    </row>
    <row r="9" spans="1:125" ht="81" customHeight="1" thickBot="1" x14ac:dyDescent="0.4">
      <c r="A9" s="119"/>
      <c r="B9" s="1378" t="s">
        <v>803</v>
      </c>
      <c r="C9" s="1404" t="s">
        <v>1265</v>
      </c>
      <c r="D9" s="184" t="s">
        <v>560</v>
      </c>
      <c r="E9" s="189">
        <v>2.1399999999999999E-2</v>
      </c>
      <c r="F9" s="186">
        <v>1</v>
      </c>
      <c r="G9" s="134">
        <v>0</v>
      </c>
      <c r="H9" s="134">
        <v>0</v>
      </c>
      <c r="I9" s="134">
        <v>0.4</v>
      </c>
      <c r="J9" s="139"/>
      <c r="K9" s="139"/>
      <c r="L9" s="139">
        <f t="shared" si="3"/>
        <v>0.4</v>
      </c>
      <c r="M9" s="139"/>
      <c r="N9" s="139">
        <f t="shared" si="5"/>
        <v>0</v>
      </c>
      <c r="O9" s="139"/>
      <c r="P9" s="134"/>
      <c r="Q9" s="496"/>
      <c r="R9" s="496"/>
      <c r="S9" s="496"/>
      <c r="T9" s="496"/>
      <c r="U9" s="496"/>
      <c r="V9" s="134">
        <f>+Q9+R9+S9+T9+U9</f>
        <v>0</v>
      </c>
      <c r="W9" s="134">
        <f t="shared" si="12"/>
        <v>0</v>
      </c>
      <c r="X9" s="496">
        <v>0</v>
      </c>
      <c r="Y9" s="496">
        <v>0</v>
      </c>
      <c r="Z9" s="134"/>
      <c r="AA9" s="134"/>
      <c r="AB9" s="134">
        <f t="shared" si="7"/>
        <v>0</v>
      </c>
      <c r="AC9" s="140"/>
      <c r="AD9" s="139"/>
      <c r="AE9" s="156">
        <f t="shared" si="8"/>
        <v>0</v>
      </c>
      <c r="AF9" s="156"/>
      <c r="AG9" s="156"/>
      <c r="AH9" s="156">
        <f t="shared" si="9"/>
        <v>0</v>
      </c>
      <c r="AI9" s="156"/>
      <c r="AJ9" s="190"/>
      <c r="AK9" s="190"/>
      <c r="AL9" s="187">
        <v>0</v>
      </c>
      <c r="AM9" s="187">
        <v>0</v>
      </c>
      <c r="AN9" s="190">
        <f t="shared" si="11"/>
        <v>0</v>
      </c>
      <c r="AO9" s="521" t="s">
        <v>1844</v>
      </c>
      <c r="AP9" s="527" t="s">
        <v>1895</v>
      </c>
      <c r="AQ9" s="522" t="s">
        <v>1990</v>
      </c>
      <c r="AR9" s="522" t="s">
        <v>2010</v>
      </c>
      <c r="AS9" s="522" t="s">
        <v>2108</v>
      </c>
      <c r="AT9" s="986" t="s">
        <v>1859</v>
      </c>
      <c r="AU9" s="522" t="s">
        <v>2199</v>
      </c>
      <c r="AV9" s="522" t="s">
        <v>1887</v>
      </c>
      <c r="AW9" s="522" t="s">
        <v>2294</v>
      </c>
    </row>
    <row r="10" spans="1:125" ht="127.8" customHeight="1" thickBot="1" x14ac:dyDescent="0.4">
      <c r="A10" s="119"/>
      <c r="B10" s="1378" t="s">
        <v>804</v>
      </c>
      <c r="C10" s="1404" t="s">
        <v>1266</v>
      </c>
      <c r="D10" s="184" t="s">
        <v>560</v>
      </c>
      <c r="E10" s="189">
        <v>2.1399999999999999E-2</v>
      </c>
      <c r="F10" s="186">
        <v>1</v>
      </c>
      <c r="G10" s="134">
        <v>0</v>
      </c>
      <c r="H10" s="134">
        <v>0</v>
      </c>
      <c r="I10" s="134">
        <v>0.4</v>
      </c>
      <c r="J10" s="139"/>
      <c r="K10" s="139"/>
      <c r="L10" s="139">
        <f t="shared" si="3"/>
        <v>0.4</v>
      </c>
      <c r="M10" s="139"/>
      <c r="N10" s="139">
        <f t="shared" si="5"/>
        <v>0</v>
      </c>
      <c r="O10" s="139"/>
      <c r="P10" s="134"/>
      <c r="Q10" s="496"/>
      <c r="R10" s="496"/>
      <c r="S10" s="496"/>
      <c r="T10" s="496"/>
      <c r="U10" s="496"/>
      <c r="V10" s="134">
        <f t="shared" si="6"/>
        <v>0</v>
      </c>
      <c r="W10" s="134">
        <f t="shared" si="12"/>
        <v>0</v>
      </c>
      <c r="X10" s="496">
        <v>0</v>
      </c>
      <c r="Y10" s="496">
        <v>0</v>
      </c>
      <c r="Z10" s="134"/>
      <c r="AA10" s="134"/>
      <c r="AB10" s="134">
        <f t="shared" si="7"/>
        <v>0</v>
      </c>
      <c r="AC10" s="140"/>
      <c r="AD10" s="139"/>
      <c r="AE10" s="156">
        <f t="shared" si="8"/>
        <v>0</v>
      </c>
      <c r="AF10" s="156"/>
      <c r="AG10" s="156"/>
      <c r="AH10" s="156">
        <f t="shared" si="9"/>
        <v>0</v>
      </c>
      <c r="AI10" s="156"/>
      <c r="AJ10" s="190"/>
      <c r="AK10" s="190"/>
      <c r="AL10" s="187">
        <v>0</v>
      </c>
      <c r="AM10" s="187">
        <v>0</v>
      </c>
      <c r="AN10" s="190">
        <f t="shared" si="11"/>
        <v>0</v>
      </c>
      <c r="AO10" s="521" t="s">
        <v>1844</v>
      </c>
      <c r="AP10" s="527" t="s">
        <v>1895</v>
      </c>
      <c r="AQ10" s="522" t="s">
        <v>1990</v>
      </c>
      <c r="AR10" s="522" t="s">
        <v>2010</v>
      </c>
      <c r="AS10" s="522" t="s">
        <v>2108</v>
      </c>
      <c r="AT10" s="986" t="s">
        <v>1859</v>
      </c>
      <c r="AU10" s="522" t="s">
        <v>2199</v>
      </c>
      <c r="AV10" s="522" t="s">
        <v>1887</v>
      </c>
      <c r="AW10" s="522" t="s">
        <v>2294</v>
      </c>
    </row>
    <row r="11" spans="1:125" ht="115.95" customHeight="1" thickBot="1" x14ac:dyDescent="0.4">
      <c r="A11" s="119"/>
      <c r="B11" s="1378" t="s">
        <v>805</v>
      </c>
      <c r="C11" s="1404" t="s">
        <v>1267</v>
      </c>
      <c r="D11" s="184" t="s">
        <v>560</v>
      </c>
      <c r="E11" s="189">
        <v>2.1399999999999999E-2</v>
      </c>
      <c r="F11" s="186">
        <v>2</v>
      </c>
      <c r="G11" s="134">
        <v>0</v>
      </c>
      <c r="H11" s="134">
        <v>0</v>
      </c>
      <c r="I11" s="134">
        <v>1</v>
      </c>
      <c r="J11" s="139"/>
      <c r="K11" s="139"/>
      <c r="L11" s="139">
        <f t="shared" si="3"/>
        <v>0.5</v>
      </c>
      <c r="M11" s="139"/>
      <c r="N11" s="139">
        <f t="shared" si="5"/>
        <v>0</v>
      </c>
      <c r="O11" s="139"/>
      <c r="P11" s="134"/>
      <c r="Q11" s="496"/>
      <c r="R11" s="496"/>
      <c r="S11" s="496"/>
      <c r="T11" s="496"/>
      <c r="U11" s="496"/>
      <c r="V11" s="134">
        <f t="shared" si="6"/>
        <v>0</v>
      </c>
      <c r="W11" s="134">
        <f t="shared" si="12"/>
        <v>0</v>
      </c>
      <c r="X11" s="496">
        <v>0</v>
      </c>
      <c r="Y11" s="496">
        <v>0</v>
      </c>
      <c r="Z11" s="134"/>
      <c r="AA11" s="134"/>
      <c r="AB11" s="134">
        <f t="shared" si="7"/>
        <v>0</v>
      </c>
      <c r="AC11" s="140"/>
      <c r="AD11" s="139"/>
      <c r="AE11" s="156"/>
      <c r="AF11" s="156"/>
      <c r="AG11" s="156"/>
      <c r="AH11" s="156"/>
      <c r="AI11" s="156"/>
      <c r="AJ11" s="190"/>
      <c r="AK11" s="190"/>
      <c r="AL11" s="187">
        <v>0</v>
      </c>
      <c r="AM11" s="187">
        <v>0</v>
      </c>
      <c r="AN11" s="190">
        <f t="shared" si="11"/>
        <v>0</v>
      </c>
      <c r="AO11" s="521" t="s">
        <v>1844</v>
      </c>
      <c r="AP11" s="527" t="s">
        <v>1895</v>
      </c>
      <c r="AQ11" s="522" t="s">
        <v>1990</v>
      </c>
      <c r="AR11" s="522" t="s">
        <v>2010</v>
      </c>
      <c r="AS11" s="522" t="s">
        <v>2108</v>
      </c>
      <c r="AT11" s="986" t="s">
        <v>1859</v>
      </c>
      <c r="AU11" s="522" t="s">
        <v>2199</v>
      </c>
      <c r="AV11" s="986" t="s">
        <v>1859</v>
      </c>
      <c r="AW11" s="522" t="s">
        <v>2294</v>
      </c>
    </row>
    <row r="12" spans="1:125" ht="94.95" customHeight="1" thickBot="1" x14ac:dyDescent="0.4">
      <c r="A12" s="119"/>
      <c r="B12" s="1378" t="s">
        <v>806</v>
      </c>
      <c r="C12" s="1404" t="s">
        <v>1268</v>
      </c>
      <c r="D12" s="184" t="s">
        <v>560</v>
      </c>
      <c r="E12" s="189">
        <v>2.1299999999999999E-2</v>
      </c>
      <c r="F12" s="186">
        <v>1</v>
      </c>
      <c r="G12" s="134">
        <v>0</v>
      </c>
      <c r="H12" s="134">
        <v>0.1</v>
      </c>
      <c r="I12" s="134">
        <v>0.5</v>
      </c>
      <c r="J12" s="139"/>
      <c r="K12" s="139">
        <f t="shared" si="2"/>
        <v>0.1</v>
      </c>
      <c r="L12" s="139">
        <f t="shared" si="3"/>
        <v>0.5</v>
      </c>
      <c r="M12" s="139"/>
      <c r="N12" s="139">
        <f t="shared" si="5"/>
        <v>2.1299999999999999E-3</v>
      </c>
      <c r="O12" s="139"/>
      <c r="P12" s="134"/>
      <c r="Q12" s="496"/>
      <c r="R12" s="496"/>
      <c r="S12" s="497">
        <v>0.1</v>
      </c>
      <c r="T12" s="496">
        <v>0</v>
      </c>
      <c r="U12" s="496">
        <v>0</v>
      </c>
      <c r="V12" s="134">
        <f t="shared" si="6"/>
        <v>0.1</v>
      </c>
      <c r="W12" s="134">
        <f t="shared" si="12"/>
        <v>0.1</v>
      </c>
      <c r="X12" s="496">
        <v>0</v>
      </c>
      <c r="Y12" s="496">
        <v>0</v>
      </c>
      <c r="Z12" s="134"/>
      <c r="AA12" s="134"/>
      <c r="AB12" s="134">
        <f t="shared" si="7"/>
        <v>0</v>
      </c>
      <c r="AC12" s="140"/>
      <c r="AD12" s="139">
        <f>+V12/H12</f>
        <v>1</v>
      </c>
      <c r="AE12" s="156">
        <f t="shared" si="8"/>
        <v>0</v>
      </c>
      <c r="AF12" s="156"/>
      <c r="AG12" s="156">
        <f t="shared" ref="AG12:AG18" si="13">+AD12*E12</f>
        <v>2.1299999999999999E-2</v>
      </c>
      <c r="AH12" s="156">
        <f t="shared" si="9"/>
        <v>0</v>
      </c>
      <c r="AI12" s="156"/>
      <c r="AJ12" s="190">
        <v>0.1</v>
      </c>
      <c r="AK12" s="190">
        <f t="shared" si="10"/>
        <v>0.1</v>
      </c>
      <c r="AL12" s="187">
        <v>0</v>
      </c>
      <c r="AM12" s="187">
        <v>0</v>
      </c>
      <c r="AN12" s="190">
        <f>+AK12*E12</f>
        <v>2.1299999999999999E-3</v>
      </c>
      <c r="AO12" s="521" t="s">
        <v>1844</v>
      </c>
      <c r="AP12" s="527" t="s">
        <v>1895</v>
      </c>
      <c r="AQ12" s="522" t="s">
        <v>1990</v>
      </c>
      <c r="AR12" s="522" t="s">
        <v>2010</v>
      </c>
      <c r="AS12" s="641" t="s">
        <v>2086</v>
      </c>
      <c r="AT12" s="986" t="s">
        <v>1859</v>
      </c>
      <c r="AU12" s="522" t="s">
        <v>2199</v>
      </c>
      <c r="AV12" s="522" t="s">
        <v>1887</v>
      </c>
      <c r="AW12" s="522" t="s">
        <v>2294</v>
      </c>
    </row>
    <row r="13" spans="1:125" ht="69.599999999999994" customHeight="1" thickBot="1" x14ac:dyDescent="0.4">
      <c r="A13" s="119"/>
      <c r="B13" s="1378" t="s">
        <v>807</v>
      </c>
      <c r="C13" s="1404" t="s">
        <v>1269</v>
      </c>
      <c r="D13" s="184" t="s">
        <v>560</v>
      </c>
      <c r="E13" s="189">
        <v>2.1299999999999999E-2</v>
      </c>
      <c r="F13" s="186">
        <v>1</v>
      </c>
      <c r="G13" s="134">
        <v>0.2</v>
      </c>
      <c r="H13" s="134">
        <v>0.18</v>
      </c>
      <c r="I13" s="134">
        <v>0.3</v>
      </c>
      <c r="J13" s="139">
        <f t="shared" si="1"/>
        <v>0.2</v>
      </c>
      <c r="K13" s="139">
        <f t="shared" si="2"/>
        <v>0.18</v>
      </c>
      <c r="L13" s="139">
        <f t="shared" si="3"/>
        <v>0.3</v>
      </c>
      <c r="M13" s="139">
        <f t="shared" si="4"/>
        <v>4.2599999999999999E-3</v>
      </c>
      <c r="N13" s="139">
        <f t="shared" si="5"/>
        <v>3.8339999999999997E-3</v>
      </c>
      <c r="O13" s="139"/>
      <c r="P13" s="134">
        <v>0.1</v>
      </c>
      <c r="Q13" s="530">
        <v>0.02</v>
      </c>
      <c r="R13" s="530">
        <v>2.33333333333333E-2</v>
      </c>
      <c r="S13" s="497">
        <v>9.6666666666666706E-2</v>
      </c>
      <c r="T13" s="497">
        <v>0.02</v>
      </c>
      <c r="U13" s="497">
        <v>0.02</v>
      </c>
      <c r="V13" s="168">
        <f t="shared" si="6"/>
        <v>0.18</v>
      </c>
      <c r="W13" s="134">
        <f t="shared" si="12"/>
        <v>0.37000000000000005</v>
      </c>
      <c r="X13" s="497">
        <v>0.02</v>
      </c>
      <c r="Y13" s="496">
        <v>7.0000000000000007E-2</v>
      </c>
      <c r="Z13" s="168"/>
      <c r="AA13" s="168"/>
      <c r="AB13" s="134">
        <f t="shared" si="7"/>
        <v>9.0000000000000011E-2</v>
      </c>
      <c r="AC13" s="139">
        <f t="shared" ref="AC13:AC18" si="14">+(P13/G13)</f>
        <v>0.5</v>
      </c>
      <c r="AD13" s="139">
        <f>+V13/H13</f>
        <v>1</v>
      </c>
      <c r="AE13" s="156">
        <f t="shared" si="8"/>
        <v>0.30000000000000004</v>
      </c>
      <c r="AF13" s="156">
        <f t="shared" ref="AF13:AF18" si="15">+AC13*E13</f>
        <v>1.065E-2</v>
      </c>
      <c r="AG13" s="156">
        <f t="shared" si="13"/>
        <v>2.1299999999999999E-2</v>
      </c>
      <c r="AH13" s="156">
        <f t="shared" si="9"/>
        <v>6.3900000000000007E-3</v>
      </c>
      <c r="AI13" s="156">
        <f t="shared" ref="AI13:AI18" si="16">+P13/F13</f>
        <v>0.1</v>
      </c>
      <c r="AJ13" s="190">
        <v>0.28000000000000003</v>
      </c>
      <c r="AK13" s="190">
        <f t="shared" si="10"/>
        <v>0.37000000000000005</v>
      </c>
      <c r="AL13" s="190">
        <f t="shared" ref="AL13:AL18" si="17">+AI13*E13</f>
        <v>2.1299999999999999E-3</v>
      </c>
      <c r="AM13" s="190">
        <f t="shared" ref="AM13:AM21" si="18">+AJ13*E13</f>
        <v>5.9640000000000006E-3</v>
      </c>
      <c r="AN13" s="190">
        <f t="shared" si="11"/>
        <v>7.8810000000000009E-3</v>
      </c>
      <c r="AO13" s="521" t="s">
        <v>1844</v>
      </c>
      <c r="AP13" s="527" t="s">
        <v>1895</v>
      </c>
      <c r="AQ13" s="522" t="s">
        <v>1990</v>
      </c>
      <c r="AR13" s="522" t="s">
        <v>2010</v>
      </c>
      <c r="AS13" s="522" t="s">
        <v>2108</v>
      </c>
      <c r="AT13" s="986" t="s">
        <v>1859</v>
      </c>
      <c r="AU13" s="522" t="s">
        <v>2199</v>
      </c>
      <c r="AV13" s="522" t="s">
        <v>1887</v>
      </c>
      <c r="AW13" s="522" t="s">
        <v>2294</v>
      </c>
    </row>
    <row r="14" spans="1:125" ht="66" customHeight="1" thickBot="1" x14ac:dyDescent="0.4">
      <c r="A14" s="119"/>
      <c r="B14" s="1378" t="s">
        <v>808</v>
      </c>
      <c r="C14" s="1404" t="s">
        <v>1270</v>
      </c>
      <c r="D14" s="184" t="s">
        <v>560</v>
      </c>
      <c r="E14" s="189">
        <v>2.1399999999999999E-2</v>
      </c>
      <c r="F14" s="186">
        <v>2</v>
      </c>
      <c r="G14" s="134">
        <v>0.2</v>
      </c>
      <c r="H14" s="134">
        <v>0.4</v>
      </c>
      <c r="I14" s="134">
        <v>0.36</v>
      </c>
      <c r="J14" s="139">
        <f t="shared" si="1"/>
        <v>0.1</v>
      </c>
      <c r="K14" s="139">
        <v>0.4</v>
      </c>
      <c r="L14" s="139">
        <f t="shared" si="3"/>
        <v>0.18</v>
      </c>
      <c r="M14" s="139">
        <f t="shared" si="4"/>
        <v>2.14E-3</v>
      </c>
      <c r="N14" s="139">
        <f t="shared" si="5"/>
        <v>4.28E-3</v>
      </c>
      <c r="O14" s="139"/>
      <c r="P14" s="134">
        <v>0.2</v>
      </c>
      <c r="Q14" s="530">
        <v>0.05</v>
      </c>
      <c r="R14" s="530">
        <v>0.06</v>
      </c>
      <c r="S14" s="530">
        <v>8.3333333333333301E-2</v>
      </c>
      <c r="T14" s="530">
        <v>3.3300000000000003E-2</v>
      </c>
      <c r="U14" s="530">
        <v>3.6700000000000003E-2</v>
      </c>
      <c r="V14" s="168">
        <f t="shared" si="6"/>
        <v>0.26333333333333331</v>
      </c>
      <c r="W14" s="134">
        <f t="shared" si="12"/>
        <v>0.46333333333333332</v>
      </c>
      <c r="X14" s="497">
        <v>0</v>
      </c>
      <c r="Y14" s="497">
        <v>0</v>
      </c>
      <c r="Z14" s="168"/>
      <c r="AA14" s="168"/>
      <c r="AB14" s="134">
        <f t="shared" si="7"/>
        <v>0</v>
      </c>
      <c r="AC14" s="139">
        <f t="shared" si="14"/>
        <v>1</v>
      </c>
      <c r="AD14" s="139">
        <f>+V14/H14</f>
        <v>0.65833333333333321</v>
      </c>
      <c r="AE14" s="156"/>
      <c r="AF14" s="156">
        <f t="shared" si="15"/>
        <v>2.1399999999999999E-2</v>
      </c>
      <c r="AG14" s="156">
        <f t="shared" si="13"/>
        <v>1.4088333333333329E-2</v>
      </c>
      <c r="AH14" s="156">
        <f t="shared" si="9"/>
        <v>0</v>
      </c>
      <c r="AI14" s="156">
        <f t="shared" si="16"/>
        <v>0.1</v>
      </c>
      <c r="AJ14" s="190">
        <v>0.23166666666666666</v>
      </c>
      <c r="AK14" s="190">
        <f t="shared" si="10"/>
        <v>0.23166666666666666</v>
      </c>
      <c r="AL14" s="190">
        <f t="shared" si="17"/>
        <v>2.14E-3</v>
      </c>
      <c r="AM14" s="190">
        <f t="shared" si="18"/>
        <v>4.9576666666666666E-3</v>
      </c>
      <c r="AN14" s="190">
        <f t="shared" si="11"/>
        <v>4.9576666666666666E-3</v>
      </c>
      <c r="AO14" s="521" t="s">
        <v>1844</v>
      </c>
      <c r="AP14" s="527" t="s">
        <v>1895</v>
      </c>
      <c r="AQ14" s="522" t="s">
        <v>1990</v>
      </c>
      <c r="AR14" s="522" t="s">
        <v>2010</v>
      </c>
      <c r="AS14" s="522" t="s">
        <v>2108</v>
      </c>
      <c r="AT14" s="986" t="s">
        <v>1859</v>
      </c>
      <c r="AU14" s="522" t="s">
        <v>2199</v>
      </c>
      <c r="AV14" s="986" t="s">
        <v>1859</v>
      </c>
      <c r="AW14" s="522" t="s">
        <v>2294</v>
      </c>
    </row>
    <row r="15" spans="1:125" ht="127.2" customHeight="1" thickBot="1" x14ac:dyDescent="0.4">
      <c r="A15" s="119"/>
      <c r="B15" s="1378" t="s">
        <v>809</v>
      </c>
      <c r="C15" s="1404" t="s">
        <v>1271</v>
      </c>
      <c r="D15" s="184" t="s">
        <v>560</v>
      </c>
      <c r="E15" s="189">
        <v>2.1399999999999999E-2</v>
      </c>
      <c r="F15" s="186">
        <v>1</v>
      </c>
      <c r="G15" s="134">
        <v>0.2</v>
      </c>
      <c r="H15" s="134">
        <v>0</v>
      </c>
      <c r="I15" s="134">
        <v>0.2</v>
      </c>
      <c r="J15" s="139">
        <f t="shared" si="1"/>
        <v>0.2</v>
      </c>
      <c r="K15" s="139"/>
      <c r="L15" s="139">
        <f t="shared" si="3"/>
        <v>0.2</v>
      </c>
      <c r="M15" s="139">
        <f t="shared" si="4"/>
        <v>4.28E-3</v>
      </c>
      <c r="N15" s="139">
        <f t="shared" si="5"/>
        <v>0</v>
      </c>
      <c r="O15" s="139"/>
      <c r="P15" s="134">
        <v>0.2</v>
      </c>
      <c r="Q15" s="496"/>
      <c r="R15" s="496"/>
      <c r="S15" s="496"/>
      <c r="T15" s="496"/>
      <c r="U15" s="496"/>
      <c r="V15" s="134">
        <f t="shared" si="6"/>
        <v>0</v>
      </c>
      <c r="W15" s="134">
        <f t="shared" si="12"/>
        <v>0.2</v>
      </c>
      <c r="X15" s="497">
        <v>0</v>
      </c>
      <c r="Y15" s="496">
        <v>0</v>
      </c>
      <c r="Z15" s="134"/>
      <c r="AA15" s="134"/>
      <c r="AB15" s="134">
        <f t="shared" si="7"/>
        <v>0</v>
      </c>
      <c r="AC15" s="139">
        <f t="shared" si="14"/>
        <v>1</v>
      </c>
      <c r="AD15" s="139"/>
      <c r="AE15" s="156">
        <f t="shared" si="8"/>
        <v>0</v>
      </c>
      <c r="AF15" s="156">
        <f t="shared" si="15"/>
        <v>2.1399999999999999E-2</v>
      </c>
      <c r="AG15" s="156">
        <f t="shared" si="13"/>
        <v>0</v>
      </c>
      <c r="AH15" s="156">
        <f t="shared" si="9"/>
        <v>0</v>
      </c>
      <c r="AI15" s="156">
        <f t="shared" si="16"/>
        <v>0.2</v>
      </c>
      <c r="AJ15" s="190">
        <v>0.2</v>
      </c>
      <c r="AK15" s="190">
        <f t="shared" si="10"/>
        <v>0.2</v>
      </c>
      <c r="AL15" s="190">
        <f t="shared" si="17"/>
        <v>4.28E-3</v>
      </c>
      <c r="AM15" s="190">
        <f t="shared" si="18"/>
        <v>4.28E-3</v>
      </c>
      <c r="AN15" s="190">
        <f t="shared" si="11"/>
        <v>4.28E-3</v>
      </c>
      <c r="AO15" s="521" t="s">
        <v>1844</v>
      </c>
      <c r="AP15" s="527" t="s">
        <v>1895</v>
      </c>
      <c r="AQ15" s="522" t="s">
        <v>1990</v>
      </c>
      <c r="AR15" s="522" t="s">
        <v>2010</v>
      </c>
      <c r="AS15" s="522" t="s">
        <v>2108</v>
      </c>
      <c r="AT15" s="986" t="s">
        <v>1859</v>
      </c>
      <c r="AU15" s="522" t="s">
        <v>2199</v>
      </c>
      <c r="AV15" s="522" t="s">
        <v>1887</v>
      </c>
      <c r="AW15" s="522" t="s">
        <v>2294</v>
      </c>
    </row>
    <row r="16" spans="1:125" ht="70.2" customHeight="1" thickBot="1" x14ac:dyDescent="0.4">
      <c r="A16" s="119"/>
      <c r="B16" s="1378" t="s">
        <v>810</v>
      </c>
      <c r="C16" s="1404" t="s">
        <v>1272</v>
      </c>
      <c r="D16" s="184" t="s">
        <v>811</v>
      </c>
      <c r="E16" s="189">
        <v>2.1399999999999999E-2</v>
      </c>
      <c r="F16" s="186">
        <v>1</v>
      </c>
      <c r="G16" s="134">
        <v>0.2</v>
      </c>
      <c r="H16" s="134">
        <v>0</v>
      </c>
      <c r="I16" s="134">
        <v>0.2</v>
      </c>
      <c r="J16" s="139">
        <f t="shared" si="1"/>
        <v>0.2</v>
      </c>
      <c r="K16" s="139"/>
      <c r="L16" s="139">
        <f t="shared" si="3"/>
        <v>0.2</v>
      </c>
      <c r="M16" s="139">
        <f t="shared" si="4"/>
        <v>4.28E-3</v>
      </c>
      <c r="N16" s="139">
        <f t="shared" si="5"/>
        <v>0</v>
      </c>
      <c r="O16" s="139"/>
      <c r="P16" s="134">
        <v>0.2</v>
      </c>
      <c r="Q16" s="496"/>
      <c r="R16" s="496"/>
      <c r="S16" s="496"/>
      <c r="T16" s="496"/>
      <c r="U16" s="496"/>
      <c r="V16" s="134">
        <f t="shared" si="6"/>
        <v>0</v>
      </c>
      <c r="W16" s="134">
        <f t="shared" si="12"/>
        <v>0.2</v>
      </c>
      <c r="X16" s="497">
        <v>0</v>
      </c>
      <c r="Y16" s="496">
        <v>0</v>
      </c>
      <c r="Z16" s="134"/>
      <c r="AA16" s="134"/>
      <c r="AB16" s="134">
        <f t="shared" si="7"/>
        <v>0</v>
      </c>
      <c r="AC16" s="139">
        <f t="shared" si="14"/>
        <v>1</v>
      </c>
      <c r="AD16" s="139"/>
      <c r="AE16" s="156">
        <f t="shared" si="8"/>
        <v>0</v>
      </c>
      <c r="AF16" s="156">
        <f t="shared" si="15"/>
        <v>2.1399999999999999E-2</v>
      </c>
      <c r="AG16" s="156">
        <f t="shared" si="13"/>
        <v>0</v>
      </c>
      <c r="AH16" s="156">
        <f t="shared" si="9"/>
        <v>0</v>
      </c>
      <c r="AI16" s="156">
        <f t="shared" si="16"/>
        <v>0.2</v>
      </c>
      <c r="AJ16" s="190">
        <v>0.2</v>
      </c>
      <c r="AK16" s="190">
        <f t="shared" si="10"/>
        <v>0.2</v>
      </c>
      <c r="AL16" s="190">
        <f t="shared" si="17"/>
        <v>4.28E-3</v>
      </c>
      <c r="AM16" s="190">
        <f t="shared" si="18"/>
        <v>4.28E-3</v>
      </c>
      <c r="AN16" s="190">
        <f t="shared" si="11"/>
        <v>4.28E-3</v>
      </c>
      <c r="AO16" s="521" t="s">
        <v>1844</v>
      </c>
      <c r="AP16" s="527" t="s">
        <v>1895</v>
      </c>
      <c r="AQ16" s="522" t="s">
        <v>1990</v>
      </c>
      <c r="AR16" s="522" t="s">
        <v>2010</v>
      </c>
      <c r="AS16" s="522" t="s">
        <v>2108</v>
      </c>
      <c r="AT16" s="986" t="s">
        <v>1859</v>
      </c>
      <c r="AU16" s="522" t="s">
        <v>2199</v>
      </c>
      <c r="AV16" s="522" t="s">
        <v>1887</v>
      </c>
      <c r="AW16" s="522" t="s">
        <v>2294</v>
      </c>
    </row>
    <row r="17" spans="1:49" ht="70.2" customHeight="1" thickBot="1" x14ac:dyDescent="0.4">
      <c r="A17" s="119"/>
      <c r="B17" s="1378" t="s">
        <v>812</v>
      </c>
      <c r="C17" s="1404" t="s">
        <v>1273</v>
      </c>
      <c r="D17" s="184" t="s">
        <v>811</v>
      </c>
      <c r="E17" s="189">
        <v>2.1399999999999999E-2</v>
      </c>
      <c r="F17" s="186">
        <v>1</v>
      </c>
      <c r="G17" s="134">
        <v>0.25</v>
      </c>
      <c r="H17" s="134">
        <v>0.25</v>
      </c>
      <c r="I17" s="134">
        <v>0.25</v>
      </c>
      <c r="J17" s="139">
        <f t="shared" si="1"/>
        <v>0.25</v>
      </c>
      <c r="K17" s="139">
        <f t="shared" si="2"/>
        <v>0.25</v>
      </c>
      <c r="L17" s="139">
        <f t="shared" si="3"/>
        <v>0.25</v>
      </c>
      <c r="M17" s="139">
        <f t="shared" si="4"/>
        <v>5.3499999999999997E-3</v>
      </c>
      <c r="N17" s="139">
        <f t="shared" si="5"/>
        <v>5.3499999999999997E-3</v>
      </c>
      <c r="O17" s="139"/>
      <c r="P17" s="134">
        <v>0.25</v>
      </c>
      <c r="Q17" s="496">
        <v>6.25E-2</v>
      </c>
      <c r="R17" s="496">
        <v>6.25E-2</v>
      </c>
      <c r="S17" s="496">
        <v>6.25E-2</v>
      </c>
      <c r="T17" s="496">
        <v>2.0800000000000013E-2</v>
      </c>
      <c r="U17" s="496">
        <v>4.1699999999999987E-2</v>
      </c>
      <c r="V17" s="134">
        <f t="shared" si="6"/>
        <v>0.25</v>
      </c>
      <c r="W17" s="134">
        <f t="shared" si="12"/>
        <v>0.625</v>
      </c>
      <c r="X17" s="497">
        <v>6.25E-2</v>
      </c>
      <c r="Y17" s="496">
        <v>6.25E-2</v>
      </c>
      <c r="Z17" s="134"/>
      <c r="AA17" s="134"/>
      <c r="AB17" s="134">
        <f t="shared" si="7"/>
        <v>0.125</v>
      </c>
      <c r="AC17" s="139">
        <f t="shared" si="14"/>
        <v>1</v>
      </c>
      <c r="AD17" s="156">
        <f>+V17/H17</f>
        <v>1</v>
      </c>
      <c r="AE17" s="156">
        <f t="shared" si="8"/>
        <v>0.5</v>
      </c>
      <c r="AF17" s="156">
        <f t="shared" si="15"/>
        <v>2.1399999999999999E-2</v>
      </c>
      <c r="AG17" s="156">
        <f t="shared" si="13"/>
        <v>2.1399999999999999E-2</v>
      </c>
      <c r="AH17" s="156">
        <f t="shared" si="9"/>
        <v>1.0699999999999999E-2</v>
      </c>
      <c r="AI17" s="156">
        <f t="shared" si="16"/>
        <v>0.25</v>
      </c>
      <c r="AJ17" s="190">
        <v>0.5</v>
      </c>
      <c r="AK17" s="190">
        <f t="shared" si="10"/>
        <v>0.625</v>
      </c>
      <c r="AL17" s="190">
        <f t="shared" si="17"/>
        <v>5.3499999999999997E-3</v>
      </c>
      <c r="AM17" s="190">
        <f t="shared" si="18"/>
        <v>1.0699999999999999E-2</v>
      </c>
      <c r="AN17" s="190">
        <f t="shared" si="11"/>
        <v>1.3375E-2</v>
      </c>
      <c r="AO17" s="521" t="s">
        <v>1844</v>
      </c>
      <c r="AP17" s="527" t="s">
        <v>1895</v>
      </c>
      <c r="AQ17" s="522" t="s">
        <v>1990</v>
      </c>
      <c r="AR17" s="522" t="s">
        <v>2010</v>
      </c>
      <c r="AS17" s="522" t="s">
        <v>2108</v>
      </c>
      <c r="AT17" s="986" t="s">
        <v>1859</v>
      </c>
      <c r="AU17" s="522" t="s">
        <v>2199</v>
      </c>
      <c r="AV17" s="522" t="s">
        <v>1887</v>
      </c>
      <c r="AW17" s="522" t="s">
        <v>2294</v>
      </c>
    </row>
    <row r="18" spans="1:49" ht="55.2" customHeight="1" thickBot="1" x14ac:dyDescent="0.4">
      <c r="A18" s="119"/>
      <c r="B18" s="1378" t="s">
        <v>813</v>
      </c>
      <c r="C18" s="1404" t="s">
        <v>1274</v>
      </c>
      <c r="D18" s="184" t="s">
        <v>811</v>
      </c>
      <c r="E18" s="189">
        <v>2.1399999999999999E-2</v>
      </c>
      <c r="F18" s="186">
        <v>1</v>
      </c>
      <c r="G18" s="134">
        <v>0.11</v>
      </c>
      <c r="H18" s="134">
        <v>0.32</v>
      </c>
      <c r="I18" s="134">
        <v>0.36</v>
      </c>
      <c r="J18" s="139">
        <f t="shared" si="1"/>
        <v>0.11</v>
      </c>
      <c r="K18" s="139">
        <f t="shared" si="2"/>
        <v>0.32</v>
      </c>
      <c r="L18" s="139">
        <f t="shared" si="3"/>
        <v>0.36</v>
      </c>
      <c r="M18" s="139">
        <f t="shared" si="4"/>
        <v>2.3539999999999998E-3</v>
      </c>
      <c r="N18" s="139">
        <f t="shared" si="5"/>
        <v>6.8479999999999999E-3</v>
      </c>
      <c r="O18" s="139"/>
      <c r="P18" s="134">
        <v>0.11</v>
      </c>
      <c r="Q18" s="496">
        <v>5.5E-2</v>
      </c>
      <c r="R18" s="496">
        <v>0.105</v>
      </c>
      <c r="S18" s="496">
        <v>9.5000000000000001E-2</v>
      </c>
      <c r="T18" s="496">
        <v>3.2000000000000001E-2</v>
      </c>
      <c r="U18" s="496">
        <v>3.3000000000000002E-2</v>
      </c>
      <c r="V18" s="202">
        <f t="shared" si="6"/>
        <v>0.32000000000000006</v>
      </c>
      <c r="W18" s="134">
        <f t="shared" si="12"/>
        <v>0.43000000000000005</v>
      </c>
      <c r="X18" s="497">
        <v>0</v>
      </c>
      <c r="Y18" s="496">
        <v>0</v>
      </c>
      <c r="Z18" s="202"/>
      <c r="AA18" s="202"/>
      <c r="AB18" s="134">
        <f t="shared" si="7"/>
        <v>0</v>
      </c>
      <c r="AC18" s="139">
        <f t="shared" si="14"/>
        <v>1</v>
      </c>
      <c r="AD18" s="156">
        <f>+V18/H18</f>
        <v>1.0000000000000002</v>
      </c>
      <c r="AE18" s="156">
        <f t="shared" si="8"/>
        <v>0</v>
      </c>
      <c r="AF18" s="156">
        <f t="shared" si="15"/>
        <v>2.1399999999999999E-2</v>
      </c>
      <c r="AG18" s="156">
        <f t="shared" si="13"/>
        <v>2.1400000000000002E-2</v>
      </c>
      <c r="AH18" s="156">
        <f t="shared" si="9"/>
        <v>0</v>
      </c>
      <c r="AI18" s="156">
        <f t="shared" si="16"/>
        <v>0.11</v>
      </c>
      <c r="AJ18" s="190">
        <v>0.43000000000000005</v>
      </c>
      <c r="AK18" s="190">
        <f t="shared" si="10"/>
        <v>0.43000000000000005</v>
      </c>
      <c r="AL18" s="190">
        <f t="shared" si="17"/>
        <v>2.3539999999999998E-3</v>
      </c>
      <c r="AM18" s="190">
        <f t="shared" si="18"/>
        <v>9.2020000000000001E-3</v>
      </c>
      <c r="AN18" s="190">
        <f t="shared" si="11"/>
        <v>9.2020000000000001E-3</v>
      </c>
      <c r="AO18" s="521" t="s">
        <v>1844</v>
      </c>
      <c r="AP18" s="527" t="s">
        <v>1895</v>
      </c>
      <c r="AQ18" s="522" t="s">
        <v>1990</v>
      </c>
      <c r="AR18" s="522" t="s">
        <v>2010</v>
      </c>
      <c r="AS18" s="522" t="s">
        <v>2108</v>
      </c>
      <c r="AT18" s="986" t="s">
        <v>1859</v>
      </c>
      <c r="AU18" s="522" t="s">
        <v>2199</v>
      </c>
      <c r="AV18" s="522" t="s">
        <v>1887</v>
      </c>
      <c r="AW18" s="522" t="s">
        <v>2294</v>
      </c>
    </row>
    <row r="19" spans="1:49" ht="120.6" customHeight="1" thickBot="1" x14ac:dyDescent="0.4">
      <c r="A19" s="119"/>
      <c r="B19" s="1378" t="s">
        <v>814</v>
      </c>
      <c r="C19" s="1404" t="s">
        <v>1275</v>
      </c>
      <c r="D19" s="184" t="s">
        <v>811</v>
      </c>
      <c r="E19" s="189">
        <v>2.1399999999999999E-2</v>
      </c>
      <c r="F19" s="186">
        <v>1</v>
      </c>
      <c r="G19" s="134">
        <v>0</v>
      </c>
      <c r="H19" s="134">
        <v>0</v>
      </c>
      <c r="I19" s="134">
        <v>0.20285714285714287</v>
      </c>
      <c r="J19" s="139"/>
      <c r="K19" s="139"/>
      <c r="L19" s="139">
        <f t="shared" si="3"/>
        <v>0.20285714285714287</v>
      </c>
      <c r="M19" s="139"/>
      <c r="N19" s="139">
        <f t="shared" si="5"/>
        <v>0</v>
      </c>
      <c r="O19" s="139"/>
      <c r="P19" s="134"/>
      <c r="Q19" s="496"/>
      <c r="R19" s="496"/>
      <c r="S19" s="496"/>
      <c r="T19" s="496"/>
      <c r="U19" s="496">
        <v>0.29709999999999998</v>
      </c>
      <c r="V19" s="134">
        <f>+Q19+R19+S19+T19+U19</f>
        <v>0.29709999999999998</v>
      </c>
      <c r="W19" s="134">
        <f t="shared" si="12"/>
        <v>0.36209999999999998</v>
      </c>
      <c r="X19" s="1035">
        <v>6.4285714285714302E-3</v>
      </c>
      <c r="Y19" s="496">
        <v>5.8571428571428573E-2</v>
      </c>
      <c r="Z19" s="134"/>
      <c r="AA19" s="134"/>
      <c r="AB19" s="1405">
        <f t="shared" si="7"/>
        <v>6.5000000000000002E-2</v>
      </c>
      <c r="AC19" s="140"/>
      <c r="AD19" s="156">
        <v>1</v>
      </c>
      <c r="AE19" s="156">
        <f t="shared" si="8"/>
        <v>0.32042253521126757</v>
      </c>
      <c r="AF19" s="156"/>
      <c r="AG19" s="156"/>
      <c r="AH19" s="156">
        <f t="shared" si="9"/>
        <v>6.8570422535211258E-3</v>
      </c>
      <c r="AI19" s="156"/>
      <c r="AJ19" s="190">
        <v>0.6</v>
      </c>
      <c r="AK19" s="190">
        <f t="shared" si="10"/>
        <v>0.36209999999999998</v>
      </c>
      <c r="AL19" s="190">
        <v>0</v>
      </c>
      <c r="AM19" s="190">
        <f t="shared" si="18"/>
        <v>1.2839999999999999E-2</v>
      </c>
      <c r="AN19" s="190">
        <f t="shared" si="11"/>
        <v>7.7489399999999993E-3</v>
      </c>
      <c r="AO19" s="521" t="s">
        <v>1844</v>
      </c>
      <c r="AP19" s="527" t="s">
        <v>1895</v>
      </c>
      <c r="AQ19" s="522" t="s">
        <v>1990</v>
      </c>
      <c r="AR19" s="522" t="s">
        <v>2010</v>
      </c>
      <c r="AS19" s="522" t="s">
        <v>2108</v>
      </c>
      <c r="AT19" s="986" t="s">
        <v>1859</v>
      </c>
      <c r="AU19" s="495" t="s">
        <v>2206</v>
      </c>
      <c r="AV19" s="522" t="s">
        <v>1887</v>
      </c>
      <c r="AW19" s="522" t="s">
        <v>2294</v>
      </c>
    </row>
    <row r="20" spans="1:49" ht="102" customHeight="1" thickBot="1" x14ac:dyDescent="0.4">
      <c r="A20" s="119"/>
      <c r="B20" s="1378" t="s">
        <v>815</v>
      </c>
      <c r="C20" s="1404" t="s">
        <v>1276</v>
      </c>
      <c r="D20" s="184" t="s">
        <v>560</v>
      </c>
      <c r="E20" s="189">
        <v>2.1399999999999999E-2</v>
      </c>
      <c r="F20" s="186">
        <v>4</v>
      </c>
      <c r="G20" s="134">
        <v>0</v>
      </c>
      <c r="H20" s="134">
        <v>1</v>
      </c>
      <c r="I20" s="134">
        <v>2</v>
      </c>
      <c r="J20" s="139"/>
      <c r="K20" s="139">
        <f t="shared" si="2"/>
        <v>0.25</v>
      </c>
      <c r="L20" s="139">
        <f t="shared" si="3"/>
        <v>0.5</v>
      </c>
      <c r="M20" s="139"/>
      <c r="N20" s="139">
        <f t="shared" si="5"/>
        <v>5.3499999999999997E-3</v>
      </c>
      <c r="O20" s="139"/>
      <c r="P20" s="134"/>
      <c r="Q20" s="496">
        <v>0</v>
      </c>
      <c r="R20" s="496">
        <v>0.2</v>
      </c>
      <c r="S20" s="496">
        <v>0.5</v>
      </c>
      <c r="T20" s="496"/>
      <c r="U20" s="496">
        <v>0.3</v>
      </c>
      <c r="V20" s="134">
        <f t="shared" si="6"/>
        <v>1</v>
      </c>
      <c r="W20" s="134">
        <f t="shared" si="12"/>
        <v>2</v>
      </c>
      <c r="X20" s="1035">
        <v>0.5</v>
      </c>
      <c r="Y20" s="496">
        <v>0.5</v>
      </c>
      <c r="Z20" s="134"/>
      <c r="AA20" s="134"/>
      <c r="AB20" s="134">
        <f t="shared" si="7"/>
        <v>1</v>
      </c>
      <c r="AC20" s="140"/>
      <c r="AD20" s="156">
        <f>+V20/H20</f>
        <v>1</v>
      </c>
      <c r="AE20" s="156">
        <f t="shared" si="8"/>
        <v>0.5</v>
      </c>
      <c r="AF20" s="156"/>
      <c r="AG20" s="156"/>
      <c r="AH20" s="156">
        <f t="shared" si="9"/>
        <v>1.0699999999999999E-2</v>
      </c>
      <c r="AI20" s="156"/>
      <c r="AJ20" s="190">
        <v>0.25</v>
      </c>
      <c r="AK20" s="190">
        <f t="shared" si="10"/>
        <v>0.5</v>
      </c>
      <c r="AL20" s="190">
        <f>+AI20*E20</f>
        <v>0</v>
      </c>
      <c r="AM20" s="190">
        <f t="shared" si="18"/>
        <v>5.3499999999999997E-3</v>
      </c>
      <c r="AN20" s="190">
        <f t="shared" si="11"/>
        <v>1.0699999999999999E-2</v>
      </c>
      <c r="AO20" s="521" t="s">
        <v>1844</v>
      </c>
      <c r="AP20" s="527" t="s">
        <v>1895</v>
      </c>
      <c r="AQ20" s="522" t="s">
        <v>1990</v>
      </c>
      <c r="AR20" s="522" t="s">
        <v>2010</v>
      </c>
      <c r="AS20" s="641" t="s">
        <v>2087</v>
      </c>
      <c r="AT20" s="986" t="s">
        <v>1859</v>
      </c>
      <c r="AU20" s="522" t="s">
        <v>2199</v>
      </c>
      <c r="AV20" s="522" t="s">
        <v>1887</v>
      </c>
      <c r="AW20" s="522" t="s">
        <v>2294</v>
      </c>
    </row>
    <row r="21" spans="1:49" ht="87.6" customHeight="1" thickBot="1" x14ac:dyDescent="0.4">
      <c r="A21" s="119"/>
      <c r="B21" s="1378" t="s">
        <v>816</v>
      </c>
      <c r="C21" s="1404" t="s">
        <v>1277</v>
      </c>
      <c r="D21" s="184" t="s">
        <v>560</v>
      </c>
      <c r="E21" s="189">
        <v>2.1399999999999999E-2</v>
      </c>
      <c r="F21" s="186">
        <v>1</v>
      </c>
      <c r="G21" s="134">
        <v>0</v>
      </c>
      <c r="H21" s="134">
        <v>0.2</v>
      </c>
      <c r="I21" s="134">
        <v>0</v>
      </c>
      <c r="J21" s="139">
        <v>0</v>
      </c>
      <c r="K21" s="139">
        <f t="shared" si="2"/>
        <v>0.2</v>
      </c>
      <c r="L21" s="139"/>
      <c r="M21" s="139"/>
      <c r="N21" s="139">
        <f t="shared" si="5"/>
        <v>4.28E-3</v>
      </c>
      <c r="O21" s="139"/>
      <c r="P21" s="134"/>
      <c r="Q21" s="496">
        <v>0</v>
      </c>
      <c r="R21" s="496"/>
      <c r="S21" s="496"/>
      <c r="T21" s="496"/>
      <c r="U21" s="496"/>
      <c r="V21" s="134">
        <f t="shared" si="6"/>
        <v>0</v>
      </c>
      <c r="W21" s="134">
        <f t="shared" si="12"/>
        <v>0</v>
      </c>
      <c r="X21" s="496">
        <v>0</v>
      </c>
      <c r="Y21" s="496">
        <v>0</v>
      </c>
      <c r="Z21" s="134"/>
      <c r="AA21" s="134"/>
      <c r="AB21" s="134">
        <f t="shared" si="7"/>
        <v>0</v>
      </c>
      <c r="AC21" s="140"/>
      <c r="AD21" s="156">
        <f>+V21/H21</f>
        <v>0</v>
      </c>
      <c r="AE21" s="156"/>
      <c r="AF21" s="156"/>
      <c r="AG21" s="156">
        <f>+AD21*E21</f>
        <v>0</v>
      </c>
      <c r="AH21" s="156">
        <f>+AE21*E21</f>
        <v>0</v>
      </c>
      <c r="AI21" s="156"/>
      <c r="AJ21" s="190">
        <v>0</v>
      </c>
      <c r="AK21" s="190"/>
      <c r="AL21" s="190">
        <v>0</v>
      </c>
      <c r="AM21" s="190">
        <f t="shared" si="18"/>
        <v>0</v>
      </c>
      <c r="AN21" s="190">
        <f t="shared" si="11"/>
        <v>0</v>
      </c>
      <c r="AO21" s="521" t="s">
        <v>1844</v>
      </c>
      <c r="AP21" s="599" t="s">
        <v>1913</v>
      </c>
      <c r="AQ21" s="599" t="s">
        <v>2004</v>
      </c>
      <c r="AR21" s="522" t="s">
        <v>2010</v>
      </c>
      <c r="AS21" s="641" t="s">
        <v>2088</v>
      </c>
      <c r="AT21" s="986" t="s">
        <v>1859</v>
      </c>
      <c r="AU21" s="522" t="s">
        <v>2199</v>
      </c>
      <c r="AV21" s="522" t="s">
        <v>1887</v>
      </c>
      <c r="AW21" s="522" t="s">
        <v>2294</v>
      </c>
    </row>
    <row r="22" spans="1:49" ht="57" customHeight="1" thickBot="1" x14ac:dyDescent="0.4">
      <c r="A22" s="119"/>
      <c r="B22" s="1376" t="s">
        <v>1721</v>
      </c>
      <c r="C22" s="1412"/>
      <c r="D22" s="191"/>
      <c r="E22" s="192">
        <v>0.3</v>
      </c>
      <c r="F22" s="193"/>
      <c r="G22" s="127"/>
      <c r="H22" s="127"/>
      <c r="I22" s="127"/>
      <c r="J22" s="133">
        <f>+AVERAGE(J23:J25)</f>
        <v>0.13108108108108107</v>
      </c>
      <c r="K22" s="133">
        <f>+AVERAGE(K23:K25)</f>
        <v>0.19009009009009006</v>
      </c>
      <c r="L22" s="133">
        <f>+AVERAGE(L23:L25)</f>
        <v>0.40772727272727272</v>
      </c>
      <c r="M22" s="133">
        <f>+M23+M24+M25</f>
        <v>8.4864864864864872E-2</v>
      </c>
      <c r="N22" s="133">
        <f>+N23+N24+N25</f>
        <v>0.16810810810810811</v>
      </c>
      <c r="O22" s="133"/>
      <c r="P22" s="132"/>
      <c r="Q22" s="132"/>
      <c r="R22" s="132"/>
      <c r="S22" s="132"/>
      <c r="T22" s="132"/>
      <c r="U22" s="132"/>
      <c r="V22" s="134"/>
      <c r="W22" s="134">
        <f t="shared" si="12"/>
        <v>0</v>
      </c>
      <c r="X22" s="132"/>
      <c r="Y22" s="132"/>
      <c r="Z22" s="132"/>
      <c r="AA22" s="132"/>
      <c r="AB22" s="132"/>
      <c r="AC22" s="154">
        <f>+AVERAGE(AC23:AC25)</f>
        <v>1</v>
      </c>
      <c r="AD22" s="154">
        <f>+AVERAGE(AD23:AD25)</f>
        <v>1</v>
      </c>
      <c r="AE22" s="154">
        <f>+AVERAGE(AE23:AE25)</f>
        <v>0.46913580246913583</v>
      </c>
      <c r="AF22" s="154">
        <f>+(AF23+AF24+AF25)*E22</f>
        <v>0.18000000000000002</v>
      </c>
      <c r="AG22" s="154">
        <f>+(AG23+AG24+AG25)*E22</f>
        <v>0.18000000000000002</v>
      </c>
      <c r="AH22" s="154">
        <f>+(AH23+AH24+AH25)*E22</f>
        <v>0.14444444444444446</v>
      </c>
      <c r="AI22" s="133">
        <f>+AVERAGE(AI23:AI25)</f>
        <v>0.24398286486486487</v>
      </c>
      <c r="AJ22" s="133">
        <v>0.57089999999999996</v>
      </c>
      <c r="AK22" s="133">
        <f>+(AK23*0.33)+(AK24*0.33)+(AK25*0.33)</f>
        <v>0.60719999999999996</v>
      </c>
      <c r="AL22" s="183">
        <f>+(AL23+AL24+AL25)*E22</f>
        <v>5.1055887567567564E-2</v>
      </c>
      <c r="AM22" s="183">
        <f>+(AM23+AM24+AM25)</f>
        <v>0.54600000000000004</v>
      </c>
      <c r="AN22" s="183">
        <f>+(AN23+AN24+AN25)</f>
        <v>0.56800000000000006</v>
      </c>
      <c r="AO22" s="770"/>
      <c r="AP22" s="490"/>
      <c r="AQ22" s="490"/>
      <c r="AR22" s="490"/>
      <c r="AS22" s="490"/>
      <c r="AT22" s="984"/>
      <c r="AU22" s="490"/>
      <c r="AV22" s="490"/>
    </row>
    <row r="23" spans="1:49" ht="102.6" customHeight="1" thickBot="1" x14ac:dyDescent="0.4">
      <c r="A23" s="119"/>
      <c r="B23" s="1378" t="s">
        <v>817</v>
      </c>
      <c r="C23" s="1404" t="s">
        <v>1278</v>
      </c>
      <c r="D23" s="191" t="s">
        <v>1539</v>
      </c>
      <c r="E23" s="188">
        <v>0.4</v>
      </c>
      <c r="F23" s="186">
        <v>185000</v>
      </c>
      <c r="G23" s="134">
        <v>30000</v>
      </c>
      <c r="H23" s="134">
        <v>50000</v>
      </c>
      <c r="I23" s="134">
        <v>60000</v>
      </c>
      <c r="J23" s="139">
        <f>+G23/F23</f>
        <v>0.16216216216216217</v>
      </c>
      <c r="K23" s="139">
        <f t="shared" si="2"/>
        <v>0.27027027027027029</v>
      </c>
      <c r="L23" s="139"/>
      <c r="M23" s="139">
        <f>+(G23/F23)*E23</f>
        <v>6.4864864864864868E-2</v>
      </c>
      <c r="N23" s="139">
        <f t="shared" si="5"/>
        <v>0.10810810810810811</v>
      </c>
      <c r="O23" s="139"/>
      <c r="P23" s="134">
        <v>67148.66</v>
      </c>
      <c r="Q23" s="496">
        <v>14768.91</v>
      </c>
      <c r="R23" s="496">
        <v>58387.23</v>
      </c>
      <c r="S23" s="496">
        <v>81238.960000000006</v>
      </c>
      <c r="T23" s="496">
        <v>57428.480000000003</v>
      </c>
      <c r="U23" s="496">
        <v>0</v>
      </c>
      <c r="V23" s="134">
        <f t="shared" si="6"/>
        <v>211823.58000000002</v>
      </c>
      <c r="W23" s="1406">
        <f>+V23+P23+AB23</f>
        <v>340515.33</v>
      </c>
      <c r="X23" s="499">
        <v>39549.550000000003</v>
      </c>
      <c r="Y23" s="499">
        <v>21993.54</v>
      </c>
      <c r="Z23" s="208"/>
      <c r="AA23" s="208"/>
      <c r="AB23" s="134">
        <f>+X23+Y23+Z23+AA23</f>
        <v>61543.090000000004</v>
      </c>
      <c r="AC23" s="156">
        <v>1</v>
      </c>
      <c r="AD23" s="156">
        <v>1</v>
      </c>
      <c r="AE23" s="156">
        <v>1</v>
      </c>
      <c r="AF23" s="156">
        <f>+AC23*E23</f>
        <v>0.4</v>
      </c>
      <c r="AG23" s="156">
        <f>+AD23*E23</f>
        <v>0.4</v>
      </c>
      <c r="AH23" s="156">
        <f>+AE23*E23</f>
        <v>0.4</v>
      </c>
      <c r="AI23" s="156">
        <f>+P23/F23</f>
        <v>0.36296572972972974</v>
      </c>
      <c r="AJ23" s="190">
        <v>1</v>
      </c>
      <c r="AK23" s="190">
        <v>1</v>
      </c>
      <c r="AL23" s="190">
        <f>+AI23*E23</f>
        <v>0.14518629189189189</v>
      </c>
      <c r="AM23" s="190">
        <f>+AJ23*E23</f>
        <v>0.4</v>
      </c>
      <c r="AN23" s="190">
        <f t="shared" si="11"/>
        <v>0.4</v>
      </c>
      <c r="AO23" s="521" t="s">
        <v>1844</v>
      </c>
      <c r="AP23" s="522" t="s">
        <v>1886</v>
      </c>
      <c r="AQ23" s="522" t="s">
        <v>1990</v>
      </c>
      <c r="AR23" s="522" t="s">
        <v>2010</v>
      </c>
      <c r="AS23" s="523" t="s">
        <v>2118</v>
      </c>
      <c r="AT23" s="985" t="s">
        <v>2140</v>
      </c>
      <c r="AU23" s="522" t="s">
        <v>2199</v>
      </c>
      <c r="AV23" s="522" t="s">
        <v>1887</v>
      </c>
      <c r="AW23" s="522" t="s">
        <v>2294</v>
      </c>
    </row>
    <row r="24" spans="1:49" ht="78" customHeight="1" thickBot="1" x14ac:dyDescent="0.4">
      <c r="A24" s="119"/>
      <c r="B24" s="1378" t="s">
        <v>819</v>
      </c>
      <c r="C24" s="1404" t="s">
        <v>1279</v>
      </c>
      <c r="D24" s="191" t="s">
        <v>1539</v>
      </c>
      <c r="E24" s="188">
        <v>0.4</v>
      </c>
      <c r="F24" s="186">
        <v>11000</v>
      </c>
      <c r="G24" s="134">
        <v>0</v>
      </c>
      <c r="H24" s="134">
        <v>0</v>
      </c>
      <c r="I24" s="134">
        <v>6000</v>
      </c>
      <c r="J24" s="139"/>
      <c r="K24" s="139">
        <f t="shared" si="2"/>
        <v>0</v>
      </c>
      <c r="L24" s="139">
        <f t="shared" si="3"/>
        <v>0.54545454545454541</v>
      </c>
      <c r="M24" s="139"/>
      <c r="N24" s="139">
        <f t="shared" si="5"/>
        <v>0</v>
      </c>
      <c r="O24" s="139"/>
      <c r="P24" s="134"/>
      <c r="Q24" s="496"/>
      <c r="R24" s="496"/>
      <c r="S24" s="496"/>
      <c r="T24" s="496"/>
      <c r="U24" s="496"/>
      <c r="V24" s="134">
        <f t="shared" si="6"/>
        <v>0</v>
      </c>
      <c r="W24" s="134">
        <f t="shared" si="12"/>
        <v>0</v>
      </c>
      <c r="X24" s="496">
        <v>0</v>
      </c>
      <c r="Y24" s="499">
        <v>0</v>
      </c>
      <c r="Z24" s="134"/>
      <c r="AA24" s="134"/>
      <c r="AB24" s="134">
        <f t="shared" si="7"/>
        <v>0</v>
      </c>
      <c r="AC24" s="156"/>
      <c r="AD24" s="156"/>
      <c r="AE24" s="156">
        <f t="shared" ref="AE24:AE25" si="19">+AB24/I24</f>
        <v>0</v>
      </c>
      <c r="AF24" s="156"/>
      <c r="AG24" s="156">
        <f>+AD24*E24</f>
        <v>0</v>
      </c>
      <c r="AH24" s="156">
        <f t="shared" ref="AH24:AH25" si="20">+AE24*E24</f>
        <v>0</v>
      </c>
      <c r="AI24" s="156"/>
      <c r="AJ24" s="190">
        <v>0</v>
      </c>
      <c r="AK24" s="190">
        <f t="shared" si="10"/>
        <v>0</v>
      </c>
      <c r="AL24" s="190"/>
      <c r="AM24" s="190">
        <f>+AJ24*E24</f>
        <v>0</v>
      </c>
      <c r="AN24" s="190">
        <f t="shared" si="11"/>
        <v>0</v>
      </c>
      <c r="AO24" s="521" t="s">
        <v>1844</v>
      </c>
      <c r="AP24" s="599" t="s">
        <v>1913</v>
      </c>
      <c r="AQ24" s="522" t="s">
        <v>1990</v>
      </c>
      <c r="AR24" s="522" t="s">
        <v>2010</v>
      </c>
      <c r="AS24" s="495" t="s">
        <v>2081</v>
      </c>
      <c r="AT24" s="985" t="s">
        <v>2140</v>
      </c>
      <c r="AU24" s="522" t="s">
        <v>2199</v>
      </c>
      <c r="AV24" s="522" t="s">
        <v>1887</v>
      </c>
      <c r="AW24" s="522" t="s">
        <v>2294</v>
      </c>
    </row>
    <row r="25" spans="1:49" ht="88.95" customHeight="1" thickBot="1" x14ac:dyDescent="0.4">
      <c r="A25" s="119"/>
      <c r="B25" s="1378" t="s">
        <v>820</v>
      </c>
      <c r="C25" s="1404" t="s">
        <v>1280</v>
      </c>
      <c r="D25" s="191" t="s">
        <v>1539</v>
      </c>
      <c r="E25" s="188">
        <v>0.2</v>
      </c>
      <c r="F25" s="186">
        <v>200</v>
      </c>
      <c r="G25" s="134">
        <v>20</v>
      </c>
      <c r="H25" s="134">
        <v>60</v>
      </c>
      <c r="I25" s="134">
        <v>54</v>
      </c>
      <c r="J25" s="139">
        <f>+G25/F25</f>
        <v>0.1</v>
      </c>
      <c r="K25" s="139">
        <f t="shared" si="2"/>
        <v>0.3</v>
      </c>
      <c r="L25" s="139">
        <f t="shared" si="3"/>
        <v>0.27</v>
      </c>
      <c r="M25" s="139">
        <f>+(G25/F25)*E25</f>
        <v>2.0000000000000004E-2</v>
      </c>
      <c r="N25" s="139">
        <f t="shared" si="5"/>
        <v>0.06</v>
      </c>
      <c r="O25" s="139"/>
      <c r="P25" s="134">
        <v>25</v>
      </c>
      <c r="Q25" s="496">
        <v>0</v>
      </c>
      <c r="R25" s="496">
        <v>55</v>
      </c>
      <c r="S25" s="496">
        <v>60</v>
      </c>
      <c r="T25" s="496">
        <v>6</v>
      </c>
      <c r="U25" s="496">
        <v>0</v>
      </c>
      <c r="V25" s="134">
        <f t="shared" si="6"/>
        <v>121</v>
      </c>
      <c r="W25" s="134">
        <f t="shared" si="12"/>
        <v>168</v>
      </c>
      <c r="X25" s="496">
        <v>5</v>
      </c>
      <c r="Y25" s="1154">
        <v>17</v>
      </c>
      <c r="Z25" s="134"/>
      <c r="AA25" s="134"/>
      <c r="AB25" s="134">
        <f t="shared" si="7"/>
        <v>22</v>
      </c>
      <c r="AC25" s="156">
        <v>1</v>
      </c>
      <c r="AD25" s="156">
        <v>1</v>
      </c>
      <c r="AE25" s="156">
        <f t="shared" si="19"/>
        <v>0.40740740740740738</v>
      </c>
      <c r="AF25" s="156">
        <f>+AC25*E25</f>
        <v>0.2</v>
      </c>
      <c r="AG25" s="156">
        <f>+AD25*E25</f>
        <v>0.2</v>
      </c>
      <c r="AH25" s="156">
        <f t="shared" si="20"/>
        <v>8.1481481481481488E-2</v>
      </c>
      <c r="AI25" s="156">
        <f>+P25/F25</f>
        <v>0.125</v>
      </c>
      <c r="AJ25" s="190">
        <v>0.73</v>
      </c>
      <c r="AK25" s="190">
        <f t="shared" si="10"/>
        <v>0.84</v>
      </c>
      <c r="AL25" s="190">
        <f>+AI25*E25</f>
        <v>2.5000000000000001E-2</v>
      </c>
      <c r="AM25" s="190">
        <f>+AJ25*E25</f>
        <v>0.14599999999999999</v>
      </c>
      <c r="AN25" s="190">
        <f t="shared" si="11"/>
        <v>0.16800000000000001</v>
      </c>
      <c r="AO25" s="521" t="s">
        <v>1844</v>
      </c>
      <c r="AP25" s="522" t="s">
        <v>1886</v>
      </c>
      <c r="AQ25" s="522" t="s">
        <v>1990</v>
      </c>
      <c r="AR25" s="522" t="s">
        <v>2010</v>
      </c>
      <c r="AS25" s="523" t="s">
        <v>2118</v>
      </c>
      <c r="AT25" s="985" t="s">
        <v>2140</v>
      </c>
      <c r="AU25" s="522" t="s">
        <v>2199</v>
      </c>
      <c r="AV25" s="522" t="s">
        <v>1887</v>
      </c>
      <c r="AW25" s="522" t="s">
        <v>2294</v>
      </c>
    </row>
    <row r="26" spans="1:49" ht="62.25" customHeight="1" thickBot="1" x14ac:dyDescent="0.4">
      <c r="A26" s="119"/>
      <c r="B26" s="1374" t="s">
        <v>1801</v>
      </c>
      <c r="C26" s="1412"/>
      <c r="D26" s="191"/>
      <c r="E26" s="194">
        <v>0.05</v>
      </c>
      <c r="F26" s="122">
        <f>+E26*AF26</f>
        <v>3.4375000000000003E-2</v>
      </c>
      <c r="G26" s="127"/>
      <c r="H26" s="123">
        <f>+E26*AG26</f>
        <v>1.3750000000000002E-2</v>
      </c>
      <c r="I26" s="123">
        <f>+E26*AH26</f>
        <v>3.3503263707571805E-2</v>
      </c>
      <c r="J26" s="125">
        <f>+(J27+J33)/2</f>
        <v>0.15714285714285714</v>
      </c>
      <c r="K26" s="125">
        <f>+(K27+K33)/2</f>
        <v>0.12238095238095237</v>
      </c>
      <c r="L26" s="125">
        <f>+(L27+L33)/2</f>
        <v>0.20559523809523811</v>
      </c>
      <c r="M26" s="126">
        <f>+(M27+M33)/2</f>
        <v>0.24285714285714285</v>
      </c>
      <c r="N26" s="126">
        <f>+(N27+N33)/2</f>
        <v>0.20867857142857144</v>
      </c>
      <c r="O26" s="126"/>
      <c r="P26" s="127"/>
      <c r="Q26" s="127"/>
      <c r="R26" s="127"/>
      <c r="S26" s="127"/>
      <c r="T26" s="127"/>
      <c r="U26" s="127"/>
      <c r="V26" s="819"/>
      <c r="W26" s="127"/>
      <c r="X26" s="127"/>
      <c r="Y26" s="127"/>
      <c r="Z26" s="127"/>
      <c r="AA26" s="127"/>
      <c r="AB26" s="127"/>
      <c r="AC26" s="125">
        <f>+(AC27+AC33)/2</f>
        <v>1</v>
      </c>
      <c r="AD26" s="125">
        <f>+(AD27+AD33)/2</f>
        <v>0.875</v>
      </c>
      <c r="AE26" s="125">
        <f>+(AE27+AE33)/2</f>
        <v>0.45021758050478677</v>
      </c>
      <c r="AF26" s="126">
        <f>+AF27+AF33</f>
        <v>0.6875</v>
      </c>
      <c r="AG26" s="126">
        <f>+AG27+AG33</f>
        <v>0.27500000000000002</v>
      </c>
      <c r="AH26" s="126">
        <f>+AH27+AH33</f>
        <v>0.67006527415143613</v>
      </c>
      <c r="AI26" s="125">
        <f>(AI27+AI33)/2</f>
        <v>0.16672619047619047</v>
      </c>
      <c r="AJ26" s="125">
        <v>0.40500089285714286</v>
      </c>
      <c r="AK26" s="125">
        <f>(AK27+AK33)/2</f>
        <v>0.53166071428571438</v>
      </c>
      <c r="AL26" s="181">
        <f>+AL27+AL33</f>
        <v>0.31105357142857143</v>
      </c>
      <c r="AM26" s="181">
        <f>+AM27*E27+AM33*E33</f>
        <v>0.4337455357142857</v>
      </c>
      <c r="AN26" s="181">
        <f>+AN27*E27+AN33*E33</f>
        <v>0.74857142857142855</v>
      </c>
      <c r="AO26" s="769"/>
      <c r="AP26" s="490"/>
      <c r="AQ26" s="490"/>
      <c r="AR26" s="490"/>
      <c r="AS26" s="490"/>
      <c r="AT26" s="984"/>
      <c r="AU26" s="490"/>
      <c r="AV26" s="490"/>
    </row>
    <row r="27" spans="1:49" ht="86.25" customHeight="1" thickBot="1" x14ac:dyDescent="0.4">
      <c r="A27" s="119"/>
      <c r="B27" s="1376" t="s">
        <v>1722</v>
      </c>
      <c r="C27" s="1412"/>
      <c r="D27" s="191"/>
      <c r="E27" s="192">
        <v>0.75</v>
      </c>
      <c r="F27" s="186"/>
      <c r="G27" s="127"/>
      <c r="H27" s="127"/>
      <c r="I27" s="127"/>
      <c r="J27" s="133">
        <f>+AVERAGE(J28:J32)*0.2</f>
        <v>0.1</v>
      </c>
      <c r="K27" s="133">
        <f>+AVERAGE(K28:K32)*0.2</f>
        <v>6.9999999999999993E-2</v>
      </c>
      <c r="L27" s="133">
        <f>+AVERAGE(L28:L32)*0.2</f>
        <v>6.9999999999999993E-2</v>
      </c>
      <c r="M27" s="133">
        <f>+M28+M29+M30+M31+M32</f>
        <v>0.375</v>
      </c>
      <c r="N27" s="133">
        <f>+N28+N29+N30+N31+N32</f>
        <v>0.28749999999999998</v>
      </c>
      <c r="O27" s="133"/>
      <c r="P27" s="132"/>
      <c r="Q27" s="132"/>
      <c r="R27" s="132"/>
      <c r="S27" s="132"/>
      <c r="T27" s="132"/>
      <c r="U27" s="132"/>
      <c r="V27" s="134"/>
      <c r="W27" s="132"/>
      <c r="X27" s="132"/>
      <c r="Y27" s="132"/>
      <c r="Z27" s="132"/>
      <c r="AA27" s="132"/>
      <c r="AB27" s="132"/>
      <c r="AC27" s="154">
        <f>+AVERAGE(AC28:AC32)</f>
        <v>1</v>
      </c>
      <c r="AD27" s="154">
        <f>+AVERAGE(AD28:AD32)</f>
        <v>0.75</v>
      </c>
      <c r="AE27" s="154">
        <f>+AVERAGE(AE28:AE32)</f>
        <v>0.39999999999999997</v>
      </c>
      <c r="AF27" s="154">
        <f>+(AF28+AF29+AF30+AF31+AF32)*E27</f>
        <v>0.5625</v>
      </c>
      <c r="AG27" s="154">
        <f>+(AG28+AG29+AG30+AG31+AG32)*E27</f>
        <v>0.15000000000000002</v>
      </c>
      <c r="AH27" s="154">
        <f>+(AH28+AH29+AH30+AH31+AH32)*E27</f>
        <v>0.57000000000000006</v>
      </c>
      <c r="AI27" s="133">
        <f>+AVERAGE(AI28:AI32)*0.2</f>
        <v>0.1</v>
      </c>
      <c r="AJ27" s="133">
        <v>0.38</v>
      </c>
      <c r="AK27" s="133">
        <f>+AVERAGE(AK28:AK32)</f>
        <v>0.52</v>
      </c>
      <c r="AL27" s="183">
        <f>+(AL28+AL29+AL30+AL31+AL32)*E27</f>
        <v>0.28125</v>
      </c>
      <c r="AM27" s="183">
        <f>+(AM28+AM29+AM30+AM31+AM32)</f>
        <v>0.46499999999999997</v>
      </c>
      <c r="AN27" s="183">
        <f>+(AN28+AN29+AN30+AN31+AN32)</f>
        <v>0.85499999999999998</v>
      </c>
      <c r="AO27" s="770"/>
      <c r="AP27" s="490"/>
      <c r="AQ27" s="490"/>
      <c r="AR27" s="490"/>
      <c r="AS27" s="490"/>
      <c r="AT27" s="984"/>
      <c r="AU27" s="490"/>
      <c r="AV27" s="490"/>
    </row>
    <row r="28" spans="1:49" ht="94.95" customHeight="1" thickBot="1" x14ac:dyDescent="0.4">
      <c r="A28" s="119"/>
      <c r="B28" s="1378" t="s">
        <v>821</v>
      </c>
      <c r="C28" s="1404" t="s">
        <v>1281</v>
      </c>
      <c r="D28" s="184" t="s">
        <v>560</v>
      </c>
      <c r="E28" s="188">
        <v>0.1</v>
      </c>
      <c r="F28" s="186">
        <v>1</v>
      </c>
      <c r="G28" s="134">
        <v>0</v>
      </c>
      <c r="H28" s="134">
        <v>0.5</v>
      </c>
      <c r="I28" s="134">
        <v>0.5</v>
      </c>
      <c r="J28" s="139"/>
      <c r="K28" s="139">
        <f>+H28/F28</f>
        <v>0.5</v>
      </c>
      <c r="L28" s="139">
        <f>+I28/F28</f>
        <v>0.5</v>
      </c>
      <c r="M28" s="139"/>
      <c r="N28" s="139">
        <f t="shared" ref="N28:N32" si="21">+(H28/F28)*E28</f>
        <v>0.05</v>
      </c>
      <c r="O28" s="139"/>
      <c r="P28" s="134"/>
      <c r="Q28" s="496">
        <v>0</v>
      </c>
      <c r="R28" s="496">
        <v>0.1</v>
      </c>
      <c r="S28" s="496">
        <v>0.05</v>
      </c>
      <c r="T28" s="496">
        <v>0.2</v>
      </c>
      <c r="U28" s="496">
        <v>0.15</v>
      </c>
      <c r="V28" s="134">
        <f t="shared" si="6"/>
        <v>0.5</v>
      </c>
      <c r="W28" s="134">
        <f>+V28+P28+AB28</f>
        <v>0.5</v>
      </c>
      <c r="X28" s="496">
        <v>0</v>
      </c>
      <c r="Y28" s="496">
        <v>0</v>
      </c>
      <c r="Z28" s="134"/>
      <c r="AA28" s="134"/>
      <c r="AB28" s="134">
        <f t="shared" ref="AB28:AB32" si="22">+X28+Y28+Z28+AA28</f>
        <v>0</v>
      </c>
      <c r="AC28" s="156"/>
      <c r="AD28" s="156">
        <f>+V28/H28</f>
        <v>1</v>
      </c>
      <c r="AE28" s="156"/>
      <c r="AF28" s="156"/>
      <c r="AG28" s="156">
        <f>+AD28*E28</f>
        <v>0.1</v>
      </c>
      <c r="AH28" s="156">
        <f t="shared" ref="AH28:AH36" si="23">+AE28*E28</f>
        <v>0</v>
      </c>
      <c r="AI28" s="156"/>
      <c r="AJ28" s="190">
        <v>0.4</v>
      </c>
      <c r="AK28" s="190">
        <f t="shared" ref="AK28:AK35" si="24">+W28/F28</f>
        <v>0.5</v>
      </c>
      <c r="AL28" s="211">
        <v>0</v>
      </c>
      <c r="AM28" s="211">
        <f>+AJ28*E28</f>
        <v>4.0000000000000008E-2</v>
      </c>
      <c r="AN28" s="211">
        <f t="shared" ref="AN28:AN36" si="25">+AK28*E28</f>
        <v>0.05</v>
      </c>
      <c r="AO28" s="521" t="s">
        <v>1844</v>
      </c>
      <c r="AP28" s="599" t="s">
        <v>1913</v>
      </c>
      <c r="AQ28" s="599" t="s">
        <v>2000</v>
      </c>
      <c r="AR28" s="522" t="s">
        <v>2010</v>
      </c>
      <c r="AS28" s="641" t="s">
        <v>2087</v>
      </c>
      <c r="AT28" s="985" t="s">
        <v>2140</v>
      </c>
      <c r="AU28" s="522" t="s">
        <v>2199</v>
      </c>
      <c r="AV28" s="522" t="s">
        <v>1887</v>
      </c>
      <c r="AW28" s="522" t="s">
        <v>2294</v>
      </c>
    </row>
    <row r="29" spans="1:49" ht="105.6" customHeight="1" thickBot="1" x14ac:dyDescent="0.4">
      <c r="A29" s="119"/>
      <c r="B29" s="1378" t="s">
        <v>822</v>
      </c>
      <c r="C29" s="1404" t="s">
        <v>1282</v>
      </c>
      <c r="D29" s="184" t="s">
        <v>560</v>
      </c>
      <c r="E29" s="188">
        <v>0.05</v>
      </c>
      <c r="F29" s="186">
        <v>2</v>
      </c>
      <c r="G29" s="134">
        <v>0</v>
      </c>
      <c r="H29" s="134">
        <v>1</v>
      </c>
      <c r="I29" s="134">
        <v>1</v>
      </c>
      <c r="J29" s="139"/>
      <c r="K29" s="139">
        <f t="shared" ref="K29:K32" si="26">+H29/F29</f>
        <v>0.5</v>
      </c>
      <c r="L29" s="139">
        <f t="shared" ref="L29:L36" si="27">+I29/F29</f>
        <v>0.5</v>
      </c>
      <c r="M29" s="139"/>
      <c r="N29" s="139">
        <f t="shared" si="21"/>
        <v>2.5000000000000001E-2</v>
      </c>
      <c r="O29" s="139"/>
      <c r="P29" s="134"/>
      <c r="Q29" s="496">
        <v>0</v>
      </c>
      <c r="R29" s="496">
        <v>1</v>
      </c>
      <c r="S29" s="496">
        <v>0</v>
      </c>
      <c r="T29" s="496">
        <v>0</v>
      </c>
      <c r="U29" s="496">
        <v>0</v>
      </c>
      <c r="V29" s="134">
        <f t="shared" si="6"/>
        <v>1</v>
      </c>
      <c r="W29" s="134">
        <f t="shared" ref="W29:W35" si="28">+V29+P29+AB29</f>
        <v>1.2</v>
      </c>
      <c r="X29" s="496">
        <v>0.05</v>
      </c>
      <c r="Y29" s="496">
        <v>0.15</v>
      </c>
      <c r="Z29" s="134"/>
      <c r="AA29" s="134"/>
      <c r="AB29" s="134">
        <f t="shared" si="22"/>
        <v>0.2</v>
      </c>
      <c r="AC29" s="156"/>
      <c r="AD29" s="156">
        <f>+V29/H29</f>
        <v>1</v>
      </c>
      <c r="AE29" s="156">
        <f t="shared" ref="AE29:AE34" si="29">+AB29/I29</f>
        <v>0.2</v>
      </c>
      <c r="AF29" s="156"/>
      <c r="AG29" s="156">
        <f>+AD29*E29</f>
        <v>0.05</v>
      </c>
      <c r="AH29" s="156">
        <f t="shared" si="23"/>
        <v>1.0000000000000002E-2</v>
      </c>
      <c r="AI29" s="156"/>
      <c r="AJ29" s="190">
        <v>0.5</v>
      </c>
      <c r="AK29" s="190">
        <f t="shared" si="24"/>
        <v>0.6</v>
      </c>
      <c r="AL29" s="211">
        <v>0</v>
      </c>
      <c r="AM29" s="211">
        <f>+AJ29*E29</f>
        <v>2.5000000000000001E-2</v>
      </c>
      <c r="AN29" s="211">
        <f t="shared" si="25"/>
        <v>0.03</v>
      </c>
      <c r="AO29" s="521" t="s">
        <v>1844</v>
      </c>
      <c r="AP29" s="599" t="s">
        <v>1913</v>
      </c>
      <c r="AQ29" s="599" t="s">
        <v>2001</v>
      </c>
      <c r="AR29" s="522" t="s">
        <v>2010</v>
      </c>
      <c r="AS29" s="641" t="s">
        <v>2087</v>
      </c>
      <c r="AT29" s="985" t="s">
        <v>2140</v>
      </c>
      <c r="AU29" s="522" t="s">
        <v>2199</v>
      </c>
      <c r="AV29" s="522" t="s">
        <v>1887</v>
      </c>
      <c r="AW29" s="522" t="s">
        <v>2294</v>
      </c>
    </row>
    <row r="30" spans="1:49" ht="81.599999999999994" customHeight="1" thickBot="1" x14ac:dyDescent="0.4">
      <c r="A30" s="119"/>
      <c r="B30" s="1378" t="s">
        <v>823</v>
      </c>
      <c r="C30" s="1404" t="s">
        <v>1283</v>
      </c>
      <c r="D30" s="184" t="s">
        <v>560</v>
      </c>
      <c r="E30" s="188">
        <v>0.05</v>
      </c>
      <c r="F30" s="186">
        <v>1</v>
      </c>
      <c r="G30" s="134">
        <v>0</v>
      </c>
      <c r="H30" s="134">
        <v>0.5</v>
      </c>
      <c r="I30" s="134">
        <v>0.5</v>
      </c>
      <c r="J30" s="139"/>
      <c r="K30" s="139">
        <f t="shared" si="26"/>
        <v>0.5</v>
      </c>
      <c r="L30" s="139">
        <f t="shared" si="27"/>
        <v>0.5</v>
      </c>
      <c r="M30" s="139"/>
      <c r="N30" s="139">
        <f t="shared" si="21"/>
        <v>2.5000000000000001E-2</v>
      </c>
      <c r="O30" s="139"/>
      <c r="P30" s="134"/>
      <c r="Q30" s="496">
        <v>0</v>
      </c>
      <c r="R30" s="496">
        <v>0.1</v>
      </c>
      <c r="S30" s="496">
        <v>0</v>
      </c>
      <c r="T30" s="496">
        <v>0.4</v>
      </c>
      <c r="U30" s="496">
        <v>0</v>
      </c>
      <c r="V30" s="134">
        <f t="shared" si="6"/>
        <v>0.5</v>
      </c>
      <c r="W30" s="134">
        <f t="shared" si="28"/>
        <v>0.5</v>
      </c>
      <c r="X30" s="496">
        <v>0</v>
      </c>
      <c r="Y30" s="496">
        <v>0</v>
      </c>
      <c r="Z30" s="134"/>
      <c r="AA30" s="134"/>
      <c r="AB30" s="134">
        <f t="shared" si="22"/>
        <v>0</v>
      </c>
      <c r="AC30" s="156"/>
      <c r="AD30" s="156">
        <f>+V30/H30</f>
        <v>1</v>
      </c>
      <c r="AE30" s="156">
        <f t="shared" si="29"/>
        <v>0</v>
      </c>
      <c r="AF30" s="156"/>
      <c r="AG30" s="156">
        <f>+AD30*E30</f>
        <v>0.05</v>
      </c>
      <c r="AH30" s="156">
        <f t="shared" si="23"/>
        <v>0</v>
      </c>
      <c r="AI30" s="156"/>
      <c r="AJ30" s="190">
        <v>0.5</v>
      </c>
      <c r="AK30" s="190">
        <f t="shared" si="24"/>
        <v>0.5</v>
      </c>
      <c r="AL30" s="211">
        <v>0</v>
      </c>
      <c r="AM30" s="211">
        <f>+AJ30*E30</f>
        <v>2.5000000000000001E-2</v>
      </c>
      <c r="AN30" s="211">
        <f t="shared" si="25"/>
        <v>2.5000000000000001E-2</v>
      </c>
      <c r="AO30" s="521" t="s">
        <v>1844</v>
      </c>
      <c r="AP30" s="599" t="s">
        <v>1913</v>
      </c>
      <c r="AQ30" s="599" t="s">
        <v>2002</v>
      </c>
      <c r="AR30" s="522" t="s">
        <v>2010</v>
      </c>
      <c r="AS30" s="641" t="s">
        <v>2087</v>
      </c>
      <c r="AT30" s="985" t="s">
        <v>2140</v>
      </c>
      <c r="AU30" s="522" t="s">
        <v>2199</v>
      </c>
      <c r="AV30" s="522" t="s">
        <v>1887</v>
      </c>
      <c r="AW30" s="522" t="s">
        <v>2294</v>
      </c>
    </row>
    <row r="31" spans="1:49" ht="92.4" customHeight="1" thickBot="1" x14ac:dyDescent="0.4">
      <c r="A31" s="119"/>
      <c r="B31" s="1378" t="s">
        <v>824</v>
      </c>
      <c r="C31" s="1404" t="s">
        <v>1284</v>
      </c>
      <c r="D31" s="184" t="s">
        <v>825</v>
      </c>
      <c r="E31" s="188">
        <v>0.75</v>
      </c>
      <c r="F31" s="186">
        <v>8</v>
      </c>
      <c r="G31" s="134">
        <v>4</v>
      </c>
      <c r="H31" s="134">
        <v>2</v>
      </c>
      <c r="I31" s="134">
        <v>2</v>
      </c>
      <c r="J31" s="139">
        <f>+G31/F31</f>
        <v>0.5</v>
      </c>
      <c r="K31" s="139">
        <f t="shared" si="26"/>
        <v>0.25</v>
      </c>
      <c r="L31" s="139">
        <f t="shared" si="27"/>
        <v>0.25</v>
      </c>
      <c r="M31" s="139">
        <f>+(G31/F31)*E31</f>
        <v>0.375</v>
      </c>
      <c r="N31" s="139">
        <f t="shared" si="21"/>
        <v>0.1875</v>
      </c>
      <c r="O31" s="139"/>
      <c r="P31" s="134">
        <v>4</v>
      </c>
      <c r="Q31" s="496">
        <v>0</v>
      </c>
      <c r="R31" s="496">
        <v>0</v>
      </c>
      <c r="S31" s="496">
        <v>0</v>
      </c>
      <c r="T31" s="496">
        <v>0</v>
      </c>
      <c r="U31" s="496">
        <v>0</v>
      </c>
      <c r="V31" s="134">
        <f t="shared" si="6"/>
        <v>0</v>
      </c>
      <c r="W31" s="134">
        <f t="shared" si="28"/>
        <v>16</v>
      </c>
      <c r="X31" s="496">
        <v>12</v>
      </c>
      <c r="Y31" s="496">
        <v>0</v>
      </c>
      <c r="Z31" s="134"/>
      <c r="AA31" s="134"/>
      <c r="AB31" s="134">
        <f t="shared" si="22"/>
        <v>12</v>
      </c>
      <c r="AC31" s="156">
        <v>1</v>
      </c>
      <c r="AD31" s="156">
        <f>+V31/H31</f>
        <v>0</v>
      </c>
      <c r="AE31" s="156">
        <v>1</v>
      </c>
      <c r="AF31" s="156">
        <f>+AC31*E31</f>
        <v>0.75</v>
      </c>
      <c r="AG31" s="156">
        <f>+AD31*E31</f>
        <v>0</v>
      </c>
      <c r="AH31" s="156">
        <f t="shared" si="23"/>
        <v>0.75</v>
      </c>
      <c r="AI31" s="156">
        <f>+P31/F31</f>
        <v>0.5</v>
      </c>
      <c r="AJ31" s="190">
        <v>0.5</v>
      </c>
      <c r="AK31" s="190">
        <v>1</v>
      </c>
      <c r="AL31" s="211">
        <f>+AI31*E31</f>
        <v>0.375</v>
      </c>
      <c r="AM31" s="211">
        <f>+AJ31*E31</f>
        <v>0.375</v>
      </c>
      <c r="AN31" s="211">
        <f t="shared" si="25"/>
        <v>0.75</v>
      </c>
      <c r="AO31" s="521" t="s">
        <v>1844</v>
      </c>
      <c r="AP31" s="522" t="s">
        <v>1886</v>
      </c>
      <c r="AQ31" s="522" t="s">
        <v>1990</v>
      </c>
      <c r="AR31" s="522" t="s">
        <v>2010</v>
      </c>
      <c r="AS31" s="526" t="s">
        <v>2108</v>
      </c>
      <c r="AT31" s="985" t="s">
        <v>2140</v>
      </c>
      <c r="AU31" s="522" t="s">
        <v>2199</v>
      </c>
      <c r="AV31" s="522" t="s">
        <v>1887</v>
      </c>
      <c r="AW31" s="522" t="s">
        <v>2294</v>
      </c>
    </row>
    <row r="32" spans="1:49" ht="97.95" customHeight="1" thickBot="1" x14ac:dyDescent="0.4">
      <c r="A32" s="119"/>
      <c r="B32" s="1378" t="s">
        <v>826</v>
      </c>
      <c r="C32" s="1404" t="s">
        <v>1285</v>
      </c>
      <c r="D32" s="184" t="s">
        <v>560</v>
      </c>
      <c r="E32" s="188">
        <v>0.05</v>
      </c>
      <c r="F32" s="186">
        <v>1</v>
      </c>
      <c r="G32" s="134">
        <v>0</v>
      </c>
      <c r="H32" s="134">
        <v>0</v>
      </c>
      <c r="I32" s="134"/>
      <c r="J32" s="139"/>
      <c r="K32" s="139">
        <f t="shared" si="26"/>
        <v>0</v>
      </c>
      <c r="L32" s="139">
        <f t="shared" si="27"/>
        <v>0</v>
      </c>
      <c r="M32" s="139"/>
      <c r="N32" s="139">
        <f t="shared" si="21"/>
        <v>0</v>
      </c>
      <c r="O32" s="139"/>
      <c r="P32" s="134"/>
      <c r="Q32" s="496"/>
      <c r="R32" s="134"/>
      <c r="S32" s="134"/>
      <c r="T32" s="134"/>
      <c r="U32" s="134"/>
      <c r="V32" s="134">
        <f t="shared" si="6"/>
        <v>0</v>
      </c>
      <c r="W32" s="134">
        <f t="shared" si="28"/>
        <v>0</v>
      </c>
      <c r="X32" s="134"/>
      <c r="Y32" s="134"/>
      <c r="Z32" s="134"/>
      <c r="AA32" s="134"/>
      <c r="AB32" s="134">
        <f t="shared" si="22"/>
        <v>0</v>
      </c>
      <c r="AC32" s="156"/>
      <c r="AD32" s="156"/>
      <c r="AE32" s="156"/>
      <c r="AF32" s="156"/>
      <c r="AG32" s="156"/>
      <c r="AH32" s="156">
        <f t="shared" si="23"/>
        <v>0</v>
      </c>
      <c r="AI32" s="156"/>
      <c r="AJ32" s="190">
        <v>0</v>
      </c>
      <c r="AK32" s="190">
        <f t="shared" si="24"/>
        <v>0</v>
      </c>
      <c r="AL32" s="211">
        <v>0</v>
      </c>
      <c r="AM32" s="211">
        <f>+AJ32*E32</f>
        <v>0</v>
      </c>
      <c r="AN32" s="211">
        <f t="shared" si="25"/>
        <v>0</v>
      </c>
      <c r="AO32" s="521" t="s">
        <v>1844</v>
      </c>
      <c r="AP32" s="495" t="s">
        <v>1896</v>
      </c>
      <c r="AQ32" s="522" t="s">
        <v>1990</v>
      </c>
      <c r="AR32" s="495" t="s">
        <v>1896</v>
      </c>
      <c r="AS32" s="495" t="s">
        <v>1896</v>
      </c>
      <c r="AT32" s="986" t="s">
        <v>1859</v>
      </c>
      <c r="AU32" s="495" t="s">
        <v>1896</v>
      </c>
      <c r="AV32" s="495" t="s">
        <v>1896</v>
      </c>
    </row>
    <row r="33" spans="1:49" ht="70.95" customHeight="1" thickBot="1" x14ac:dyDescent="0.4">
      <c r="A33" s="119"/>
      <c r="B33" s="1376" t="s">
        <v>1723</v>
      </c>
      <c r="C33" s="1412"/>
      <c r="D33" s="191"/>
      <c r="E33" s="192">
        <v>0.25</v>
      </c>
      <c r="F33" s="186"/>
      <c r="G33" s="127"/>
      <c r="H33" s="127"/>
      <c r="I33" s="127"/>
      <c r="J33" s="133">
        <f>+AVERAGE(J34:J36)</f>
        <v>0.2142857142857143</v>
      </c>
      <c r="K33" s="133">
        <f>+AVERAGE(K34:K36)</f>
        <v>0.17476190476190476</v>
      </c>
      <c r="L33" s="133">
        <f>+AVERAGE(L34:L36)</f>
        <v>0.34119047619047621</v>
      </c>
      <c r="M33" s="133">
        <f>+M34+M35+M36</f>
        <v>0.11071428571428571</v>
      </c>
      <c r="N33" s="133">
        <f>+N34+N35+N36</f>
        <v>0.12985714285714287</v>
      </c>
      <c r="O33" s="133"/>
      <c r="P33" s="132"/>
      <c r="Q33" s="132"/>
      <c r="R33" s="132"/>
      <c r="S33" s="132"/>
      <c r="T33" s="132"/>
      <c r="U33" s="132"/>
      <c r="V33" s="134"/>
      <c r="W33" s="134"/>
      <c r="X33" s="132"/>
      <c r="Y33" s="132"/>
      <c r="Z33" s="132"/>
      <c r="AA33" s="132"/>
      <c r="AB33" s="132"/>
      <c r="AC33" s="154">
        <f>+AVERAGE(AC34:AC36)</f>
        <v>1</v>
      </c>
      <c r="AD33" s="154">
        <f>+AVERAGE(AD34:AD36)</f>
        <v>1</v>
      </c>
      <c r="AE33" s="154">
        <f>+AVERAGE(AE34:AE36)</f>
        <v>0.50043516100957353</v>
      </c>
      <c r="AF33" s="154">
        <f>+(AF34+AF35+AF36)*E33</f>
        <v>0.125</v>
      </c>
      <c r="AG33" s="154">
        <f>+(AG34+AG35+AG36)*E33</f>
        <v>0.125</v>
      </c>
      <c r="AH33" s="154">
        <f>+(AH34+AH35+AH36)*E33</f>
        <v>0.10006527415143603</v>
      </c>
      <c r="AI33" s="133">
        <f>+AVERAGE(AI34:AI36)</f>
        <v>0.23345238095238097</v>
      </c>
      <c r="AJ33" s="133">
        <v>0.43000178571428571</v>
      </c>
      <c r="AK33" s="133">
        <f>+(AK34*0.33)+(AK36*0.33)</f>
        <v>0.54332142857142862</v>
      </c>
      <c r="AL33" s="183">
        <f>+(AL34+AL35+AL36)*E33</f>
        <v>2.9803571428571429E-2</v>
      </c>
      <c r="AM33" s="183">
        <f>+(AM34+AM35+AM36)</f>
        <v>0.33998214285714284</v>
      </c>
      <c r="AN33" s="183">
        <f>+(AN34+AN35+AN36)</f>
        <v>0.42928571428571427</v>
      </c>
      <c r="AO33" s="770"/>
      <c r="AP33" s="490"/>
      <c r="AQ33" s="490"/>
      <c r="AR33" s="490"/>
      <c r="AS33" s="490"/>
      <c r="AT33" s="984"/>
      <c r="AU33" s="490"/>
      <c r="AV33" s="490"/>
    </row>
    <row r="34" spans="1:49" ht="87.6" customHeight="1" thickBot="1" x14ac:dyDescent="0.4">
      <c r="A34" s="119"/>
      <c r="B34" s="1378" t="s">
        <v>827</v>
      </c>
      <c r="C34" s="1404" t="s">
        <v>1286</v>
      </c>
      <c r="D34" s="184" t="s">
        <v>560</v>
      </c>
      <c r="E34" s="188">
        <v>0.2</v>
      </c>
      <c r="F34" s="186">
        <v>2800</v>
      </c>
      <c r="G34" s="134">
        <v>500</v>
      </c>
      <c r="H34" s="134">
        <v>768</v>
      </c>
      <c r="I34" s="134">
        <v>766</v>
      </c>
      <c r="J34" s="139">
        <f>+G34/F34</f>
        <v>0.17857142857142858</v>
      </c>
      <c r="K34" s="139">
        <f t="shared" ref="K34:K36" si="30">+H34/F34</f>
        <v>0.2742857142857143</v>
      </c>
      <c r="L34" s="139">
        <f>+I34/F34</f>
        <v>0.27357142857142858</v>
      </c>
      <c r="M34" s="139">
        <f>+(G34/F34)*E34</f>
        <v>3.5714285714285719E-2</v>
      </c>
      <c r="N34" s="139">
        <f t="shared" ref="N34:N36" si="31">+(H34/F34)*E34</f>
        <v>5.4857142857142861E-2</v>
      </c>
      <c r="O34" s="139"/>
      <c r="P34" s="195">
        <v>584</v>
      </c>
      <c r="Q34" s="496">
        <v>67</v>
      </c>
      <c r="R34" s="496">
        <v>318</v>
      </c>
      <c r="S34" s="496">
        <v>316</v>
      </c>
      <c r="T34" s="496">
        <v>141</v>
      </c>
      <c r="U34" s="496">
        <v>0</v>
      </c>
      <c r="V34" s="195">
        <f t="shared" si="6"/>
        <v>842</v>
      </c>
      <c r="W34" s="134">
        <f>+V34+P34+AB34</f>
        <v>1810</v>
      </c>
      <c r="X34" s="496">
        <v>77</v>
      </c>
      <c r="Y34" s="496">
        <v>307</v>
      </c>
      <c r="Z34" s="195"/>
      <c r="AA34" s="195"/>
      <c r="AB34" s="195">
        <f t="shared" ref="AB34:AB36" si="32">+X34+Y34+Z34+AA34</f>
        <v>384</v>
      </c>
      <c r="AC34" s="156">
        <v>1</v>
      </c>
      <c r="AD34" s="156">
        <v>1</v>
      </c>
      <c r="AE34" s="156">
        <f t="shared" si="29"/>
        <v>0.50130548302872058</v>
      </c>
      <c r="AF34" s="156">
        <f>+AC34*E34</f>
        <v>0.2</v>
      </c>
      <c r="AG34" s="156">
        <f>+AD34*E34</f>
        <v>0.2</v>
      </c>
      <c r="AH34" s="156">
        <f t="shared" si="23"/>
        <v>0.10026109660574412</v>
      </c>
      <c r="AI34" s="156">
        <f>+P34/F34</f>
        <v>0.20857142857142857</v>
      </c>
      <c r="AJ34" s="190">
        <v>0.50928571428571423</v>
      </c>
      <c r="AK34" s="190">
        <f t="shared" si="24"/>
        <v>0.64642857142857146</v>
      </c>
      <c r="AL34" s="190">
        <f>+AI34*E34</f>
        <v>4.1714285714285718E-2</v>
      </c>
      <c r="AM34" s="190">
        <f>+AJ34*E34</f>
        <v>0.10185714285714285</v>
      </c>
      <c r="AN34" s="190">
        <f t="shared" si="25"/>
        <v>0.12928571428571431</v>
      </c>
      <c r="AO34" s="521" t="s">
        <v>1844</v>
      </c>
      <c r="AP34" s="522" t="s">
        <v>1886</v>
      </c>
      <c r="AQ34" s="522" t="s">
        <v>1990</v>
      </c>
      <c r="AR34" s="522" t="s">
        <v>2010</v>
      </c>
      <c r="AS34" s="526" t="s">
        <v>2108</v>
      </c>
      <c r="AT34" s="985" t="s">
        <v>2140</v>
      </c>
      <c r="AU34" s="522" t="s">
        <v>2199</v>
      </c>
      <c r="AV34" s="522" t="s">
        <v>1887</v>
      </c>
      <c r="AW34" s="522" t="s">
        <v>2294</v>
      </c>
    </row>
    <row r="35" spans="1:49" ht="98.4" customHeight="1" thickBot="1" x14ac:dyDescent="0.4">
      <c r="A35" s="119"/>
      <c r="B35" s="1378" t="s">
        <v>828</v>
      </c>
      <c r="C35" s="1404" t="s">
        <v>1287</v>
      </c>
      <c r="D35" s="184" t="s">
        <v>560</v>
      </c>
      <c r="E35" s="188">
        <v>0.5</v>
      </c>
      <c r="F35" s="186">
        <v>6</v>
      </c>
      <c r="G35" s="134">
        <v>0</v>
      </c>
      <c r="H35" s="134">
        <v>0</v>
      </c>
      <c r="I35" s="134">
        <v>3</v>
      </c>
      <c r="J35" s="139"/>
      <c r="K35" s="139">
        <f t="shared" si="30"/>
        <v>0</v>
      </c>
      <c r="L35" s="139">
        <f t="shared" si="27"/>
        <v>0.5</v>
      </c>
      <c r="M35" s="139"/>
      <c r="N35" s="139">
        <f t="shared" si="31"/>
        <v>0</v>
      </c>
      <c r="O35" s="139"/>
      <c r="P35" s="134"/>
      <c r="Q35" s="496">
        <v>0</v>
      </c>
      <c r="R35" s="496"/>
      <c r="S35" s="496"/>
      <c r="T35" s="496"/>
      <c r="U35" s="496"/>
      <c r="V35" s="134">
        <f t="shared" si="6"/>
        <v>0</v>
      </c>
      <c r="W35" s="134">
        <f t="shared" si="28"/>
        <v>0</v>
      </c>
      <c r="X35" s="496">
        <v>0</v>
      </c>
      <c r="Y35" s="496">
        <v>0</v>
      </c>
      <c r="Z35" s="134"/>
      <c r="AA35" s="134"/>
      <c r="AB35" s="134">
        <f t="shared" si="32"/>
        <v>0</v>
      </c>
      <c r="AC35" s="156"/>
      <c r="AD35" s="156"/>
      <c r="AE35" s="156">
        <f>+AB35/I35</f>
        <v>0</v>
      </c>
      <c r="AF35" s="156"/>
      <c r="AG35" s="156">
        <f>+AD35*E35</f>
        <v>0</v>
      </c>
      <c r="AH35" s="156">
        <f t="shared" si="23"/>
        <v>0</v>
      </c>
      <c r="AI35" s="156"/>
      <c r="AJ35" s="190"/>
      <c r="AK35" s="190">
        <f t="shared" si="24"/>
        <v>0</v>
      </c>
      <c r="AL35" s="190">
        <v>0</v>
      </c>
      <c r="AM35" s="190">
        <f>+AJ35*E35</f>
        <v>0</v>
      </c>
      <c r="AN35" s="190">
        <f t="shared" si="25"/>
        <v>0</v>
      </c>
      <c r="AO35" s="521" t="s">
        <v>1844</v>
      </c>
      <c r="AP35" s="599" t="s">
        <v>1913</v>
      </c>
      <c r="AQ35" s="599" t="s">
        <v>2003</v>
      </c>
      <c r="AR35" s="522" t="s">
        <v>2010</v>
      </c>
      <c r="AS35" s="495" t="s">
        <v>2087</v>
      </c>
      <c r="AT35" s="985" t="s">
        <v>2140</v>
      </c>
      <c r="AU35" s="522" t="s">
        <v>2199</v>
      </c>
      <c r="AV35" s="522" t="s">
        <v>1887</v>
      </c>
      <c r="AW35" s="522" t="s">
        <v>2294</v>
      </c>
    </row>
    <row r="36" spans="1:49" ht="75" customHeight="1" thickBot="1" x14ac:dyDescent="0.4">
      <c r="A36" s="119"/>
      <c r="B36" s="1378" t="s">
        <v>829</v>
      </c>
      <c r="C36" s="1404" t="s">
        <v>1288</v>
      </c>
      <c r="D36" s="184" t="s">
        <v>560</v>
      </c>
      <c r="E36" s="188">
        <v>0.3</v>
      </c>
      <c r="F36" s="186">
        <v>2400</v>
      </c>
      <c r="G36" s="134">
        <v>600</v>
      </c>
      <c r="H36" s="134">
        <v>600</v>
      </c>
      <c r="I36" s="134">
        <v>600</v>
      </c>
      <c r="J36" s="139">
        <f>+G36/F36</f>
        <v>0.25</v>
      </c>
      <c r="K36" s="139">
        <f t="shared" si="30"/>
        <v>0.25</v>
      </c>
      <c r="L36" s="139">
        <f t="shared" si="27"/>
        <v>0.25</v>
      </c>
      <c r="M36" s="139">
        <f>+(G36/F36)*E36</f>
        <v>7.4999999999999997E-2</v>
      </c>
      <c r="N36" s="139">
        <f t="shared" si="31"/>
        <v>7.4999999999999997E-2</v>
      </c>
      <c r="O36" s="139"/>
      <c r="P36" s="195">
        <v>620</v>
      </c>
      <c r="Q36" s="496">
        <v>270</v>
      </c>
      <c r="R36" s="496">
        <v>97</v>
      </c>
      <c r="S36" s="496">
        <v>454</v>
      </c>
      <c r="T36" s="195">
        <v>220</v>
      </c>
      <c r="U36" s="195">
        <v>244</v>
      </c>
      <c r="V36" s="195">
        <f t="shared" si="6"/>
        <v>1285</v>
      </c>
      <c r="W36" s="134">
        <f>+V36+P36+AB36</f>
        <v>2544</v>
      </c>
      <c r="X36" s="496">
        <v>159</v>
      </c>
      <c r="Y36" s="496">
        <v>480</v>
      </c>
      <c r="Z36" s="195"/>
      <c r="AA36" s="195"/>
      <c r="AB36" s="195">
        <f t="shared" si="32"/>
        <v>639</v>
      </c>
      <c r="AC36" s="156">
        <v>1</v>
      </c>
      <c r="AD36" s="156">
        <v>1</v>
      </c>
      <c r="AE36" s="156">
        <v>1</v>
      </c>
      <c r="AF36" s="156">
        <f>+AC36*E36</f>
        <v>0.3</v>
      </c>
      <c r="AG36" s="156">
        <f>+AD36*E36</f>
        <v>0.3</v>
      </c>
      <c r="AH36" s="156">
        <f t="shared" si="23"/>
        <v>0.3</v>
      </c>
      <c r="AI36" s="156">
        <f>+P36/F36</f>
        <v>0.25833333333333336</v>
      </c>
      <c r="AJ36" s="190">
        <v>0.79374999999999996</v>
      </c>
      <c r="AK36" s="190">
        <v>1</v>
      </c>
      <c r="AL36" s="190">
        <f>+AI36*E36</f>
        <v>7.7499999999999999E-2</v>
      </c>
      <c r="AM36" s="190">
        <f>+AJ36*E36</f>
        <v>0.23812499999999998</v>
      </c>
      <c r="AN36" s="190">
        <f t="shared" si="25"/>
        <v>0.3</v>
      </c>
      <c r="AO36" s="521" t="s">
        <v>1844</v>
      </c>
      <c r="AP36" s="522" t="s">
        <v>1886</v>
      </c>
      <c r="AQ36" s="522" t="s">
        <v>1990</v>
      </c>
      <c r="AR36" s="522" t="s">
        <v>2010</v>
      </c>
      <c r="AS36" s="526" t="s">
        <v>2108</v>
      </c>
      <c r="AT36" s="985" t="s">
        <v>2140</v>
      </c>
      <c r="AU36" s="522" t="s">
        <v>2199</v>
      </c>
      <c r="AV36" s="522" t="s">
        <v>1887</v>
      </c>
      <c r="AW36" s="522" t="s">
        <v>2294</v>
      </c>
    </row>
    <row r="37" spans="1:49" ht="61.2" customHeight="1" thickBot="1" x14ac:dyDescent="0.4">
      <c r="A37" s="119"/>
      <c r="B37" s="1374" t="s">
        <v>1802</v>
      </c>
      <c r="C37" s="1412"/>
      <c r="D37" s="191"/>
      <c r="E37" s="194">
        <v>0.15</v>
      </c>
      <c r="F37" s="122">
        <f>+E37*AF37</f>
        <v>6.8925749999999994E-2</v>
      </c>
      <c r="G37" s="127"/>
      <c r="H37" s="123">
        <f>+E37*AG37</f>
        <v>6.6137041443108238E-2</v>
      </c>
      <c r="I37" s="123">
        <f>+E37*AH37</f>
        <v>3.932442310030395E-2</v>
      </c>
      <c r="J37" s="125">
        <f>+(J38+J46+J50+J53+J57)/5</f>
        <v>0.17888888888888888</v>
      </c>
      <c r="K37" s="125">
        <f>+(K38+K46+K50+K53+K57)/5</f>
        <v>0.28274305555555557</v>
      </c>
      <c r="L37" s="125">
        <f>+(L38+L46+L50+L53+L57)/5</f>
        <v>0.33090277777777782</v>
      </c>
      <c r="M37" s="126">
        <f>+(M38+M46+M50+M53+M57)/5</f>
        <v>0.13083333333333333</v>
      </c>
      <c r="N37" s="126">
        <f>+(N38+N46+N50+N53+N57)/5</f>
        <v>0.19008333333333333</v>
      </c>
      <c r="O37" s="126"/>
      <c r="P37" s="127"/>
      <c r="Q37" s="127"/>
      <c r="R37" s="127"/>
      <c r="S37" s="127"/>
      <c r="T37" s="127"/>
      <c r="U37" s="127"/>
      <c r="V37" s="819"/>
      <c r="W37" s="127"/>
      <c r="X37" s="127"/>
      <c r="Y37" s="127"/>
      <c r="Z37" s="127"/>
      <c r="AA37" s="127"/>
      <c r="AB37" s="127"/>
      <c r="AC37" s="125">
        <f>+(AC38+AC46+AC50+AC53+AC57)/5</f>
        <v>0.75614000000000003</v>
      </c>
      <c r="AD37" s="125">
        <f>+(AD38+AD46+AD50+AD53+AD57)/5</f>
        <v>0.78964986740672216</v>
      </c>
      <c r="AE37" s="125">
        <f>+(AE38+AE46+AE50+AE53+AE57)/5</f>
        <v>0.3321498169537318</v>
      </c>
      <c r="AF37" s="126">
        <f>+AF38+AF46+AF50+AF53+AF57</f>
        <v>0.45950499999999994</v>
      </c>
      <c r="AG37" s="126">
        <f>+AG38+AG46+AG50+AG53+AG57</f>
        <v>0.44091360962072157</v>
      </c>
      <c r="AH37" s="126">
        <f>+AH38+AH46+AH50+AH53+AH57</f>
        <v>0.26216282066869301</v>
      </c>
      <c r="AI37" s="180">
        <f>(AI38+AI46+AI50+AI53+AI57)/5</f>
        <v>0.13760416666666669</v>
      </c>
      <c r="AJ37" s="180">
        <v>0.37340679841269842</v>
      </c>
      <c r="AK37" s="180">
        <f>(AK38+AK46+AK50+AK53+AK57)/5</f>
        <v>0.51025020317460312</v>
      </c>
      <c r="AL37" s="181">
        <f>+(AL38+AL46+AL50+AL53+AL57)</f>
        <v>8.7734791666666673E-2</v>
      </c>
      <c r="AM37" s="181">
        <f>+(AM38*E38+AM46*E46+AM50*E50+AM53*E53+AM57*E57)</f>
        <v>0.27470192500000001</v>
      </c>
      <c r="AN37" s="181">
        <f>+(AN38*E38+AN46*E46+AN50*E50+AN53*F53+AN57*E57)</f>
        <v>0.3185268</v>
      </c>
      <c r="AO37" s="769"/>
      <c r="AP37" s="490"/>
      <c r="AQ37" s="490"/>
      <c r="AR37" s="490"/>
      <c r="AS37" s="490"/>
      <c r="AT37" s="984"/>
      <c r="AU37" s="490"/>
      <c r="AV37" s="490"/>
    </row>
    <row r="38" spans="1:49" ht="42.75" customHeight="1" thickBot="1" x14ac:dyDescent="0.4">
      <c r="A38" s="119"/>
      <c r="B38" s="1376" t="s">
        <v>1724</v>
      </c>
      <c r="C38" s="1412"/>
      <c r="D38" s="191"/>
      <c r="E38" s="192">
        <v>0.25</v>
      </c>
      <c r="F38" s="186"/>
      <c r="G38" s="127"/>
      <c r="H38" s="127"/>
      <c r="I38" s="127"/>
      <c r="J38" s="133">
        <f>+AVERAGE(J39:J45)</f>
        <v>0.23611111111111108</v>
      </c>
      <c r="K38" s="133">
        <f>+AVERAGE(K39:K45)</f>
        <v>0.30260416666666662</v>
      </c>
      <c r="L38" s="133">
        <f>+AVERAGE(L39:L45)</f>
        <v>0.34340277777777778</v>
      </c>
      <c r="M38" s="133">
        <f>+M39+M40+M41+M42+M43+M44+M45</f>
        <v>6.5833333333333327E-2</v>
      </c>
      <c r="N38" s="133">
        <f>+N39+N40+N41+N42+N43+N44+N45</f>
        <v>8.9583333333333334E-2</v>
      </c>
      <c r="O38" s="133"/>
      <c r="P38" s="132"/>
      <c r="Q38" s="132"/>
      <c r="R38" s="132"/>
      <c r="S38" s="132"/>
      <c r="T38" s="132"/>
      <c r="U38" s="132"/>
      <c r="V38" s="134"/>
      <c r="W38" s="132"/>
      <c r="X38" s="132"/>
      <c r="Y38" s="132"/>
      <c r="Z38" s="132"/>
      <c r="AA38" s="132"/>
      <c r="AB38" s="132"/>
      <c r="AC38" s="154">
        <f>+AVERAGE(AC39:AC45)</f>
        <v>0.66469999999999996</v>
      </c>
      <c r="AD38" s="154">
        <f>+AVERAGE(AD39:AD45)</f>
        <v>0.66946382978723407</v>
      </c>
      <c r="AE38" s="154">
        <f>+AVERAGE(AE39:AE45)</f>
        <v>0.1483947990543735</v>
      </c>
      <c r="AF38" s="154">
        <f>+(AF39+AF40+AF41+AF42+AF43+AF44+AF45)*E38</f>
        <v>5.7204999999999999E-2</v>
      </c>
      <c r="AG38" s="154">
        <f>+(AG39+AG40+AG41+AG42+AG43+AG44+AG45)*E38</f>
        <v>3.2365957446808508E-2</v>
      </c>
      <c r="AH38" s="154">
        <f>+(AH39+AH40+AH41+AH42+AH43+AH44+AH45)*E38</f>
        <v>1.6185106382978723E-2</v>
      </c>
      <c r="AI38" s="133">
        <f>+AVERAGE(AI39:AI45)</f>
        <v>0.12475416666666667</v>
      </c>
      <c r="AJ38" s="133">
        <v>0.29423154761904763</v>
      </c>
      <c r="AK38" s="133">
        <f>+AVERAGE(AK39:AK45)</f>
        <v>0.3274285714285714</v>
      </c>
      <c r="AL38" s="183">
        <f>+(AL39+AL40+AL41+AL42+AL43+AL44+AL45)*E38</f>
        <v>8.0881249999999998E-3</v>
      </c>
      <c r="AM38" s="183">
        <f>+(AM39+AM40+AM41+AM42+AM43+AM44+AM45)</f>
        <v>0.17025750000000001</v>
      </c>
      <c r="AN38" s="183">
        <f>+(AN39+AN40+AN41+AN42+AN43+AN44+AN45)</f>
        <v>0.18840000000000001</v>
      </c>
      <c r="AO38" s="770"/>
      <c r="AP38" s="490"/>
      <c r="AQ38" s="490"/>
      <c r="AR38" s="490"/>
      <c r="AS38" s="490"/>
      <c r="AT38" s="984"/>
      <c r="AU38" s="490"/>
      <c r="AV38" s="490"/>
    </row>
    <row r="39" spans="1:49" ht="88.2" customHeight="1" thickBot="1" x14ac:dyDescent="0.4">
      <c r="A39" s="119"/>
      <c r="B39" s="1378" t="s">
        <v>830</v>
      </c>
      <c r="C39" s="1404" t="s">
        <v>1289</v>
      </c>
      <c r="D39" s="184" t="s">
        <v>767</v>
      </c>
      <c r="E39" s="188">
        <v>0.03</v>
      </c>
      <c r="F39" s="186">
        <f>12*4</f>
        <v>48</v>
      </c>
      <c r="G39" s="134">
        <v>12</v>
      </c>
      <c r="H39" s="134">
        <v>12</v>
      </c>
      <c r="I39" s="134">
        <v>12</v>
      </c>
      <c r="J39" s="139">
        <f t="shared" ref="J39:J45" si="33">+G39/F39</f>
        <v>0.25</v>
      </c>
      <c r="K39" s="139">
        <f t="shared" ref="K39:K43" si="34">+H39/F39</f>
        <v>0.25</v>
      </c>
      <c r="L39" s="139">
        <f t="shared" ref="L39:L44" si="35">+I39/F39</f>
        <v>0.25</v>
      </c>
      <c r="M39" s="139">
        <f t="shared" ref="M39:M45" si="36">+(G39/F39)*E39</f>
        <v>7.4999999999999997E-3</v>
      </c>
      <c r="N39" s="139">
        <f t="shared" ref="N39:N43" si="37">+(H39/F39)*E39</f>
        <v>7.4999999999999997E-3</v>
      </c>
      <c r="O39" s="139"/>
      <c r="P39" s="134">
        <v>12</v>
      </c>
      <c r="Q39" s="496">
        <v>0</v>
      </c>
      <c r="R39" s="496">
        <v>3</v>
      </c>
      <c r="S39" s="496">
        <v>2</v>
      </c>
      <c r="T39" s="496">
        <v>5</v>
      </c>
      <c r="U39" s="496">
        <v>2</v>
      </c>
      <c r="V39" s="134">
        <f t="shared" si="6"/>
        <v>12</v>
      </c>
      <c r="W39" s="134">
        <f>+V39+P39+AB39</f>
        <v>32</v>
      </c>
      <c r="X39" s="496">
        <v>0</v>
      </c>
      <c r="Y39" s="496">
        <v>8</v>
      </c>
      <c r="Z39" s="134"/>
      <c r="AA39" s="134"/>
      <c r="AB39" s="134">
        <f t="shared" ref="AB39:AB58" si="38">+X39+Y39+Z39+AA39</f>
        <v>8</v>
      </c>
      <c r="AC39" s="139">
        <f>+(P39/G39)</f>
        <v>1</v>
      </c>
      <c r="AD39" s="156">
        <f>+V39/H39</f>
        <v>1</v>
      </c>
      <c r="AE39" s="156">
        <f t="shared" ref="AE39:AE56" si="39">+AB39/I39</f>
        <v>0.66666666666666663</v>
      </c>
      <c r="AF39" s="156">
        <f>+AC39*E39</f>
        <v>0.03</v>
      </c>
      <c r="AG39" s="156">
        <f>+AD39*E39</f>
        <v>0.03</v>
      </c>
      <c r="AH39" s="156">
        <f t="shared" ref="AH39:AH45" si="40">+AE39*E39</f>
        <v>1.9999999999999997E-2</v>
      </c>
      <c r="AI39" s="156">
        <f>+P39/F39</f>
        <v>0.25</v>
      </c>
      <c r="AJ39" s="190">
        <v>0.5</v>
      </c>
      <c r="AK39" s="190">
        <f t="shared" ref="AK39:AK59" si="41">+W39/F39</f>
        <v>0.66666666666666663</v>
      </c>
      <c r="AL39" s="190">
        <f>+AI39*E39</f>
        <v>7.4999999999999997E-3</v>
      </c>
      <c r="AM39" s="190">
        <f t="shared" ref="AM39:AM45" si="42">+AJ39*E39</f>
        <v>1.4999999999999999E-2</v>
      </c>
      <c r="AN39" s="190">
        <f t="shared" ref="AN39:AN45" si="43">+AK39*E39</f>
        <v>1.9999999999999997E-2</v>
      </c>
      <c r="AO39" s="521" t="s">
        <v>1844</v>
      </c>
      <c r="AP39" s="522" t="s">
        <v>1886</v>
      </c>
      <c r="AQ39" s="522" t="s">
        <v>1990</v>
      </c>
      <c r="AR39" s="522" t="s">
        <v>2010</v>
      </c>
      <c r="AS39" s="522" t="s">
        <v>2108</v>
      </c>
      <c r="AT39" s="985" t="s">
        <v>2140</v>
      </c>
      <c r="AU39" s="522" t="s">
        <v>2199</v>
      </c>
      <c r="AV39" s="522" t="s">
        <v>1887</v>
      </c>
      <c r="AW39" s="522" t="s">
        <v>2294</v>
      </c>
    </row>
    <row r="40" spans="1:49" ht="77.400000000000006" customHeight="1" thickBot="1" x14ac:dyDescent="0.4">
      <c r="A40" s="119"/>
      <c r="B40" s="1378" t="s">
        <v>831</v>
      </c>
      <c r="C40" s="1404" t="s">
        <v>1290</v>
      </c>
      <c r="D40" s="184" t="s">
        <v>767</v>
      </c>
      <c r="E40" s="188">
        <v>0.2</v>
      </c>
      <c r="F40" s="186">
        <v>80000</v>
      </c>
      <c r="G40" s="134">
        <v>10000</v>
      </c>
      <c r="H40" s="134">
        <v>23500</v>
      </c>
      <c r="I40" s="134">
        <v>23500</v>
      </c>
      <c r="J40" s="139">
        <f t="shared" si="33"/>
        <v>0.125</v>
      </c>
      <c r="K40" s="139">
        <f t="shared" si="34"/>
        <v>0.29375000000000001</v>
      </c>
      <c r="L40" s="139">
        <f t="shared" si="35"/>
        <v>0.29375000000000001</v>
      </c>
      <c r="M40" s="139">
        <f t="shared" si="36"/>
        <v>2.5000000000000001E-2</v>
      </c>
      <c r="N40" s="139">
        <f t="shared" si="37"/>
        <v>5.8750000000000004E-2</v>
      </c>
      <c r="O40" s="139"/>
      <c r="P40" s="134">
        <v>9941</v>
      </c>
      <c r="Q40" s="496">
        <v>395</v>
      </c>
      <c r="R40" s="496">
        <v>2208</v>
      </c>
      <c r="S40" s="496">
        <v>1193</v>
      </c>
      <c r="T40" s="496">
        <v>1517</v>
      </c>
      <c r="U40" s="496">
        <v>2849</v>
      </c>
      <c r="V40" s="134">
        <f t="shared" si="6"/>
        <v>8162</v>
      </c>
      <c r="W40" s="134">
        <f t="shared" ref="W40:W45" si="44">+V40+P40+AB40</f>
        <v>23360</v>
      </c>
      <c r="X40" s="496">
        <v>0</v>
      </c>
      <c r="Y40" s="496">
        <v>5257</v>
      </c>
      <c r="Z40" s="134"/>
      <c r="AA40" s="134"/>
      <c r="AB40" s="134">
        <f t="shared" si="38"/>
        <v>5257</v>
      </c>
      <c r="AC40" s="139">
        <f>+(P40/G40)</f>
        <v>0.99409999999999998</v>
      </c>
      <c r="AD40" s="156">
        <f>+V40/H40</f>
        <v>0.34731914893617022</v>
      </c>
      <c r="AE40" s="156">
        <f t="shared" si="39"/>
        <v>0.22370212765957448</v>
      </c>
      <c r="AF40" s="156">
        <f>+AC40*E40</f>
        <v>0.19882</v>
      </c>
      <c r="AG40" s="156">
        <f>+AD40*E40</f>
        <v>6.9463829787234047E-2</v>
      </c>
      <c r="AH40" s="156">
        <f t="shared" si="40"/>
        <v>4.4740425531914901E-2</v>
      </c>
      <c r="AI40" s="156">
        <f>+P40/F40</f>
        <v>0.1242625</v>
      </c>
      <c r="AJ40" s="190">
        <v>0.2262875</v>
      </c>
      <c r="AK40" s="190">
        <f t="shared" si="41"/>
        <v>0.29199999999999998</v>
      </c>
      <c r="AL40" s="190">
        <f>+AI40*E40</f>
        <v>2.48525E-2</v>
      </c>
      <c r="AM40" s="190">
        <f t="shared" si="42"/>
        <v>4.5257500000000006E-2</v>
      </c>
      <c r="AN40" s="190">
        <f t="shared" si="43"/>
        <v>5.8400000000000001E-2</v>
      </c>
      <c r="AO40" s="521" t="s">
        <v>1844</v>
      </c>
      <c r="AP40" s="522" t="s">
        <v>1886</v>
      </c>
      <c r="AQ40" s="522" t="s">
        <v>1990</v>
      </c>
      <c r="AR40" s="522" t="s">
        <v>2010</v>
      </c>
      <c r="AS40" s="522" t="s">
        <v>2108</v>
      </c>
      <c r="AT40" s="985" t="s">
        <v>2140</v>
      </c>
      <c r="AU40" s="522" t="s">
        <v>2199</v>
      </c>
      <c r="AV40" s="522" t="s">
        <v>1887</v>
      </c>
      <c r="AW40" s="522" t="s">
        <v>2294</v>
      </c>
    </row>
    <row r="41" spans="1:49" ht="81" customHeight="1" thickBot="1" x14ac:dyDescent="0.4">
      <c r="A41" s="119"/>
      <c r="B41" s="1378" t="s">
        <v>832</v>
      </c>
      <c r="C41" s="1404" t="s">
        <v>1291</v>
      </c>
      <c r="D41" s="184" t="s">
        <v>767</v>
      </c>
      <c r="E41" s="188">
        <v>0.03</v>
      </c>
      <c r="F41" s="186">
        <v>3</v>
      </c>
      <c r="G41" s="134">
        <v>0</v>
      </c>
      <c r="H41" s="134">
        <v>1</v>
      </c>
      <c r="I41" s="134">
        <v>1</v>
      </c>
      <c r="J41" s="139"/>
      <c r="K41" s="139">
        <f t="shared" si="34"/>
        <v>0.33333333333333331</v>
      </c>
      <c r="L41" s="139">
        <f t="shared" si="35"/>
        <v>0.33333333333333331</v>
      </c>
      <c r="M41" s="139"/>
      <c r="N41" s="139">
        <f t="shared" si="37"/>
        <v>9.9999999999999985E-3</v>
      </c>
      <c r="O41" s="139"/>
      <c r="P41" s="134"/>
      <c r="Q41" s="496">
        <v>0</v>
      </c>
      <c r="R41" s="496">
        <v>1</v>
      </c>
      <c r="S41" s="496">
        <v>0</v>
      </c>
      <c r="T41" s="496">
        <v>0</v>
      </c>
      <c r="U41" s="496">
        <v>0</v>
      </c>
      <c r="V41" s="134">
        <f t="shared" si="6"/>
        <v>1</v>
      </c>
      <c r="W41" s="134">
        <f t="shared" si="44"/>
        <v>1</v>
      </c>
      <c r="X41" s="496">
        <v>0</v>
      </c>
      <c r="Y41" s="496">
        <v>0</v>
      </c>
      <c r="Z41" s="134"/>
      <c r="AA41" s="134"/>
      <c r="AB41" s="134">
        <f t="shared" si="38"/>
        <v>0</v>
      </c>
      <c r="AC41" s="139"/>
      <c r="AD41" s="156">
        <f>+V41/H41</f>
        <v>1</v>
      </c>
      <c r="AE41" s="156">
        <f t="shared" si="39"/>
        <v>0</v>
      </c>
      <c r="AF41" s="156"/>
      <c r="AG41" s="156">
        <f>+AD41*E41</f>
        <v>0.03</v>
      </c>
      <c r="AH41" s="156">
        <f t="shared" si="40"/>
        <v>0</v>
      </c>
      <c r="AI41" s="156"/>
      <c r="AJ41" s="190">
        <v>0.33333333333333331</v>
      </c>
      <c r="AK41" s="190">
        <f t="shared" si="41"/>
        <v>0.33333333333333331</v>
      </c>
      <c r="AL41" s="190"/>
      <c r="AM41" s="190">
        <f t="shared" si="42"/>
        <v>9.9999999999999985E-3</v>
      </c>
      <c r="AN41" s="190">
        <f t="shared" si="43"/>
        <v>9.9999999999999985E-3</v>
      </c>
      <c r="AO41" s="521" t="s">
        <v>1844</v>
      </c>
      <c r="AP41" s="599" t="s">
        <v>1913</v>
      </c>
      <c r="AQ41" s="522" t="s">
        <v>1990</v>
      </c>
      <c r="AR41" s="522" t="s">
        <v>2010</v>
      </c>
      <c r="AS41" s="522" t="s">
        <v>2108</v>
      </c>
      <c r="AT41" s="985" t="s">
        <v>2140</v>
      </c>
      <c r="AU41" s="522" t="s">
        <v>2199</v>
      </c>
      <c r="AV41" s="522" t="s">
        <v>1887</v>
      </c>
      <c r="AW41" s="522" t="s">
        <v>2294</v>
      </c>
    </row>
    <row r="42" spans="1:49" ht="89.4" customHeight="1" thickBot="1" x14ac:dyDescent="0.4">
      <c r="A42" s="119"/>
      <c r="B42" s="1378" t="s">
        <v>833</v>
      </c>
      <c r="C42" s="1404" t="s">
        <v>1292</v>
      </c>
      <c r="D42" s="184" t="s">
        <v>767</v>
      </c>
      <c r="E42" s="188">
        <v>0.1</v>
      </c>
      <c r="F42" s="186">
        <v>100000</v>
      </c>
      <c r="G42" s="134">
        <v>0</v>
      </c>
      <c r="H42" s="134">
        <v>0</v>
      </c>
      <c r="I42" s="134">
        <v>35000</v>
      </c>
      <c r="J42" s="139"/>
      <c r="K42" s="139"/>
      <c r="L42" s="139">
        <f t="shared" si="35"/>
        <v>0.35</v>
      </c>
      <c r="M42" s="139"/>
      <c r="N42" s="139"/>
      <c r="O42" s="139"/>
      <c r="P42" s="134"/>
      <c r="Q42" s="496"/>
      <c r="R42" s="496"/>
      <c r="S42" s="496">
        <v>0</v>
      </c>
      <c r="T42" s="496">
        <v>0</v>
      </c>
      <c r="U42" s="496">
        <v>0</v>
      </c>
      <c r="V42" s="134">
        <f t="shared" si="6"/>
        <v>0</v>
      </c>
      <c r="W42" s="134">
        <f t="shared" si="44"/>
        <v>0</v>
      </c>
      <c r="X42" s="496">
        <v>0</v>
      </c>
      <c r="Y42" s="496">
        <v>0</v>
      </c>
      <c r="Z42" s="134"/>
      <c r="AA42" s="134"/>
      <c r="AB42" s="134">
        <f t="shared" si="38"/>
        <v>0</v>
      </c>
      <c r="AC42" s="139"/>
      <c r="AD42" s="156"/>
      <c r="AE42" s="156">
        <f t="shared" si="39"/>
        <v>0</v>
      </c>
      <c r="AF42" s="156"/>
      <c r="AG42" s="156"/>
      <c r="AH42" s="156">
        <f t="shared" si="40"/>
        <v>0</v>
      </c>
      <c r="AI42" s="156"/>
      <c r="AJ42" s="190">
        <v>0</v>
      </c>
      <c r="AK42" s="190">
        <f t="shared" si="41"/>
        <v>0</v>
      </c>
      <c r="AL42" s="190"/>
      <c r="AM42" s="190">
        <f t="shared" si="42"/>
        <v>0</v>
      </c>
      <c r="AN42" s="190">
        <f t="shared" si="43"/>
        <v>0</v>
      </c>
      <c r="AO42" s="521" t="s">
        <v>1844</v>
      </c>
      <c r="AP42" s="522" t="s">
        <v>1886</v>
      </c>
      <c r="AQ42" s="522" t="s">
        <v>1990</v>
      </c>
      <c r="AR42" s="522" t="s">
        <v>2010</v>
      </c>
      <c r="AS42" s="522" t="s">
        <v>2108</v>
      </c>
      <c r="AT42" s="985" t="s">
        <v>2140</v>
      </c>
      <c r="AU42" s="522" t="s">
        <v>2199</v>
      </c>
      <c r="AV42" s="522" t="s">
        <v>1887</v>
      </c>
      <c r="AW42" s="522" t="s">
        <v>2294</v>
      </c>
    </row>
    <row r="43" spans="1:49" ht="96" customHeight="1" thickBot="1" x14ac:dyDescent="0.4">
      <c r="A43" s="119"/>
      <c r="B43" s="1378" t="s">
        <v>834</v>
      </c>
      <c r="C43" s="1404" t="s">
        <v>1293</v>
      </c>
      <c r="D43" s="184" t="s">
        <v>767</v>
      </c>
      <c r="E43" s="188">
        <v>0.04</v>
      </c>
      <c r="F43" s="186">
        <v>3</v>
      </c>
      <c r="G43" s="134">
        <v>0</v>
      </c>
      <c r="H43" s="134">
        <v>1</v>
      </c>
      <c r="I43" s="134">
        <v>1</v>
      </c>
      <c r="J43" s="139"/>
      <c r="K43" s="139">
        <f t="shared" si="34"/>
        <v>0.33333333333333331</v>
      </c>
      <c r="L43" s="139">
        <f t="shared" si="35"/>
        <v>0.33333333333333331</v>
      </c>
      <c r="M43" s="139"/>
      <c r="N43" s="139">
        <f t="shared" si="37"/>
        <v>1.3333333333333332E-2</v>
      </c>
      <c r="O43" s="139"/>
      <c r="P43" s="134"/>
      <c r="Q43" s="496">
        <v>0</v>
      </c>
      <c r="R43" s="496">
        <v>0</v>
      </c>
      <c r="S43" s="496">
        <v>0</v>
      </c>
      <c r="T43" s="496">
        <v>0</v>
      </c>
      <c r="U43" s="496">
        <v>0</v>
      </c>
      <c r="V43" s="134">
        <f t="shared" si="6"/>
        <v>0</v>
      </c>
      <c r="W43" s="134">
        <f t="shared" si="44"/>
        <v>0</v>
      </c>
      <c r="X43" s="496">
        <v>0</v>
      </c>
      <c r="Y43" s="496">
        <v>0</v>
      </c>
      <c r="Z43" s="134"/>
      <c r="AA43" s="134"/>
      <c r="AB43" s="134">
        <f>+X43+Y43+Z43+AA43</f>
        <v>0</v>
      </c>
      <c r="AC43" s="139"/>
      <c r="AD43" s="156">
        <f>+V43/H43</f>
        <v>0</v>
      </c>
      <c r="AE43" s="156">
        <f t="shared" si="39"/>
        <v>0</v>
      </c>
      <c r="AF43" s="156"/>
      <c r="AG43" s="156">
        <f>+AD43*E43</f>
        <v>0</v>
      </c>
      <c r="AH43" s="156">
        <f t="shared" si="40"/>
        <v>0</v>
      </c>
      <c r="AI43" s="156"/>
      <c r="AJ43" s="190">
        <v>0</v>
      </c>
      <c r="AK43" s="190">
        <f t="shared" si="41"/>
        <v>0</v>
      </c>
      <c r="AL43" s="190"/>
      <c r="AM43" s="190">
        <f t="shared" si="42"/>
        <v>0</v>
      </c>
      <c r="AN43" s="190">
        <f t="shared" si="43"/>
        <v>0</v>
      </c>
      <c r="AO43" s="521" t="s">
        <v>1844</v>
      </c>
      <c r="AP43" s="599" t="s">
        <v>1913</v>
      </c>
      <c r="AQ43" s="522" t="s">
        <v>1990</v>
      </c>
      <c r="AR43" s="522" t="s">
        <v>2010</v>
      </c>
      <c r="AS43" s="522" t="s">
        <v>2108</v>
      </c>
      <c r="AT43" s="985" t="s">
        <v>2140</v>
      </c>
      <c r="AU43" s="522" t="s">
        <v>2199</v>
      </c>
      <c r="AV43" s="522" t="s">
        <v>1887</v>
      </c>
      <c r="AW43" s="522" t="s">
        <v>2294</v>
      </c>
    </row>
    <row r="44" spans="1:49" ht="72.599999999999994" customHeight="1" thickBot="1" x14ac:dyDescent="0.4">
      <c r="A44" s="119"/>
      <c r="B44" s="1378" t="s">
        <v>835</v>
      </c>
      <c r="C44" s="1404" t="s">
        <v>1294</v>
      </c>
      <c r="D44" s="184" t="s">
        <v>836</v>
      </c>
      <c r="E44" s="188">
        <v>0.5</v>
      </c>
      <c r="F44" s="186">
        <v>1</v>
      </c>
      <c r="G44" s="134">
        <v>0</v>
      </c>
      <c r="H44" s="134">
        <v>0</v>
      </c>
      <c r="I44" s="134">
        <v>0.5</v>
      </c>
      <c r="J44" s="139"/>
      <c r="K44" s="139"/>
      <c r="L44" s="139">
        <f t="shared" si="35"/>
        <v>0.5</v>
      </c>
      <c r="M44" s="139"/>
      <c r="N44" s="139"/>
      <c r="O44" s="139"/>
      <c r="P44" s="134"/>
      <c r="Q44" s="496"/>
      <c r="R44" s="496"/>
      <c r="S44" s="496">
        <v>0</v>
      </c>
      <c r="T44" s="496"/>
      <c r="U44" s="496">
        <v>0</v>
      </c>
      <c r="V44" s="134">
        <f t="shared" si="6"/>
        <v>0</v>
      </c>
      <c r="W44" s="134">
        <f t="shared" si="44"/>
        <v>0</v>
      </c>
      <c r="X44" s="496">
        <v>0</v>
      </c>
      <c r="Y44" s="496">
        <v>0</v>
      </c>
      <c r="Z44" s="134"/>
      <c r="AA44" s="134"/>
      <c r="AB44" s="134">
        <f t="shared" si="38"/>
        <v>0</v>
      </c>
      <c r="AC44" s="139"/>
      <c r="AD44" s="156"/>
      <c r="AE44" s="156">
        <f t="shared" si="39"/>
        <v>0</v>
      </c>
      <c r="AF44" s="156"/>
      <c r="AG44" s="156"/>
      <c r="AH44" s="156">
        <f t="shared" si="40"/>
        <v>0</v>
      </c>
      <c r="AI44" s="156"/>
      <c r="AJ44" s="190">
        <v>0</v>
      </c>
      <c r="AK44" s="190">
        <f t="shared" si="41"/>
        <v>0</v>
      </c>
      <c r="AL44" s="190"/>
      <c r="AM44" s="190">
        <f t="shared" si="42"/>
        <v>0</v>
      </c>
      <c r="AN44" s="190">
        <f t="shared" si="43"/>
        <v>0</v>
      </c>
      <c r="AO44" s="521" t="s">
        <v>1844</v>
      </c>
      <c r="AP44" s="522" t="s">
        <v>1886</v>
      </c>
      <c r="AQ44" s="522" t="s">
        <v>1990</v>
      </c>
      <c r="AR44" s="522" t="s">
        <v>2010</v>
      </c>
      <c r="AS44" s="522" t="s">
        <v>2108</v>
      </c>
      <c r="AT44" s="985" t="s">
        <v>2140</v>
      </c>
      <c r="AU44" s="522" t="s">
        <v>2199</v>
      </c>
      <c r="AV44" s="522" t="s">
        <v>1887</v>
      </c>
      <c r="AW44" s="522" t="s">
        <v>2294</v>
      </c>
    </row>
    <row r="45" spans="1:49" ht="63" customHeight="1" thickBot="1" x14ac:dyDescent="0.4">
      <c r="A45" s="119"/>
      <c r="B45" s="1378" t="s">
        <v>837</v>
      </c>
      <c r="C45" s="1404" t="s">
        <v>1295</v>
      </c>
      <c r="D45" s="184" t="s">
        <v>838</v>
      </c>
      <c r="E45" s="188">
        <v>0.1</v>
      </c>
      <c r="F45" s="186">
        <v>3</v>
      </c>
      <c r="G45" s="134">
        <v>1</v>
      </c>
      <c r="H45" s="134">
        <v>0</v>
      </c>
      <c r="I45" s="134">
        <v>0</v>
      </c>
      <c r="J45" s="139">
        <f t="shared" si="33"/>
        <v>0.33333333333333331</v>
      </c>
      <c r="K45" s="139"/>
      <c r="L45" s="139"/>
      <c r="M45" s="139">
        <f t="shared" si="36"/>
        <v>3.3333333333333333E-2</v>
      </c>
      <c r="N45" s="139"/>
      <c r="O45" s="139"/>
      <c r="P45" s="134">
        <v>0</v>
      </c>
      <c r="Q45" s="496"/>
      <c r="R45" s="496"/>
      <c r="S45" s="496">
        <v>1</v>
      </c>
      <c r="T45" s="496"/>
      <c r="U45" s="195">
        <v>2</v>
      </c>
      <c r="V45" s="134">
        <f t="shared" si="6"/>
        <v>3</v>
      </c>
      <c r="W45" s="134">
        <f t="shared" si="44"/>
        <v>3</v>
      </c>
      <c r="X45" s="496"/>
      <c r="Y45" s="496"/>
      <c r="Z45" s="134"/>
      <c r="AA45" s="134"/>
      <c r="AB45" s="134">
        <f t="shared" si="38"/>
        <v>0</v>
      </c>
      <c r="AC45" s="139">
        <f>+(P45/G45)</f>
        <v>0</v>
      </c>
      <c r="AD45" s="156">
        <v>1</v>
      </c>
      <c r="AE45" s="156"/>
      <c r="AF45" s="156">
        <f>+AC45*E45</f>
        <v>0</v>
      </c>
      <c r="AG45" s="156"/>
      <c r="AH45" s="156">
        <f t="shared" si="40"/>
        <v>0</v>
      </c>
      <c r="AI45" s="156">
        <f>+P45/F45</f>
        <v>0</v>
      </c>
      <c r="AJ45" s="190">
        <v>1</v>
      </c>
      <c r="AK45" s="190">
        <f t="shared" si="41"/>
        <v>1</v>
      </c>
      <c r="AL45" s="190">
        <f>+AI45*E45</f>
        <v>0</v>
      </c>
      <c r="AM45" s="190">
        <f t="shared" si="42"/>
        <v>0.1</v>
      </c>
      <c r="AN45" s="190">
        <f t="shared" si="43"/>
        <v>0.1</v>
      </c>
      <c r="AO45" s="771" t="s">
        <v>1840</v>
      </c>
      <c r="AP45" s="490"/>
      <c r="AQ45" s="490"/>
      <c r="AR45" s="490"/>
      <c r="AS45" s="522" t="s">
        <v>2108</v>
      </c>
      <c r="AT45" s="985" t="s">
        <v>2140</v>
      </c>
      <c r="AU45" s="599" t="s">
        <v>2228</v>
      </c>
      <c r="AV45" s="490"/>
      <c r="AW45" s="522" t="s">
        <v>2294</v>
      </c>
    </row>
    <row r="46" spans="1:49" ht="57" customHeight="1" thickBot="1" x14ac:dyDescent="0.4">
      <c r="A46" s="119"/>
      <c r="B46" s="1376" t="s">
        <v>1725</v>
      </c>
      <c r="C46" s="1412"/>
      <c r="D46" s="191"/>
      <c r="E46" s="192">
        <v>0.25</v>
      </c>
      <c r="F46" s="186"/>
      <c r="G46" s="127"/>
      <c r="H46" s="127"/>
      <c r="I46" s="127"/>
      <c r="J46" s="133">
        <f>+AVERAGE(J47:J49)</f>
        <v>0.15833333333333333</v>
      </c>
      <c r="K46" s="133">
        <f>+AVERAGE(K47:K49)</f>
        <v>0.33611111111111108</v>
      </c>
      <c r="L46" s="133">
        <f>+AVERAGE(L47:L49)</f>
        <v>0.21111111111111111</v>
      </c>
      <c r="M46" s="133">
        <f>+M47+M48+M49</f>
        <v>0.15250000000000002</v>
      </c>
      <c r="N46" s="133">
        <f>+N47+N48+N49</f>
        <v>0.34083333333333338</v>
      </c>
      <c r="O46" s="133"/>
      <c r="P46" s="132"/>
      <c r="Q46" s="132"/>
      <c r="R46" s="132"/>
      <c r="S46" s="132"/>
      <c r="T46" s="132"/>
      <c r="U46" s="839"/>
      <c r="V46" s="134"/>
      <c r="W46" s="132"/>
      <c r="X46" s="132"/>
      <c r="Y46" s="132"/>
      <c r="Z46" s="132"/>
      <c r="AA46" s="132"/>
      <c r="AB46" s="134"/>
      <c r="AC46" s="154">
        <f>+AVERAGE(AC47:AC49)</f>
        <v>0.61599999999999999</v>
      </c>
      <c r="AD46" s="154">
        <f>+AVERAGE(AD47:AD49)</f>
        <v>0.69265217391304346</v>
      </c>
      <c r="AE46" s="154">
        <f>+AVERAGE(AE47:AE49)</f>
        <v>0.67564000000000002</v>
      </c>
      <c r="AF46" s="154">
        <f>+(AF47+AF48+AF49)*E46</f>
        <v>0.14229999999999998</v>
      </c>
      <c r="AG46" s="154">
        <f>+(AG47+AG48+AG49)*E46</f>
        <v>0.15779565217391306</v>
      </c>
      <c r="AH46" s="154">
        <f>+(AH47+AH48+AH49)*E46</f>
        <v>0.157692</v>
      </c>
      <c r="AI46" s="133">
        <f>+AVERAGE(AI47:AI49)</f>
        <v>0.10493333333333332</v>
      </c>
      <c r="AJ46" s="133">
        <v>0.3803111111111111</v>
      </c>
      <c r="AK46" s="133">
        <f>+AVERAGE(AK47:AK49)</f>
        <v>0.50953111111111105</v>
      </c>
      <c r="AL46" s="183">
        <f>+(AL47+AL48+AL49)*E46</f>
        <v>2.3980000000000001E-2</v>
      </c>
      <c r="AM46" s="183">
        <f>+(AM47+AM48+AM49)</f>
        <v>0.34674833333333333</v>
      </c>
      <c r="AN46" s="183">
        <f>+(AN47+AN48+AN49)</f>
        <v>0.46493733333333331</v>
      </c>
      <c r="AO46" s="770"/>
      <c r="AP46" s="490"/>
      <c r="AQ46" s="490"/>
      <c r="AR46" s="490"/>
      <c r="AS46" s="490"/>
      <c r="AT46" s="984"/>
      <c r="AU46" s="490"/>
      <c r="AV46" s="490"/>
    </row>
    <row r="47" spans="1:49" ht="70.95" customHeight="1" thickBot="1" x14ac:dyDescent="0.4">
      <c r="A47" s="119"/>
      <c r="B47" s="1378" t="s">
        <v>839</v>
      </c>
      <c r="C47" s="1404" t="s">
        <v>1296</v>
      </c>
      <c r="D47" s="184" t="s">
        <v>790</v>
      </c>
      <c r="E47" s="188">
        <v>0.4</v>
      </c>
      <c r="F47" s="186">
        <v>300000</v>
      </c>
      <c r="G47" s="134">
        <v>30000</v>
      </c>
      <c r="H47" s="134">
        <v>115000</v>
      </c>
      <c r="I47" s="134">
        <v>25000</v>
      </c>
      <c r="J47" s="140">
        <f>+G47/F47</f>
        <v>0.1</v>
      </c>
      <c r="K47" s="139">
        <f t="shared" ref="K47:K56" si="45">+H47/F47</f>
        <v>0.38333333333333336</v>
      </c>
      <c r="L47" s="139">
        <f t="shared" ref="L47:L49" si="46">+I47/F47</f>
        <v>8.3333333333333329E-2</v>
      </c>
      <c r="M47" s="139">
        <f>+(G47/F47)*E47</f>
        <v>4.0000000000000008E-2</v>
      </c>
      <c r="N47" s="139">
        <f t="shared" ref="N47:N59" si="47">+(H47/F47)*E47</f>
        <v>0.15333333333333335</v>
      </c>
      <c r="O47" s="139"/>
      <c r="P47" s="134">
        <v>4440</v>
      </c>
      <c r="Q47" s="496">
        <v>3037</v>
      </c>
      <c r="R47" s="496">
        <v>2140</v>
      </c>
      <c r="S47" s="496">
        <v>941</v>
      </c>
      <c r="T47" s="496">
        <v>1358</v>
      </c>
      <c r="U47" s="496">
        <v>1489</v>
      </c>
      <c r="V47" s="134">
        <f t="shared" si="6"/>
        <v>8965</v>
      </c>
      <c r="W47" s="134">
        <f>+V47+P47+AB47</f>
        <v>19078</v>
      </c>
      <c r="X47" s="496">
        <v>712</v>
      </c>
      <c r="Y47" s="496">
        <v>4961</v>
      </c>
      <c r="Z47" s="134"/>
      <c r="AA47" s="134"/>
      <c r="AB47" s="134">
        <f t="shared" si="38"/>
        <v>5673</v>
      </c>
      <c r="AC47" s="156">
        <f>+(P47/G47)</f>
        <v>0.14799999999999999</v>
      </c>
      <c r="AD47" s="156">
        <f>+V47/H47</f>
        <v>7.7956521739130438E-2</v>
      </c>
      <c r="AE47" s="156">
        <f t="shared" si="39"/>
        <v>0.22692000000000001</v>
      </c>
      <c r="AF47" s="156">
        <f>+AC47*E47</f>
        <v>5.9200000000000003E-2</v>
      </c>
      <c r="AG47" s="156">
        <f>+AD47*E47</f>
        <v>3.1182608695652175E-2</v>
      </c>
      <c r="AH47" s="156">
        <f t="shared" ref="AH47:AH49" si="48">+AE47*E47</f>
        <v>9.0768000000000015E-2</v>
      </c>
      <c r="AI47" s="156">
        <f>+P47/F47</f>
        <v>1.4800000000000001E-2</v>
      </c>
      <c r="AJ47" s="190">
        <v>4.4683333333333332E-2</v>
      </c>
      <c r="AK47" s="190">
        <f>+W47/F47</f>
        <v>6.3593333333333335E-2</v>
      </c>
      <c r="AL47" s="190">
        <f>+AI47*E47</f>
        <v>5.9200000000000008E-3</v>
      </c>
      <c r="AM47" s="190">
        <f>+AJ47*E47</f>
        <v>1.7873333333333335E-2</v>
      </c>
      <c r="AN47" s="190">
        <f t="shared" ref="AN47:AN49" si="49">+AK47*E47</f>
        <v>2.5437333333333336E-2</v>
      </c>
      <c r="AO47" s="521" t="s">
        <v>1844</v>
      </c>
      <c r="AP47" s="522" t="s">
        <v>1886</v>
      </c>
      <c r="AQ47" s="522" t="s">
        <v>1990</v>
      </c>
      <c r="AR47" s="522" t="s">
        <v>2010</v>
      </c>
      <c r="AS47" s="522" t="s">
        <v>2108</v>
      </c>
      <c r="AT47" s="985" t="s">
        <v>2140</v>
      </c>
      <c r="AU47" s="522" t="s">
        <v>2199</v>
      </c>
      <c r="AV47" s="522" t="s">
        <v>1887</v>
      </c>
      <c r="AW47" s="522" t="s">
        <v>2294</v>
      </c>
    </row>
    <row r="48" spans="1:49" ht="78" customHeight="1" thickBot="1" x14ac:dyDescent="0.4">
      <c r="A48" s="119"/>
      <c r="B48" s="1378" t="s">
        <v>840</v>
      </c>
      <c r="C48" s="1404" t="s">
        <v>1297</v>
      </c>
      <c r="D48" s="184" t="s">
        <v>790</v>
      </c>
      <c r="E48" s="188">
        <v>0.3</v>
      </c>
      <c r="F48" s="186">
        <v>8</v>
      </c>
      <c r="G48" s="134">
        <v>1</v>
      </c>
      <c r="H48" s="134">
        <v>3</v>
      </c>
      <c r="I48" s="134">
        <v>2</v>
      </c>
      <c r="J48" s="140">
        <f>+G48/F48</f>
        <v>0.125</v>
      </c>
      <c r="K48" s="139">
        <f t="shared" si="45"/>
        <v>0.375</v>
      </c>
      <c r="L48" s="139">
        <f>+I48/F48</f>
        <v>0.25</v>
      </c>
      <c r="M48" s="139">
        <f>+(G48/F48)*E48</f>
        <v>3.7499999999999999E-2</v>
      </c>
      <c r="N48" s="139">
        <f t="shared" si="47"/>
        <v>0.11249999999999999</v>
      </c>
      <c r="O48" s="139"/>
      <c r="P48" s="134">
        <v>1</v>
      </c>
      <c r="Q48" s="496">
        <v>0</v>
      </c>
      <c r="R48" s="496">
        <v>1.54</v>
      </c>
      <c r="S48" s="496">
        <v>4.43</v>
      </c>
      <c r="T48" s="496">
        <v>0</v>
      </c>
      <c r="U48" s="496">
        <v>0</v>
      </c>
      <c r="V48" s="134">
        <f t="shared" si="6"/>
        <v>5.97</v>
      </c>
      <c r="W48" s="134">
        <f t="shared" ref="W48:W49" si="50">+V48+P48+AB48</f>
        <v>10.28</v>
      </c>
      <c r="X48" s="496">
        <v>0.15</v>
      </c>
      <c r="Y48" s="496">
        <v>3.16</v>
      </c>
      <c r="Z48" s="134"/>
      <c r="AA48" s="134"/>
      <c r="AB48" s="134">
        <f t="shared" si="38"/>
        <v>3.31</v>
      </c>
      <c r="AC48" s="156">
        <f>+(P48/G48)</f>
        <v>1</v>
      </c>
      <c r="AD48" s="156">
        <v>1</v>
      </c>
      <c r="AE48" s="156">
        <v>1</v>
      </c>
      <c r="AF48" s="156">
        <f>+AC48*E48</f>
        <v>0.3</v>
      </c>
      <c r="AG48" s="156">
        <f>+AD48*E48</f>
        <v>0.3</v>
      </c>
      <c r="AH48" s="156">
        <f t="shared" si="48"/>
        <v>0.3</v>
      </c>
      <c r="AI48" s="156">
        <f>+P48/F48</f>
        <v>0.125</v>
      </c>
      <c r="AJ48" s="190">
        <v>0.87124999999999997</v>
      </c>
      <c r="AK48" s="190">
        <v>1</v>
      </c>
      <c r="AL48" s="190">
        <f>+AI48*E48</f>
        <v>3.7499999999999999E-2</v>
      </c>
      <c r="AM48" s="190">
        <f>+AJ48*E48</f>
        <v>0.26137499999999997</v>
      </c>
      <c r="AN48" s="190">
        <f t="shared" si="49"/>
        <v>0.3</v>
      </c>
      <c r="AO48" s="521" t="s">
        <v>1844</v>
      </c>
      <c r="AP48" s="522" t="s">
        <v>1886</v>
      </c>
      <c r="AQ48" s="522" t="s">
        <v>1990</v>
      </c>
      <c r="AR48" s="522" t="s">
        <v>2010</v>
      </c>
      <c r="AS48" s="522" t="s">
        <v>2108</v>
      </c>
      <c r="AT48" s="985" t="s">
        <v>2140</v>
      </c>
      <c r="AU48" s="522" t="s">
        <v>2199</v>
      </c>
      <c r="AV48" s="522" t="s">
        <v>1887</v>
      </c>
      <c r="AW48" s="522" t="s">
        <v>2294</v>
      </c>
    </row>
    <row r="49" spans="1:49" ht="69.599999999999994" customHeight="1" thickBot="1" x14ac:dyDescent="0.4">
      <c r="A49" s="119"/>
      <c r="B49" s="1378" t="s">
        <v>841</v>
      </c>
      <c r="C49" s="1404" t="s">
        <v>1298</v>
      </c>
      <c r="D49" s="196" t="s">
        <v>790</v>
      </c>
      <c r="E49" s="197">
        <v>0.3</v>
      </c>
      <c r="F49" s="186">
        <v>1</v>
      </c>
      <c r="G49" s="134">
        <v>0.25</v>
      </c>
      <c r="H49" s="134">
        <v>0.25</v>
      </c>
      <c r="I49" s="134">
        <v>0.3</v>
      </c>
      <c r="J49" s="140">
        <f>+G49/F49</f>
        <v>0.25</v>
      </c>
      <c r="K49" s="139">
        <f t="shared" si="45"/>
        <v>0.25</v>
      </c>
      <c r="L49" s="139">
        <f t="shared" si="46"/>
        <v>0.3</v>
      </c>
      <c r="M49" s="139">
        <f>+(G49/F49)*E49</f>
        <v>7.4999999999999997E-2</v>
      </c>
      <c r="N49" s="139">
        <f t="shared" si="47"/>
        <v>7.4999999999999997E-2</v>
      </c>
      <c r="O49" s="139"/>
      <c r="P49" s="134">
        <v>0.17499999999999999</v>
      </c>
      <c r="Q49" s="496">
        <v>0.02</v>
      </c>
      <c r="R49" s="496">
        <v>0.03</v>
      </c>
      <c r="S49" s="496">
        <v>0</v>
      </c>
      <c r="T49" s="496">
        <v>0</v>
      </c>
      <c r="U49" s="496">
        <v>0</v>
      </c>
      <c r="V49" s="134">
        <f t="shared" si="6"/>
        <v>0.05</v>
      </c>
      <c r="W49" s="134">
        <f t="shared" si="50"/>
        <v>0.46499999999999997</v>
      </c>
      <c r="X49" s="496">
        <v>0.06</v>
      </c>
      <c r="Y49" s="496">
        <v>0.18</v>
      </c>
      <c r="Z49" s="134"/>
      <c r="AA49" s="134"/>
      <c r="AB49" s="134">
        <f t="shared" si="38"/>
        <v>0.24</v>
      </c>
      <c r="AC49" s="156">
        <f>+P49/G49</f>
        <v>0.7</v>
      </c>
      <c r="AD49" s="156">
        <v>1</v>
      </c>
      <c r="AE49" s="156">
        <f t="shared" si="39"/>
        <v>0.8</v>
      </c>
      <c r="AF49" s="156">
        <f>+AC49*E49</f>
        <v>0.21</v>
      </c>
      <c r="AG49" s="156">
        <f>+AD49*E49</f>
        <v>0.3</v>
      </c>
      <c r="AH49" s="156">
        <f t="shared" si="48"/>
        <v>0.24</v>
      </c>
      <c r="AI49" s="156">
        <f>+P49/F49</f>
        <v>0.17499999999999999</v>
      </c>
      <c r="AJ49" s="190">
        <v>0.22499999999999998</v>
      </c>
      <c r="AK49" s="190">
        <f t="shared" si="41"/>
        <v>0.46499999999999997</v>
      </c>
      <c r="AL49" s="190">
        <f>+AI49*E49</f>
        <v>5.2499999999999998E-2</v>
      </c>
      <c r="AM49" s="190">
        <f>+AJ49*E49</f>
        <v>6.7499999999999991E-2</v>
      </c>
      <c r="AN49" s="190">
        <f t="shared" si="49"/>
        <v>0.13949999999999999</v>
      </c>
      <c r="AO49" s="521" t="s">
        <v>1844</v>
      </c>
      <c r="AP49" s="522" t="s">
        <v>1886</v>
      </c>
      <c r="AQ49" s="522" t="s">
        <v>1990</v>
      </c>
      <c r="AR49" s="599" t="s">
        <v>2042</v>
      </c>
      <c r="AS49" s="522" t="s">
        <v>2108</v>
      </c>
      <c r="AT49" s="985" t="s">
        <v>2140</v>
      </c>
      <c r="AU49" s="522" t="s">
        <v>2199</v>
      </c>
      <c r="AV49" s="522" t="s">
        <v>1887</v>
      </c>
      <c r="AW49" s="522" t="s">
        <v>2294</v>
      </c>
    </row>
    <row r="50" spans="1:49" ht="66" customHeight="1" thickBot="1" x14ac:dyDescent="0.4">
      <c r="A50" s="119"/>
      <c r="B50" s="1376" t="s">
        <v>1726</v>
      </c>
      <c r="C50" s="1412"/>
      <c r="D50" s="191"/>
      <c r="E50" s="192">
        <v>0.15</v>
      </c>
      <c r="F50" s="186"/>
      <c r="G50" s="127"/>
      <c r="H50" s="127"/>
      <c r="I50" s="127"/>
      <c r="J50" s="133">
        <f>+AVERAGE(J51:J52)*0.5</f>
        <v>0.125</v>
      </c>
      <c r="K50" s="133">
        <f>+AVERAGE(K51:K52)</f>
        <v>0.22500000000000001</v>
      </c>
      <c r="L50" s="133">
        <f>+AVERAGE(L51:L52)</f>
        <v>0.7</v>
      </c>
      <c r="M50" s="133">
        <f>+M51+M52</f>
        <v>0.1</v>
      </c>
      <c r="N50" s="133">
        <f>+N51+N52</f>
        <v>0.22</v>
      </c>
      <c r="O50" s="133"/>
      <c r="P50" s="132"/>
      <c r="Q50" s="132"/>
      <c r="R50" s="132"/>
      <c r="S50" s="132"/>
      <c r="T50" s="132"/>
      <c r="U50" s="839"/>
      <c r="V50" s="134"/>
      <c r="W50" s="132"/>
      <c r="X50" s="132"/>
      <c r="Y50" s="132"/>
      <c r="Z50" s="132"/>
      <c r="AA50" s="132"/>
      <c r="AB50" s="134"/>
      <c r="AC50" s="154">
        <f>+AVERAGE(AC51:AC52)</f>
        <v>1</v>
      </c>
      <c r="AD50" s="154">
        <f>+AVERAGE(AD51:AD52)</f>
        <v>0.6</v>
      </c>
      <c r="AE50" s="154">
        <f>+AVERAGE(AE51:AE52)</f>
        <v>0.125</v>
      </c>
      <c r="AF50" s="154">
        <f>+(AF51+AF52)*E50</f>
        <v>0.06</v>
      </c>
      <c r="AG50" s="154">
        <f>+(AG51+AG52)*E50</f>
        <v>0.10199999999999999</v>
      </c>
      <c r="AH50" s="154">
        <f>+(AH51+AH52)*E50</f>
        <v>2.2499999999999999E-2</v>
      </c>
      <c r="AI50" s="133">
        <f>+AVERAGE(AI51:AI52)*0.5</f>
        <v>0.125</v>
      </c>
      <c r="AJ50" s="133">
        <v>0.35</v>
      </c>
      <c r="AK50" s="133">
        <f>+AVERAGE(AK51:AK52)</f>
        <v>0.75</v>
      </c>
      <c r="AL50" s="183">
        <f>+(AL51+AL52)*E50</f>
        <v>1.4999999999999999E-2</v>
      </c>
      <c r="AM50" s="183">
        <f>+(AM51+AM52)</f>
        <v>0.36</v>
      </c>
      <c r="AN50" s="183">
        <f>+(AN51+AN52)</f>
        <v>0.8</v>
      </c>
      <c r="AO50" s="770"/>
      <c r="AP50" s="490"/>
      <c r="AQ50" s="490"/>
      <c r="AR50" s="490"/>
      <c r="AS50" s="490"/>
      <c r="AT50" s="984"/>
      <c r="AU50" s="490"/>
      <c r="AV50" s="490"/>
    </row>
    <row r="51" spans="1:49" ht="84.6" customHeight="1" thickBot="1" x14ac:dyDescent="0.4">
      <c r="A51" s="119"/>
      <c r="B51" s="1378" t="s">
        <v>842</v>
      </c>
      <c r="C51" s="1404" t="s">
        <v>1299</v>
      </c>
      <c r="D51" s="196" t="s">
        <v>790</v>
      </c>
      <c r="E51" s="197">
        <v>0.6</v>
      </c>
      <c r="F51" s="186">
        <v>1</v>
      </c>
      <c r="G51" s="134">
        <v>0</v>
      </c>
      <c r="H51" s="134">
        <v>0.2</v>
      </c>
      <c r="I51" s="134">
        <v>0.4</v>
      </c>
      <c r="J51" s="139"/>
      <c r="K51" s="139">
        <f t="shared" si="45"/>
        <v>0.2</v>
      </c>
      <c r="L51" s="139">
        <f t="shared" ref="L51" si="51">+I51/F51</f>
        <v>0.4</v>
      </c>
      <c r="M51" s="139"/>
      <c r="N51" s="139">
        <f t="shared" si="47"/>
        <v>0.12</v>
      </c>
      <c r="O51" s="139"/>
      <c r="P51" s="134"/>
      <c r="Q51" s="496">
        <v>7.0000000000000007E-2</v>
      </c>
      <c r="R51" s="496">
        <v>0.33</v>
      </c>
      <c r="S51" s="496">
        <v>0</v>
      </c>
      <c r="T51" s="496">
        <v>0</v>
      </c>
      <c r="U51" s="496">
        <v>0</v>
      </c>
      <c r="V51" s="134">
        <f>+Q51+R51+S51+T51+U51</f>
        <v>0.4</v>
      </c>
      <c r="W51" s="168">
        <f>+V51+P51+AB51+0.7</f>
        <v>1.2</v>
      </c>
      <c r="X51" s="497">
        <v>0.05</v>
      </c>
      <c r="Y51" s="497">
        <v>0.05</v>
      </c>
      <c r="Z51" s="168"/>
      <c r="AA51" s="168"/>
      <c r="AB51" s="168">
        <f t="shared" si="38"/>
        <v>0.1</v>
      </c>
      <c r="AC51" s="156"/>
      <c r="AD51" s="156">
        <v>1</v>
      </c>
      <c r="AE51" s="156">
        <f t="shared" si="39"/>
        <v>0.25</v>
      </c>
      <c r="AF51" s="156"/>
      <c r="AG51" s="156">
        <f>+AD51*E51</f>
        <v>0.6</v>
      </c>
      <c r="AH51" s="156">
        <f t="shared" ref="AH51:AH52" si="52">+AE51*E51</f>
        <v>0.15</v>
      </c>
      <c r="AI51" s="156"/>
      <c r="AJ51" s="190">
        <v>0.4</v>
      </c>
      <c r="AK51" s="190">
        <v>1</v>
      </c>
      <c r="AL51" s="190"/>
      <c r="AM51" s="190">
        <f>+AJ51*E51</f>
        <v>0.24</v>
      </c>
      <c r="AN51" s="190">
        <f t="shared" ref="AN51:AN52" si="53">+AK51*E51</f>
        <v>0.6</v>
      </c>
      <c r="AO51" s="521" t="s">
        <v>1844</v>
      </c>
      <c r="AP51" s="522" t="s">
        <v>1886</v>
      </c>
      <c r="AQ51" s="490"/>
      <c r="AR51" s="599" t="s">
        <v>2042</v>
      </c>
      <c r="AS51" s="522" t="s">
        <v>2108</v>
      </c>
      <c r="AT51" s="985" t="s">
        <v>2140</v>
      </c>
      <c r="AU51" s="522" t="s">
        <v>2199</v>
      </c>
      <c r="AV51" s="522" t="s">
        <v>1887</v>
      </c>
      <c r="AW51" s="522" t="s">
        <v>2294</v>
      </c>
    </row>
    <row r="52" spans="1:49" ht="79.2" customHeight="1" thickBot="1" x14ac:dyDescent="0.4">
      <c r="A52" s="119"/>
      <c r="B52" s="1378" t="s">
        <v>843</v>
      </c>
      <c r="C52" s="1404" t="s">
        <v>1300</v>
      </c>
      <c r="D52" s="196" t="s">
        <v>790</v>
      </c>
      <c r="E52" s="197">
        <v>0.4</v>
      </c>
      <c r="F52" s="186">
        <v>2</v>
      </c>
      <c r="G52" s="134">
        <v>0.5</v>
      </c>
      <c r="H52" s="134">
        <v>0.5</v>
      </c>
      <c r="I52" s="134">
        <v>2</v>
      </c>
      <c r="J52" s="139">
        <f>+G52/F52</f>
        <v>0.25</v>
      </c>
      <c r="K52" s="139">
        <f t="shared" si="45"/>
        <v>0.25</v>
      </c>
      <c r="L52" s="139">
        <f>+I52/F52</f>
        <v>1</v>
      </c>
      <c r="M52" s="139">
        <f>+(G52/F52)*E52</f>
        <v>0.1</v>
      </c>
      <c r="N52" s="139">
        <f t="shared" si="47"/>
        <v>0.1</v>
      </c>
      <c r="O52" s="139"/>
      <c r="P52" s="134">
        <v>0.5</v>
      </c>
      <c r="Q52" s="496">
        <v>0.03</v>
      </c>
      <c r="R52" s="496">
        <v>7.0000000000000007E-2</v>
      </c>
      <c r="S52" s="496">
        <v>0</v>
      </c>
      <c r="T52" s="496">
        <v>0</v>
      </c>
      <c r="U52" s="496">
        <v>0</v>
      </c>
      <c r="V52" s="134">
        <f>+Q52+R52+S52+T52+U52</f>
        <v>0.1</v>
      </c>
      <c r="W52" s="168">
        <f>+V52+P52+AB52+0.4</f>
        <v>1</v>
      </c>
      <c r="X52" s="496">
        <v>0</v>
      </c>
      <c r="Y52" s="496">
        <v>0</v>
      </c>
      <c r="Z52" s="134"/>
      <c r="AA52" s="134"/>
      <c r="AB52" s="134">
        <f t="shared" si="38"/>
        <v>0</v>
      </c>
      <c r="AC52" s="156">
        <f>+P52/G52</f>
        <v>1</v>
      </c>
      <c r="AD52" s="156">
        <f>+V52/H52</f>
        <v>0.2</v>
      </c>
      <c r="AE52" s="156">
        <f t="shared" si="39"/>
        <v>0</v>
      </c>
      <c r="AF52" s="156">
        <f>+AC52*E52</f>
        <v>0.4</v>
      </c>
      <c r="AG52" s="156">
        <f>+AD52*E52</f>
        <v>8.0000000000000016E-2</v>
      </c>
      <c r="AH52" s="156">
        <f t="shared" si="52"/>
        <v>0</v>
      </c>
      <c r="AI52" s="156">
        <f>+P52/F52</f>
        <v>0.25</v>
      </c>
      <c r="AJ52" s="190">
        <v>0.3</v>
      </c>
      <c r="AK52" s="190">
        <f t="shared" si="41"/>
        <v>0.5</v>
      </c>
      <c r="AL52" s="190">
        <f>+AI52*E52</f>
        <v>0.1</v>
      </c>
      <c r="AM52" s="190">
        <f>+AJ52*E52</f>
        <v>0.12</v>
      </c>
      <c r="AN52" s="190">
        <f t="shared" si="53"/>
        <v>0.2</v>
      </c>
      <c r="AO52" s="521" t="s">
        <v>1844</v>
      </c>
      <c r="AP52" s="522" t="s">
        <v>1886</v>
      </c>
      <c r="AQ52" s="490"/>
      <c r="AR52" s="522" t="s">
        <v>2010</v>
      </c>
      <c r="AS52" s="522" t="s">
        <v>2108</v>
      </c>
      <c r="AT52" s="985" t="s">
        <v>2140</v>
      </c>
      <c r="AU52" s="522" t="s">
        <v>2199</v>
      </c>
      <c r="AV52" s="522" t="s">
        <v>1887</v>
      </c>
      <c r="AW52" s="522" t="s">
        <v>2294</v>
      </c>
    </row>
    <row r="53" spans="1:49" ht="57" customHeight="1" thickBot="1" x14ac:dyDescent="0.4">
      <c r="A53" s="119"/>
      <c r="B53" s="1376" t="s">
        <v>1727</v>
      </c>
      <c r="C53" s="1412"/>
      <c r="D53" s="191"/>
      <c r="E53" s="192">
        <v>0.1</v>
      </c>
      <c r="F53" s="186"/>
      <c r="G53" s="127"/>
      <c r="H53" s="127"/>
      <c r="I53" s="127"/>
      <c r="J53" s="133">
        <f>+AVERAGE(J54:J56)</f>
        <v>0.20833333333333334</v>
      </c>
      <c r="K53" s="133">
        <f>+AVERAGE(K54:K56)</f>
        <v>0.25</v>
      </c>
      <c r="L53" s="133">
        <f>+AVERAGE(L54:L56)</f>
        <v>0.22500000000000001</v>
      </c>
      <c r="M53" s="133">
        <f>+M54+M55+M56</f>
        <v>0.20250000000000001</v>
      </c>
      <c r="N53" s="133">
        <f>+N54+N55+N56</f>
        <v>0.24</v>
      </c>
      <c r="O53" s="133"/>
      <c r="P53" s="132"/>
      <c r="Q53" s="132"/>
      <c r="R53" s="132"/>
      <c r="S53" s="132"/>
      <c r="T53" s="132"/>
      <c r="U53" s="839"/>
      <c r="V53" s="134"/>
      <c r="W53" s="132"/>
      <c r="X53" s="132"/>
      <c r="Y53" s="132"/>
      <c r="Z53" s="132"/>
      <c r="AA53" s="132"/>
      <c r="AB53" s="134"/>
      <c r="AC53" s="154">
        <f>+AVERAGE(AC54:AC56)</f>
        <v>1</v>
      </c>
      <c r="AD53" s="154">
        <f>+AVERAGE(AD54:AD56)</f>
        <v>0.98613333333333342</v>
      </c>
      <c r="AE53" s="154">
        <f>+AVERAGE(AE54:AE56)</f>
        <v>0.63</v>
      </c>
      <c r="AF53" s="154">
        <f>+(AF54+AF55+AF56)*E53</f>
        <v>0.1</v>
      </c>
      <c r="AG53" s="154">
        <f>+(AG54+AG55+AG56)*E53</f>
        <v>9.8752000000000006E-2</v>
      </c>
      <c r="AH53" s="154">
        <f>+(AH54+AH55+AH56)*E53</f>
        <v>6.1700000000000005E-2</v>
      </c>
      <c r="AI53" s="133">
        <f>+AVERAGE(AI54:AI56)</f>
        <v>0.25</v>
      </c>
      <c r="AJ53" s="133">
        <v>0.62986666666666669</v>
      </c>
      <c r="AK53" s="133">
        <f>+AVERAGE(AK54:AK56)</f>
        <v>0.73736666666666661</v>
      </c>
      <c r="AL53" s="183">
        <f>+(AL54+AL55+AL56)*E53</f>
        <v>2.4E-2</v>
      </c>
      <c r="AM53" s="183">
        <f>+(AM54+AM55+AM56)</f>
        <v>0.57688000000000006</v>
      </c>
      <c r="AN53" s="183">
        <f>+(AN54+AN55+AN56)</f>
        <v>0.68862999999999996</v>
      </c>
      <c r="AO53" s="770"/>
      <c r="AP53" s="490"/>
      <c r="AQ53" s="490"/>
      <c r="AR53" s="490"/>
      <c r="AS53" s="490"/>
      <c r="AT53" s="984"/>
      <c r="AU53" s="490"/>
      <c r="AV53" s="490"/>
    </row>
    <row r="54" spans="1:49" ht="86.4" customHeight="1" thickBot="1" x14ac:dyDescent="0.4">
      <c r="A54" s="119"/>
      <c r="B54" s="1378" t="s">
        <v>844</v>
      </c>
      <c r="C54" s="1404" t="s">
        <v>1865</v>
      </c>
      <c r="D54" s="184" t="s">
        <v>790</v>
      </c>
      <c r="E54" s="188">
        <v>0.45</v>
      </c>
      <c r="F54" s="186">
        <v>5</v>
      </c>
      <c r="G54" s="134">
        <v>1</v>
      </c>
      <c r="H54" s="134">
        <v>1</v>
      </c>
      <c r="I54" s="134">
        <v>1</v>
      </c>
      <c r="J54" s="139">
        <f>+G54/F54</f>
        <v>0.2</v>
      </c>
      <c r="K54" s="139">
        <f t="shared" si="45"/>
        <v>0.2</v>
      </c>
      <c r="L54" s="139">
        <f t="shared" ref="L54" si="54">+I54/F54</f>
        <v>0.2</v>
      </c>
      <c r="M54" s="139">
        <f>+(G54/F54)*E54</f>
        <v>9.0000000000000011E-2</v>
      </c>
      <c r="N54" s="139">
        <f t="shared" si="47"/>
        <v>9.0000000000000011E-2</v>
      </c>
      <c r="O54" s="139"/>
      <c r="P54" s="134">
        <v>1</v>
      </c>
      <c r="Q54" s="496">
        <v>0.14000000000000001</v>
      </c>
      <c r="R54" s="496">
        <v>0.2</v>
      </c>
      <c r="S54" s="496">
        <v>0.28999999999999998</v>
      </c>
      <c r="T54" s="496">
        <v>0.23</v>
      </c>
      <c r="U54" s="496">
        <v>0.14000000000000001</v>
      </c>
      <c r="V54" s="168">
        <f t="shared" si="6"/>
        <v>1</v>
      </c>
      <c r="W54" s="168">
        <f>+V54+P54+AB54</f>
        <v>2.5</v>
      </c>
      <c r="X54" s="497">
        <v>0.28000000000000003</v>
      </c>
      <c r="Y54" s="497">
        <v>0.22</v>
      </c>
      <c r="Z54" s="168"/>
      <c r="AA54" s="168"/>
      <c r="AB54" s="168">
        <f t="shared" si="38"/>
        <v>0.5</v>
      </c>
      <c r="AC54" s="156">
        <f>+(P54/G54)</f>
        <v>1</v>
      </c>
      <c r="AD54" s="156">
        <f>+V54/H54</f>
        <v>1</v>
      </c>
      <c r="AE54" s="156">
        <f t="shared" si="39"/>
        <v>0.5</v>
      </c>
      <c r="AF54" s="156">
        <f>+AC54*E54</f>
        <v>0.45</v>
      </c>
      <c r="AG54" s="156">
        <f>+AD54*E54</f>
        <v>0.45</v>
      </c>
      <c r="AH54" s="156">
        <f t="shared" ref="AH54:AH56" si="55">+AE54*E54</f>
        <v>0.22500000000000001</v>
      </c>
      <c r="AI54" s="156">
        <f>+P54/F54</f>
        <v>0.2</v>
      </c>
      <c r="AJ54" s="190">
        <v>0.4</v>
      </c>
      <c r="AK54" s="190">
        <f t="shared" si="41"/>
        <v>0.5</v>
      </c>
      <c r="AL54" s="190">
        <f>+AI54*E54</f>
        <v>9.0000000000000011E-2</v>
      </c>
      <c r="AM54" s="190">
        <f>+AJ54*E54</f>
        <v>0.18000000000000002</v>
      </c>
      <c r="AN54" s="190">
        <f t="shared" ref="AN54:AN56" si="56">+AK54*E54</f>
        <v>0.22500000000000001</v>
      </c>
      <c r="AO54" s="521" t="s">
        <v>1844</v>
      </c>
      <c r="AP54" s="522" t="s">
        <v>1886</v>
      </c>
      <c r="AQ54" s="522" t="s">
        <v>1990</v>
      </c>
      <c r="AR54" s="522" t="s">
        <v>2010</v>
      </c>
      <c r="AS54" s="522" t="s">
        <v>2108</v>
      </c>
      <c r="AT54" s="985" t="s">
        <v>2140</v>
      </c>
      <c r="AU54" s="490"/>
      <c r="AV54" s="522" t="s">
        <v>1887</v>
      </c>
      <c r="AW54" s="522" t="s">
        <v>2294</v>
      </c>
    </row>
    <row r="55" spans="1:49" ht="76.95" customHeight="1" thickBot="1" x14ac:dyDescent="0.4">
      <c r="A55" s="119"/>
      <c r="B55" s="1378" t="s">
        <v>845</v>
      </c>
      <c r="C55" s="1404" t="s">
        <v>1301</v>
      </c>
      <c r="D55" s="184" t="s">
        <v>790</v>
      </c>
      <c r="E55" s="188">
        <v>0.3</v>
      </c>
      <c r="F55" s="186">
        <v>4</v>
      </c>
      <c r="G55" s="134">
        <v>0.5</v>
      </c>
      <c r="H55" s="134">
        <v>1</v>
      </c>
      <c r="I55" s="134">
        <v>1</v>
      </c>
      <c r="J55" s="139">
        <f>+G55/F55</f>
        <v>0.125</v>
      </c>
      <c r="K55" s="139">
        <f t="shared" si="45"/>
        <v>0.25</v>
      </c>
      <c r="L55" s="139">
        <f>+I55/F55</f>
        <v>0.25</v>
      </c>
      <c r="M55" s="139">
        <f>+(G55/F55)*E55</f>
        <v>3.7499999999999999E-2</v>
      </c>
      <c r="N55" s="139">
        <f t="shared" si="47"/>
        <v>7.4999999999999997E-2</v>
      </c>
      <c r="O55" s="139"/>
      <c r="P55" s="134">
        <v>1</v>
      </c>
      <c r="Q55" s="497">
        <v>1.67E-2</v>
      </c>
      <c r="R55" s="497">
        <v>0.28670000000000001</v>
      </c>
      <c r="S55" s="497">
        <v>0.44500000000000001</v>
      </c>
      <c r="T55" s="497">
        <v>0.1</v>
      </c>
      <c r="U55" s="497">
        <v>0.11</v>
      </c>
      <c r="V55" s="168">
        <f t="shared" si="6"/>
        <v>0.95839999999999992</v>
      </c>
      <c r="W55" s="168">
        <f t="shared" ref="W55:W56" si="57">+V55+P55+AB55</f>
        <v>2.8483999999999998</v>
      </c>
      <c r="X55" s="497">
        <v>0.35</v>
      </c>
      <c r="Y55" s="497">
        <v>0.54</v>
      </c>
      <c r="Z55" s="168"/>
      <c r="AA55" s="168"/>
      <c r="AB55" s="168">
        <f t="shared" si="38"/>
        <v>0.89</v>
      </c>
      <c r="AC55" s="156">
        <v>1</v>
      </c>
      <c r="AD55" s="156">
        <f>+V55/H55</f>
        <v>0.95839999999999992</v>
      </c>
      <c r="AE55" s="156">
        <f>+AB55/I55</f>
        <v>0.89</v>
      </c>
      <c r="AF55" s="156">
        <f>+AC55*E55</f>
        <v>0.3</v>
      </c>
      <c r="AG55" s="156">
        <f>+AD55*E55</f>
        <v>0.28751999999999994</v>
      </c>
      <c r="AH55" s="156">
        <f>+AE55*E55</f>
        <v>0.26700000000000002</v>
      </c>
      <c r="AI55" s="156">
        <f>+P55/F55</f>
        <v>0.25</v>
      </c>
      <c r="AJ55" s="190">
        <v>0.48959999999999998</v>
      </c>
      <c r="AK55" s="190">
        <f t="shared" si="41"/>
        <v>0.71209999999999996</v>
      </c>
      <c r="AL55" s="190">
        <f>+AI55*E55</f>
        <v>7.4999999999999997E-2</v>
      </c>
      <c r="AM55" s="190">
        <f>+AJ55*E55</f>
        <v>0.14687999999999998</v>
      </c>
      <c r="AN55" s="190">
        <f t="shared" si="56"/>
        <v>0.21362999999999999</v>
      </c>
      <c r="AO55" s="521" t="s">
        <v>1844</v>
      </c>
      <c r="AP55" s="522" t="s">
        <v>1886</v>
      </c>
      <c r="AQ55" s="522" t="s">
        <v>1990</v>
      </c>
      <c r="AR55" s="522" t="s">
        <v>2010</v>
      </c>
      <c r="AS55" s="522" t="s">
        <v>2108</v>
      </c>
      <c r="AT55" s="985" t="s">
        <v>2140</v>
      </c>
      <c r="AU55" s="490"/>
      <c r="AV55" s="522" t="s">
        <v>1887</v>
      </c>
      <c r="AW55" s="522" t="s">
        <v>2294</v>
      </c>
    </row>
    <row r="56" spans="1:49" ht="56.4" customHeight="1" thickBot="1" x14ac:dyDescent="0.4">
      <c r="A56" s="119"/>
      <c r="B56" s="1378" t="s">
        <v>846</v>
      </c>
      <c r="C56" s="1404" t="s">
        <v>1302</v>
      </c>
      <c r="D56" s="184" t="s">
        <v>790</v>
      </c>
      <c r="E56" s="188">
        <v>0.25</v>
      </c>
      <c r="F56" s="186">
        <v>1</v>
      </c>
      <c r="G56" s="134">
        <v>0.3</v>
      </c>
      <c r="H56" s="134">
        <v>0.3</v>
      </c>
      <c r="I56" s="134">
        <v>0.4</v>
      </c>
      <c r="J56" s="139">
        <f>+G56/F56</f>
        <v>0.3</v>
      </c>
      <c r="K56" s="139">
        <f t="shared" si="45"/>
        <v>0.3</v>
      </c>
      <c r="L56" s="139"/>
      <c r="M56" s="139">
        <f>+(G56/F56)*E56</f>
        <v>7.4999999999999997E-2</v>
      </c>
      <c r="N56" s="139">
        <f t="shared" si="47"/>
        <v>7.4999999999999997E-2</v>
      </c>
      <c r="O56" s="139"/>
      <c r="P56" s="134">
        <v>0.3</v>
      </c>
      <c r="Q56" s="497">
        <v>1.67E-2</v>
      </c>
      <c r="R56" s="497">
        <v>0.1</v>
      </c>
      <c r="S56" s="496">
        <v>0.78</v>
      </c>
      <c r="T56" s="496">
        <v>0.05</v>
      </c>
      <c r="U56" s="496">
        <v>0.05</v>
      </c>
      <c r="V56" s="168">
        <f t="shared" si="6"/>
        <v>0.99670000000000014</v>
      </c>
      <c r="W56" s="168">
        <f t="shared" si="57"/>
        <v>1.4967000000000001</v>
      </c>
      <c r="X56" s="497">
        <v>0.18</v>
      </c>
      <c r="Y56" s="497">
        <v>0.02</v>
      </c>
      <c r="Z56" s="168"/>
      <c r="AA56" s="168"/>
      <c r="AB56" s="168">
        <f t="shared" si="38"/>
        <v>0.19999999999999998</v>
      </c>
      <c r="AC56" s="156">
        <f>+(P56/G56)</f>
        <v>1</v>
      </c>
      <c r="AD56" s="156">
        <v>1</v>
      </c>
      <c r="AE56" s="156">
        <f t="shared" si="39"/>
        <v>0.49999999999999994</v>
      </c>
      <c r="AF56" s="156">
        <f>+AC56*E56</f>
        <v>0.25</v>
      </c>
      <c r="AG56" s="156">
        <f>+AD56*E56</f>
        <v>0.25</v>
      </c>
      <c r="AH56" s="156">
        <f t="shared" si="55"/>
        <v>0.12499999999999999</v>
      </c>
      <c r="AI56" s="156">
        <f>+P56/F56</f>
        <v>0.3</v>
      </c>
      <c r="AJ56" s="190">
        <v>1</v>
      </c>
      <c r="AK56" s="190">
        <v>1</v>
      </c>
      <c r="AL56" s="190">
        <f>+AI56*E56</f>
        <v>7.4999999999999997E-2</v>
      </c>
      <c r="AM56" s="190">
        <f>+AJ56*E56</f>
        <v>0.25</v>
      </c>
      <c r="AN56" s="190">
        <f t="shared" si="56"/>
        <v>0.25</v>
      </c>
      <c r="AO56" s="521" t="s">
        <v>1844</v>
      </c>
      <c r="AP56" s="522" t="s">
        <v>1886</v>
      </c>
      <c r="AQ56" s="522" t="s">
        <v>1990</v>
      </c>
      <c r="AR56" s="522" t="s">
        <v>2010</v>
      </c>
      <c r="AS56" s="522" t="s">
        <v>2130</v>
      </c>
      <c r="AT56" s="985" t="s">
        <v>2140</v>
      </c>
      <c r="AU56" s="490"/>
      <c r="AV56" s="522" t="s">
        <v>1887</v>
      </c>
      <c r="AW56" s="522" t="s">
        <v>2294</v>
      </c>
    </row>
    <row r="57" spans="1:49" ht="86.25" customHeight="1" thickBot="1" x14ac:dyDescent="0.4">
      <c r="A57" s="119"/>
      <c r="B57" s="1376" t="s">
        <v>1803</v>
      </c>
      <c r="C57" s="1412"/>
      <c r="D57" s="191"/>
      <c r="E57" s="192">
        <v>0.25</v>
      </c>
      <c r="F57" s="186"/>
      <c r="G57" s="127"/>
      <c r="H57" s="127"/>
      <c r="I57" s="127"/>
      <c r="J57" s="133">
        <f>+AVERAGE(J58:J59)</f>
        <v>0.16666666666666666</v>
      </c>
      <c r="K57" s="133">
        <f>+AVERAGE(K58:K59)</f>
        <v>0.3</v>
      </c>
      <c r="L57" s="133">
        <f>+AVERAGE(L58:L59)</f>
        <v>0.17499999999999999</v>
      </c>
      <c r="M57" s="133">
        <f>+M58+M59</f>
        <v>0.13333333333333333</v>
      </c>
      <c r="N57" s="133">
        <f>+N58+N59</f>
        <v>0.06</v>
      </c>
      <c r="O57" s="133"/>
      <c r="P57" s="132"/>
      <c r="Q57" s="132"/>
      <c r="R57" s="132"/>
      <c r="S57" s="132"/>
      <c r="T57" s="132"/>
      <c r="U57" s="839"/>
      <c r="V57" s="134"/>
      <c r="W57" s="132"/>
      <c r="X57" s="132"/>
      <c r="Y57" s="132"/>
      <c r="Z57" s="132"/>
      <c r="AA57" s="132"/>
      <c r="AB57" s="134"/>
      <c r="AC57" s="154">
        <f>+AVERAGE(AC58:AC59)</f>
        <v>0.5</v>
      </c>
      <c r="AD57" s="154">
        <f>+AVERAGE(AD58:AD59)</f>
        <v>1</v>
      </c>
      <c r="AE57" s="154">
        <f>+AVERAGE(AE58:AE59)</f>
        <v>8.1714285714285712E-2</v>
      </c>
      <c r="AF57" s="154">
        <f>+(AF58+AF59)*E57</f>
        <v>0.1</v>
      </c>
      <c r="AG57" s="154">
        <f>+(AG58+AG59)*E57</f>
        <v>0.05</v>
      </c>
      <c r="AH57" s="154">
        <f>+(AH58+AH59)*E57</f>
        <v>4.0857142857142854E-3</v>
      </c>
      <c r="AI57" s="133">
        <f>+AVERAGE(AI58:AI59)</f>
        <v>8.3333333333333329E-2</v>
      </c>
      <c r="AJ57" s="133">
        <v>0.21262466666666666</v>
      </c>
      <c r="AK57" s="133">
        <f>+AVERAGE(AK58:AK59)</f>
        <v>0.22692466666666666</v>
      </c>
      <c r="AL57" s="183">
        <f>+(AL58+AL59)*E57</f>
        <v>1.6666666666666666E-2</v>
      </c>
      <c r="AM57" s="183">
        <f>+(AM58+AM59)</f>
        <v>0.13504986666666668</v>
      </c>
      <c r="AN57" s="183">
        <f>+(AN58+AN59)</f>
        <v>0.14076986666666669</v>
      </c>
      <c r="AO57" s="770"/>
      <c r="AP57" s="490"/>
      <c r="AQ57" s="490"/>
      <c r="AR57" s="490"/>
      <c r="AS57" s="490"/>
      <c r="AT57" s="984"/>
      <c r="AU57" s="490"/>
      <c r="AV57" s="490"/>
    </row>
    <row r="58" spans="1:49" ht="78" customHeight="1" thickBot="1" x14ac:dyDescent="0.4">
      <c r="A58" s="119"/>
      <c r="B58" s="1378" t="s">
        <v>847</v>
      </c>
      <c r="C58" s="1404" t="s">
        <v>1303</v>
      </c>
      <c r="D58" s="199" t="s">
        <v>1539</v>
      </c>
      <c r="E58" s="188">
        <v>0.2</v>
      </c>
      <c r="F58" s="186">
        <v>10000</v>
      </c>
      <c r="G58" s="134">
        <v>0</v>
      </c>
      <c r="H58" s="134">
        <v>3000</v>
      </c>
      <c r="I58" s="134">
        <v>3500</v>
      </c>
      <c r="J58" s="139"/>
      <c r="K58" s="139">
        <f t="shared" ref="K58" si="58">+H58/F58</f>
        <v>0.3</v>
      </c>
      <c r="L58" s="139">
        <f>+I58/F58</f>
        <v>0.35</v>
      </c>
      <c r="M58" s="139"/>
      <c r="N58" s="139">
        <f t="shared" si="47"/>
        <v>0.06</v>
      </c>
      <c r="O58" s="139"/>
      <c r="P58" s="134"/>
      <c r="Q58" s="496">
        <v>0</v>
      </c>
      <c r="R58" s="496">
        <v>1626</v>
      </c>
      <c r="S58" s="496">
        <v>1387.67</v>
      </c>
      <c r="T58" s="496">
        <v>405.49</v>
      </c>
      <c r="U58" s="496">
        <v>0</v>
      </c>
      <c r="V58" s="134">
        <f t="shared" si="6"/>
        <v>3419.16</v>
      </c>
      <c r="W58" s="134">
        <f>+V58+P58+AB58</f>
        <v>3705.16</v>
      </c>
      <c r="X58" s="496">
        <v>286</v>
      </c>
      <c r="Y58" s="496">
        <v>0</v>
      </c>
      <c r="Z58" s="134"/>
      <c r="AA58" s="134"/>
      <c r="AB58" s="134">
        <f t="shared" si="38"/>
        <v>286</v>
      </c>
      <c r="AC58" s="156"/>
      <c r="AD58" s="156">
        <v>1</v>
      </c>
      <c r="AE58" s="156">
        <f>+AB58/I58</f>
        <v>8.1714285714285712E-2</v>
      </c>
      <c r="AF58" s="156"/>
      <c r="AG58" s="156">
        <f>+AD58*E58</f>
        <v>0.2</v>
      </c>
      <c r="AH58" s="156">
        <f t="shared" ref="AH58" si="59">+AE58*E58</f>
        <v>1.6342857142857142E-2</v>
      </c>
      <c r="AI58" s="156"/>
      <c r="AJ58" s="190">
        <v>0.341916</v>
      </c>
      <c r="AK58" s="190">
        <f t="shared" si="41"/>
        <v>0.37051600000000001</v>
      </c>
      <c r="AL58" s="190"/>
      <c r="AM58" s="190">
        <f>+AJ58*E58</f>
        <v>6.8383200000000005E-2</v>
      </c>
      <c r="AN58" s="190">
        <f t="shared" ref="AN58:AN59" si="60">+AK58*E58</f>
        <v>7.4103200000000008E-2</v>
      </c>
      <c r="AO58" s="521" t="s">
        <v>1844</v>
      </c>
      <c r="AP58" s="765" t="s">
        <v>1913</v>
      </c>
      <c r="AQ58" s="522" t="s">
        <v>1990</v>
      </c>
      <c r="AR58" s="522" t="s">
        <v>2010</v>
      </c>
      <c r="AS58" s="522" t="s">
        <v>2108</v>
      </c>
      <c r="AT58" s="985" t="s">
        <v>2140</v>
      </c>
      <c r="AU58" s="522" t="s">
        <v>2199</v>
      </c>
      <c r="AV58" s="522" t="s">
        <v>1887</v>
      </c>
      <c r="AW58" s="522" t="s">
        <v>2294</v>
      </c>
    </row>
    <row r="59" spans="1:49" ht="102.6" customHeight="1" thickBot="1" x14ac:dyDescent="0.4">
      <c r="A59" s="119"/>
      <c r="B59" s="1378" t="s">
        <v>848</v>
      </c>
      <c r="C59" s="1404" t="s">
        <v>1304</v>
      </c>
      <c r="D59" s="199" t="s">
        <v>1539</v>
      </c>
      <c r="E59" s="188">
        <v>0.8</v>
      </c>
      <c r="F59" s="186">
        <v>6</v>
      </c>
      <c r="G59" s="134">
        <v>1</v>
      </c>
      <c r="H59" s="195">
        <v>0</v>
      </c>
      <c r="I59" s="195"/>
      <c r="J59" s="139">
        <f>+G59/F59</f>
        <v>0.16666666666666666</v>
      </c>
      <c r="K59" s="139"/>
      <c r="L59" s="139">
        <f>+I59/F59</f>
        <v>0</v>
      </c>
      <c r="M59" s="139">
        <f>+(G59/F59)*E59</f>
        <v>0.13333333333333333</v>
      </c>
      <c r="N59" s="139">
        <f t="shared" si="47"/>
        <v>0</v>
      </c>
      <c r="O59" s="139"/>
      <c r="P59" s="134">
        <v>0.5</v>
      </c>
      <c r="Q59" s="496"/>
      <c r="R59" s="496"/>
      <c r="S59" s="496"/>
      <c r="T59" s="496"/>
      <c r="U59" s="496"/>
      <c r="V59" s="134">
        <f t="shared" si="6"/>
        <v>0</v>
      </c>
      <c r="W59" s="134">
        <f>+V59+P59+AB59</f>
        <v>0.5</v>
      </c>
      <c r="X59" s="134"/>
      <c r="Y59" s="134"/>
      <c r="Z59" s="134"/>
      <c r="AA59" s="134"/>
      <c r="AB59" s="134">
        <f>+X59+Y59+Z59+AA59</f>
        <v>0</v>
      </c>
      <c r="AC59" s="156">
        <f>+(P59/G59)</f>
        <v>0.5</v>
      </c>
      <c r="AD59" s="156"/>
      <c r="AE59" s="156"/>
      <c r="AF59" s="156">
        <f>+AC59*E59</f>
        <v>0.4</v>
      </c>
      <c r="AG59" s="156">
        <f>+AD59*E59</f>
        <v>0</v>
      </c>
      <c r="AH59" s="156"/>
      <c r="AI59" s="156">
        <f>+P59/F59</f>
        <v>8.3333333333333329E-2</v>
      </c>
      <c r="AJ59" s="190">
        <v>8.3333333333333329E-2</v>
      </c>
      <c r="AK59" s="190">
        <f t="shared" si="41"/>
        <v>8.3333333333333329E-2</v>
      </c>
      <c r="AL59" s="190">
        <f>+AI59*E59</f>
        <v>6.6666666666666666E-2</v>
      </c>
      <c r="AM59" s="190">
        <f>+AJ59*E59</f>
        <v>6.6666666666666666E-2</v>
      </c>
      <c r="AN59" s="190">
        <f t="shared" si="60"/>
        <v>6.6666666666666666E-2</v>
      </c>
      <c r="AO59" s="521" t="s">
        <v>1844</v>
      </c>
      <c r="AP59" s="527" t="s">
        <v>1886</v>
      </c>
      <c r="AQ59" s="522" t="s">
        <v>1990</v>
      </c>
      <c r="AR59" s="522" t="s">
        <v>2010</v>
      </c>
      <c r="AS59" s="522" t="s">
        <v>2108</v>
      </c>
      <c r="AT59" s="985" t="s">
        <v>2140</v>
      </c>
      <c r="AU59" s="522" t="s">
        <v>2199</v>
      </c>
      <c r="AV59" s="523" t="s">
        <v>1859</v>
      </c>
      <c r="AW59" s="523" t="s">
        <v>1859</v>
      </c>
    </row>
    <row r="60" spans="1:49" ht="108.75" customHeight="1" thickBot="1" x14ac:dyDescent="0.4">
      <c r="A60" s="119"/>
      <c r="B60" s="1374" t="s">
        <v>1804</v>
      </c>
      <c r="C60" s="1412"/>
      <c r="D60" s="191"/>
      <c r="E60" s="194">
        <v>0.15</v>
      </c>
      <c r="F60" s="122">
        <f>+E60*AF60</f>
        <v>0.12154551724137931</v>
      </c>
      <c r="G60" s="127"/>
      <c r="H60" s="123">
        <f>+E60*AG60</f>
        <v>0.146505</v>
      </c>
      <c r="I60" s="123">
        <f>+E60*AH60</f>
        <v>2.5671684782608693E-2</v>
      </c>
      <c r="J60" s="125">
        <f>+(J61+J64+J69+J73+J77+J79)/6</f>
        <v>0.25786840977058367</v>
      </c>
      <c r="K60" s="125">
        <f>+(K61+K64+K69+K73+K77+K79)/6</f>
        <v>0.22714246502289981</v>
      </c>
      <c r="L60" s="125">
        <f>+(L61+L64+L69+L73+L77+L79)/6</f>
        <v>0.29446546207415775</v>
      </c>
      <c r="M60" s="126">
        <f>+(M61+M64+M69+M73+M77+M79)/6</f>
        <v>0.23061672626890017</v>
      </c>
      <c r="N60" s="126">
        <f>+(N61+N64+N69+N73+N77+N79)/6</f>
        <v>0.22248337411380889</v>
      </c>
      <c r="O60" s="126"/>
      <c r="P60" s="127"/>
      <c r="Q60" s="127"/>
      <c r="R60" s="127"/>
      <c r="S60" s="127"/>
      <c r="T60" s="127"/>
      <c r="U60" s="176"/>
      <c r="V60" s="819"/>
      <c r="W60" s="127"/>
      <c r="X60" s="127"/>
      <c r="Y60" s="127"/>
      <c r="Z60" s="127"/>
      <c r="AA60" s="127"/>
      <c r="AB60" s="127"/>
      <c r="AC60" s="125">
        <f>+(AC61+AC64+AC69+AC73+AC77+AC79)/6</f>
        <v>0.89865134099616861</v>
      </c>
      <c r="AD60" s="125">
        <f>+(AD61+AD64+AD69+AD73+AD77+AD79)/6</f>
        <v>0.98029629629629633</v>
      </c>
      <c r="AE60" s="125">
        <f>+(AE61+AE64+AE69+AE73+AE77+AE79)/6</f>
        <v>0.40106582125603868</v>
      </c>
      <c r="AF60" s="126">
        <f>+AF61+AF64+AF69+AF73+AF77+AF79</f>
        <v>0.81030344827586209</v>
      </c>
      <c r="AG60" s="126">
        <f>+AG61+AG64+AG69+AG73+AG77+AG79</f>
        <v>0.97670000000000001</v>
      </c>
      <c r="AH60" s="126">
        <f>+AH61+AH64+AH69+AH73+AH77+AH79</f>
        <v>0.1711445652173913</v>
      </c>
      <c r="AI60" s="125">
        <f>(AI61+AI64+AI69+AI73+AI77+AI79)/6</f>
        <v>0.34751855340367338</v>
      </c>
      <c r="AJ60" s="125">
        <v>0.62223930440984399</v>
      </c>
      <c r="AK60" s="125">
        <f>(AK61+AK64+AK69+AK73+AK77+AK79)/6</f>
        <v>0.67742079699688384</v>
      </c>
      <c r="AL60" s="181">
        <f>+(AL61+AL64+AL69+AL73+AL77+AL79)</f>
        <v>0.30808632226094745</v>
      </c>
      <c r="AM60" s="181">
        <f>+(AM61*E61+AM64*E64+AM69*E69+AM73*E73+AM77*E77+AM79*E79)</f>
        <v>0.56432627484958808</v>
      </c>
      <c r="AN60" s="181">
        <f>+(AN61*E61+AN64*E64+AN69*E69+AN73*E73+AN77*E77+AN79*E79)</f>
        <v>0.65797272162619991</v>
      </c>
      <c r="AO60" s="769"/>
      <c r="AP60" s="490"/>
      <c r="AQ60" s="490"/>
      <c r="AR60" s="490"/>
      <c r="AS60" s="490"/>
      <c r="AT60" s="984"/>
      <c r="AU60" s="490"/>
      <c r="AV60" s="490"/>
    </row>
    <row r="61" spans="1:49" ht="57" customHeight="1" thickBot="1" x14ac:dyDescent="0.4">
      <c r="A61" s="119"/>
      <c r="B61" s="1376" t="s">
        <v>1805</v>
      </c>
      <c r="C61" s="1412"/>
      <c r="D61" s="191"/>
      <c r="E61" s="192">
        <v>0.1</v>
      </c>
      <c r="F61" s="186"/>
      <c r="G61" s="127"/>
      <c r="H61" s="127"/>
      <c r="I61" s="127"/>
      <c r="J61" s="133">
        <f>+AVERAGE(J62:J63)</f>
        <v>0.33333333333333331</v>
      </c>
      <c r="K61" s="133">
        <f>+AVERAGE(K62:K63)</f>
        <v>0.29166666666666663</v>
      </c>
      <c r="L61" s="133">
        <f>+AVERAGE(L62:L63)</f>
        <v>0.3666666666666667</v>
      </c>
      <c r="M61" s="133">
        <f>+M62+M63</f>
        <v>9.9999999999999992E-2</v>
      </c>
      <c r="N61" s="133">
        <f>+N62+N63</f>
        <v>0.27499999999999997</v>
      </c>
      <c r="O61" s="133"/>
      <c r="P61" s="132"/>
      <c r="Q61" s="132"/>
      <c r="R61" s="132"/>
      <c r="S61" s="132"/>
      <c r="T61" s="132"/>
      <c r="U61" s="839"/>
      <c r="V61" s="134"/>
      <c r="W61" s="132"/>
      <c r="X61" s="132"/>
      <c r="Y61" s="132"/>
      <c r="Z61" s="132"/>
      <c r="AA61" s="132"/>
      <c r="AB61" s="132"/>
      <c r="AC61" s="154">
        <f>+AVERAGE(AC62:AC63)</f>
        <v>0.9</v>
      </c>
      <c r="AD61" s="154">
        <f>+AVERAGE(AD62:AD63)</f>
        <v>1</v>
      </c>
      <c r="AE61" s="154">
        <f>+AVERAGE(AE62:AE63)</f>
        <v>0.44625000000000004</v>
      </c>
      <c r="AF61" s="154">
        <f>+(AF62+AF63)*E61</f>
        <v>2.7000000000000003E-2</v>
      </c>
      <c r="AG61" s="154">
        <f>+(AG62+AG63)*E61</f>
        <v>0.1</v>
      </c>
      <c r="AH61" s="154">
        <f>+(AH62+AH63)*E61</f>
        <v>3.6475E-2</v>
      </c>
      <c r="AI61" s="133">
        <f>+AVERAGE(AI62:AI63)</f>
        <v>0.3</v>
      </c>
      <c r="AJ61" s="133">
        <v>0.59166666666666701</v>
      </c>
      <c r="AK61" s="133">
        <f>+AVERAGE(AK62:AK63)</f>
        <v>0.59850000000000003</v>
      </c>
      <c r="AL61" s="183">
        <f>+(AL62+AL63)*E61</f>
        <v>8.9999999999999993E-3</v>
      </c>
      <c r="AM61" s="183">
        <f>+(AM62+AM63)</f>
        <v>0.36499999999999999</v>
      </c>
      <c r="AN61" s="183">
        <f>+(AN62+AN63)</f>
        <v>0.49790000000000001</v>
      </c>
      <c r="AO61" s="770"/>
      <c r="AP61" s="490"/>
      <c r="AQ61" s="490"/>
      <c r="AR61" s="490"/>
      <c r="AS61" s="490"/>
      <c r="AT61" s="984"/>
      <c r="AU61" s="490"/>
      <c r="AV61" s="490"/>
    </row>
    <row r="62" spans="1:49" ht="90" customHeight="1" thickBot="1" x14ac:dyDescent="0.4">
      <c r="A62" s="119"/>
      <c r="B62" s="1378" t="s">
        <v>849</v>
      </c>
      <c r="C62" s="1404" t="s">
        <v>1305</v>
      </c>
      <c r="D62" s="184" t="s">
        <v>790</v>
      </c>
      <c r="E62" s="188">
        <v>0.3</v>
      </c>
      <c r="F62" s="186">
        <v>6</v>
      </c>
      <c r="G62" s="134">
        <v>2</v>
      </c>
      <c r="H62" s="134">
        <v>2</v>
      </c>
      <c r="I62" s="134">
        <v>2</v>
      </c>
      <c r="J62" s="139">
        <f>+G62/F62</f>
        <v>0.33333333333333331</v>
      </c>
      <c r="K62" s="139">
        <f t="shared" ref="K62:K63" si="61">+H62/F62</f>
        <v>0.33333333333333331</v>
      </c>
      <c r="L62" s="139">
        <f t="shared" ref="L62:L63" si="62">+I62/F62</f>
        <v>0.33333333333333331</v>
      </c>
      <c r="M62" s="139">
        <f>+(G62/F62)*E62</f>
        <v>9.9999999999999992E-2</v>
      </c>
      <c r="N62" s="139">
        <f t="shared" ref="N62:N81" si="63">+(H62/F62)*E62</f>
        <v>9.9999999999999992E-2</v>
      </c>
      <c r="O62" s="139"/>
      <c r="P62" s="134">
        <v>1.8</v>
      </c>
      <c r="Q62" s="496">
        <v>0.15</v>
      </c>
      <c r="R62" s="496">
        <v>0.9</v>
      </c>
      <c r="S62" s="496">
        <v>0.5</v>
      </c>
      <c r="T62" s="496">
        <v>0</v>
      </c>
      <c r="U62" s="496">
        <v>0.45</v>
      </c>
      <c r="V62" s="134">
        <f t="shared" si="6"/>
        <v>2</v>
      </c>
      <c r="W62" s="602">
        <f>+V62+P62+AB62</f>
        <v>5.0999999999999996</v>
      </c>
      <c r="X62" s="496">
        <v>0</v>
      </c>
      <c r="Y62" s="496">
        <v>1.3</v>
      </c>
      <c r="Z62" s="134"/>
      <c r="AA62" s="134"/>
      <c r="AB62" s="134">
        <f t="shared" ref="AB62:AB81" si="64">+X62+Y62+Z62+AA62</f>
        <v>1.3</v>
      </c>
      <c r="AC62" s="156">
        <f>+(P62/G62)</f>
        <v>0.9</v>
      </c>
      <c r="AD62" s="156">
        <f>+V62/H62</f>
        <v>1</v>
      </c>
      <c r="AE62" s="156">
        <f t="shared" ref="AE62:AE63" si="65">+AB62/I62</f>
        <v>0.65</v>
      </c>
      <c r="AF62" s="156">
        <f>+AC62*E62</f>
        <v>0.27</v>
      </c>
      <c r="AG62" s="156">
        <f>+AD62*E62</f>
        <v>0.3</v>
      </c>
      <c r="AH62" s="156">
        <f t="shared" ref="AH62:AH63" si="66">+AE62*E62</f>
        <v>0.19500000000000001</v>
      </c>
      <c r="AI62" s="156">
        <f>+P62/F62</f>
        <v>0.3</v>
      </c>
      <c r="AJ62" s="190">
        <v>0.6333333333333333</v>
      </c>
      <c r="AK62" s="190">
        <f t="shared" ref="AK62:AK63" si="67">+W62/F62</f>
        <v>0.85</v>
      </c>
      <c r="AL62" s="190">
        <f>+AI62*E62</f>
        <v>0.09</v>
      </c>
      <c r="AM62" s="190">
        <f>+AJ62*E62</f>
        <v>0.18999999999999997</v>
      </c>
      <c r="AN62" s="190">
        <f t="shared" ref="AN62:AN63" si="68">+AK62*E62</f>
        <v>0.255</v>
      </c>
      <c r="AO62" s="521" t="s">
        <v>1844</v>
      </c>
      <c r="AP62" s="527" t="s">
        <v>1886</v>
      </c>
      <c r="AQ62" s="527" t="s">
        <v>1990</v>
      </c>
      <c r="AR62" s="522" t="s">
        <v>2010</v>
      </c>
      <c r="AS62" s="490"/>
      <c r="AT62" s="985" t="s">
        <v>2140</v>
      </c>
      <c r="AU62" s="522" t="s">
        <v>2199</v>
      </c>
      <c r="AV62" s="522" t="s">
        <v>1887</v>
      </c>
      <c r="AW62" s="522" t="s">
        <v>2294</v>
      </c>
    </row>
    <row r="63" spans="1:49" ht="88.2" customHeight="1" thickBot="1" x14ac:dyDescent="0.4">
      <c r="A63" s="119"/>
      <c r="B63" s="1378" t="s">
        <v>850</v>
      </c>
      <c r="C63" s="1404" t="s">
        <v>1306</v>
      </c>
      <c r="D63" s="184" t="s">
        <v>1542</v>
      </c>
      <c r="E63" s="188">
        <v>0.7</v>
      </c>
      <c r="F63" s="186">
        <v>1</v>
      </c>
      <c r="G63" s="134">
        <v>0</v>
      </c>
      <c r="H63" s="134">
        <v>0.25</v>
      </c>
      <c r="I63" s="134">
        <v>0.4</v>
      </c>
      <c r="J63" s="139"/>
      <c r="K63" s="139">
        <f t="shared" si="61"/>
        <v>0.25</v>
      </c>
      <c r="L63" s="139">
        <f t="shared" si="62"/>
        <v>0.4</v>
      </c>
      <c r="M63" s="139"/>
      <c r="N63" s="139">
        <f t="shared" si="63"/>
        <v>0.17499999999999999</v>
      </c>
      <c r="O63" s="139"/>
      <c r="P63" s="134"/>
      <c r="Q63" s="496">
        <v>0</v>
      </c>
      <c r="R63" s="496">
        <v>0.02</v>
      </c>
      <c r="S63" s="496">
        <v>0.08</v>
      </c>
      <c r="T63" s="496">
        <v>0.09</v>
      </c>
      <c r="U63" s="496">
        <v>0.06</v>
      </c>
      <c r="V63" s="134">
        <f t="shared" si="6"/>
        <v>0.25</v>
      </c>
      <c r="W63" s="168">
        <f t="shared" ref="W63:W80" si="69">+V63+P63+AB63</f>
        <v>0.34699999999999998</v>
      </c>
      <c r="X63" s="496">
        <v>0</v>
      </c>
      <c r="Y63" s="496">
        <v>9.7000000000000003E-2</v>
      </c>
      <c r="Z63" s="134"/>
      <c r="AA63" s="134"/>
      <c r="AB63" s="134">
        <f t="shared" si="64"/>
        <v>9.7000000000000003E-2</v>
      </c>
      <c r="AC63" s="156"/>
      <c r="AD63" s="156">
        <f>+V63/H63</f>
        <v>1</v>
      </c>
      <c r="AE63" s="156">
        <f t="shared" si="65"/>
        <v>0.24249999999999999</v>
      </c>
      <c r="AF63" s="156"/>
      <c r="AG63" s="156">
        <f>+AD63*E63</f>
        <v>0.7</v>
      </c>
      <c r="AH63" s="156">
        <f t="shared" si="66"/>
        <v>0.16974999999999998</v>
      </c>
      <c r="AI63" s="156"/>
      <c r="AJ63" s="190">
        <v>0.25</v>
      </c>
      <c r="AK63" s="190">
        <f t="shared" si="67"/>
        <v>0.34699999999999998</v>
      </c>
      <c r="AL63" s="190">
        <v>0</v>
      </c>
      <c r="AM63" s="190">
        <f>+AJ63*E63</f>
        <v>0.17499999999999999</v>
      </c>
      <c r="AN63" s="190">
        <f t="shared" si="68"/>
        <v>0.24289999999999998</v>
      </c>
      <c r="AO63" s="521" t="s">
        <v>1844</v>
      </c>
      <c r="AP63" s="599" t="s">
        <v>1913</v>
      </c>
      <c r="AQ63" s="527" t="s">
        <v>1990</v>
      </c>
      <c r="AR63" s="522" t="s">
        <v>2010</v>
      </c>
      <c r="AS63" s="522" t="s">
        <v>2108</v>
      </c>
      <c r="AT63" s="985" t="s">
        <v>2140</v>
      </c>
      <c r="AU63" s="522" t="s">
        <v>2199</v>
      </c>
      <c r="AV63" s="522" t="s">
        <v>1887</v>
      </c>
      <c r="AW63" s="522" t="s">
        <v>2294</v>
      </c>
    </row>
    <row r="64" spans="1:49" ht="42.75" customHeight="1" thickBot="1" x14ac:dyDescent="0.4">
      <c r="A64" s="119"/>
      <c r="B64" s="1376" t="s">
        <v>1730</v>
      </c>
      <c r="C64" s="1412"/>
      <c r="D64" s="191"/>
      <c r="E64" s="192">
        <v>0.15</v>
      </c>
      <c r="F64" s="186"/>
      <c r="G64" s="127"/>
      <c r="H64" s="127"/>
      <c r="I64" s="127"/>
      <c r="J64" s="133">
        <f>+AVERAGE(J65:J68)</f>
        <v>0.23295454545454547</v>
      </c>
      <c r="K64" s="133">
        <f>+AVERAGE(K65:K68)</f>
        <v>0.25568181818181818</v>
      </c>
      <c r="L64" s="133">
        <f>+AVERAGE(L65:L68)</f>
        <v>0.24747474747474749</v>
      </c>
      <c r="M64" s="133">
        <f>+M65+M66+M67+M68</f>
        <v>0.22954545454545455</v>
      </c>
      <c r="N64" s="133">
        <f>+N65+N66+N67+N68</f>
        <v>0.25681818181818178</v>
      </c>
      <c r="O64" s="133"/>
      <c r="P64" s="132"/>
      <c r="Q64" s="132"/>
      <c r="R64" s="132"/>
      <c r="S64" s="132"/>
      <c r="T64" s="132"/>
      <c r="U64" s="839"/>
      <c r="V64" s="134"/>
      <c r="W64" s="602"/>
      <c r="X64" s="132"/>
      <c r="Y64" s="132"/>
      <c r="Z64" s="132"/>
      <c r="AA64" s="132"/>
      <c r="AB64" s="134"/>
      <c r="AC64" s="154">
        <f>+AVERAGE(AC65:AC68)</f>
        <v>1</v>
      </c>
      <c r="AD64" s="154">
        <f>+AVERAGE(AD65:AD68)</f>
        <v>1</v>
      </c>
      <c r="AE64" s="154">
        <f>+AVERAGE(AE65:AE68)</f>
        <v>0.25</v>
      </c>
      <c r="AF64" s="154">
        <f>+(AF65+AF66+AF67+AF68)*E64</f>
        <v>0.15</v>
      </c>
      <c r="AG64" s="154">
        <f>+(AG65+AG66+AG67+AG68)*E64</f>
        <v>0.15</v>
      </c>
      <c r="AH64" s="154">
        <f>+(AH65+AH66+AH67+AH68)*E64</f>
        <v>4.4999999999999998E-2</v>
      </c>
      <c r="AI64" s="133">
        <f>+AVERAGE(AI65:AI68)</f>
        <v>0.32170454545454552</v>
      </c>
      <c r="AJ64" s="133">
        <v>0.67886363636363634</v>
      </c>
      <c r="AK64" s="133">
        <f>+AVERAGE(AK65:AK68)</f>
        <v>0.67886363636363634</v>
      </c>
      <c r="AL64" s="183">
        <f>+(AL65+AL66+AL67+AL68)*E64</f>
        <v>4.8156818181818176E-2</v>
      </c>
      <c r="AM64" s="183">
        <f>+(AM65+AM66+AM67+AM68)</f>
        <v>0.69763636363636361</v>
      </c>
      <c r="AN64" s="183">
        <f>+(AN65+AN66+AN67+AN68)</f>
        <v>0.69763636363636361</v>
      </c>
      <c r="AO64" s="770"/>
      <c r="AP64" s="490"/>
      <c r="AQ64" s="490"/>
      <c r="AR64" s="490"/>
      <c r="AS64" s="490"/>
      <c r="AT64" s="984"/>
      <c r="AU64" s="490"/>
      <c r="AV64" s="490"/>
    </row>
    <row r="65" spans="1:49" ht="75.599999999999994" customHeight="1" thickBot="1" x14ac:dyDescent="0.4">
      <c r="A65" s="119"/>
      <c r="B65" s="1378" t="s">
        <v>851</v>
      </c>
      <c r="C65" s="1404" t="s">
        <v>1307</v>
      </c>
      <c r="D65" s="184" t="s">
        <v>852</v>
      </c>
      <c r="E65" s="188">
        <v>0.3</v>
      </c>
      <c r="F65" s="186">
        <v>1</v>
      </c>
      <c r="G65" s="195">
        <v>0.25</v>
      </c>
      <c r="H65" s="195">
        <v>0.25</v>
      </c>
      <c r="I65" s="195">
        <v>0.09</v>
      </c>
      <c r="J65" s="139">
        <f>+G65/F65</f>
        <v>0.25</v>
      </c>
      <c r="K65" s="139">
        <f t="shared" ref="K65:K68" si="70">+H65/F65</f>
        <v>0.25</v>
      </c>
      <c r="L65" s="139"/>
      <c r="M65" s="139">
        <f>+(G65/F65)*E65</f>
        <v>7.4999999999999997E-2</v>
      </c>
      <c r="N65" s="139">
        <f t="shared" si="63"/>
        <v>7.4999999999999997E-2</v>
      </c>
      <c r="O65" s="139"/>
      <c r="P65" s="200">
        <v>0.45500000000000002</v>
      </c>
      <c r="Q65" s="497">
        <v>0.13</v>
      </c>
      <c r="R65" s="497">
        <v>0.18</v>
      </c>
      <c r="S65" s="497">
        <v>0.21</v>
      </c>
      <c r="T65" s="200"/>
      <c r="U65" s="200">
        <v>0.13</v>
      </c>
      <c r="V65" s="497">
        <f t="shared" si="6"/>
        <v>0.65</v>
      </c>
      <c r="W65" s="602">
        <f t="shared" si="69"/>
        <v>1.8049999999999999</v>
      </c>
      <c r="X65" s="497">
        <v>0</v>
      </c>
      <c r="Y65" s="497">
        <v>0.7</v>
      </c>
      <c r="Z65" s="200"/>
      <c r="AA65" s="200"/>
      <c r="AB65" s="200">
        <f t="shared" si="64"/>
        <v>0.7</v>
      </c>
      <c r="AC65" s="156">
        <v>1</v>
      </c>
      <c r="AD65" s="156">
        <v>1</v>
      </c>
      <c r="AE65" s="156">
        <v>1</v>
      </c>
      <c r="AF65" s="156">
        <f>+AC65*E65</f>
        <v>0.3</v>
      </c>
      <c r="AG65" s="156">
        <f>+AD65*E65</f>
        <v>0.3</v>
      </c>
      <c r="AH65" s="156">
        <f t="shared" ref="AH65:AH68" si="71">+AE65*E65</f>
        <v>0.3</v>
      </c>
      <c r="AI65" s="156">
        <f>+P65/F65</f>
        <v>0.45500000000000002</v>
      </c>
      <c r="AJ65" s="190">
        <v>1</v>
      </c>
      <c r="AK65" s="190">
        <v>1</v>
      </c>
      <c r="AL65" s="190">
        <f>+AI65*E65</f>
        <v>0.13650000000000001</v>
      </c>
      <c r="AM65" s="190">
        <f>+AJ65*E65</f>
        <v>0.3</v>
      </c>
      <c r="AN65" s="190">
        <f t="shared" ref="AN65:AN68" si="72">+AK65*E65</f>
        <v>0.3</v>
      </c>
      <c r="AO65" s="521" t="s">
        <v>1844</v>
      </c>
      <c r="AP65" s="527" t="s">
        <v>1886</v>
      </c>
      <c r="AQ65" s="522" t="s">
        <v>1998</v>
      </c>
      <c r="AR65" s="522" t="s">
        <v>2010</v>
      </c>
      <c r="AS65" s="523" t="s">
        <v>1859</v>
      </c>
      <c r="AT65" s="987" t="s">
        <v>2159</v>
      </c>
      <c r="AU65" s="495" t="s">
        <v>2159</v>
      </c>
      <c r="AV65" s="495" t="s">
        <v>1859</v>
      </c>
      <c r="AW65" s="522" t="s">
        <v>2294</v>
      </c>
    </row>
    <row r="66" spans="1:49" ht="145.19999999999999" customHeight="1" thickBot="1" x14ac:dyDescent="0.4">
      <c r="A66" s="119"/>
      <c r="B66" s="1378" t="s">
        <v>853</v>
      </c>
      <c r="C66" s="1404" t="s">
        <v>1308</v>
      </c>
      <c r="D66" s="184" t="s">
        <v>1552</v>
      </c>
      <c r="E66" s="188">
        <v>0.2</v>
      </c>
      <c r="F66" s="186">
        <v>4</v>
      </c>
      <c r="G66" s="195">
        <v>1</v>
      </c>
      <c r="H66" s="195">
        <v>1</v>
      </c>
      <c r="I66" s="195">
        <v>1</v>
      </c>
      <c r="J66" s="201">
        <f>+G66/F66</f>
        <v>0.25</v>
      </c>
      <c r="K66" s="201">
        <f t="shared" si="70"/>
        <v>0.25</v>
      </c>
      <c r="L66" s="201">
        <f>+I66/F66</f>
        <v>0.25</v>
      </c>
      <c r="M66" s="201">
        <f>+(G66/F66)*E66</f>
        <v>0.05</v>
      </c>
      <c r="N66" s="201">
        <f t="shared" si="63"/>
        <v>0.05</v>
      </c>
      <c r="O66" s="201"/>
      <c r="P66" s="200">
        <v>1</v>
      </c>
      <c r="Q66" s="497">
        <v>0.05</v>
      </c>
      <c r="R66" s="497">
        <v>0.02</v>
      </c>
      <c r="S66" s="497">
        <v>0.91</v>
      </c>
      <c r="T66" s="497">
        <v>0.02</v>
      </c>
      <c r="U66" s="497">
        <v>0</v>
      </c>
      <c r="V66" s="200">
        <f t="shared" si="6"/>
        <v>1</v>
      </c>
      <c r="W66" s="602">
        <f t="shared" si="69"/>
        <v>2</v>
      </c>
      <c r="X66" s="497">
        <v>0</v>
      </c>
      <c r="Y66" s="497">
        <v>0</v>
      </c>
      <c r="Z66" s="200"/>
      <c r="AA66" s="200"/>
      <c r="AB66" s="200">
        <f t="shared" si="64"/>
        <v>0</v>
      </c>
      <c r="AC66" s="156">
        <f>+(P66/G66)</f>
        <v>1</v>
      </c>
      <c r="AD66" s="156">
        <f>+V66/H66</f>
        <v>1</v>
      </c>
      <c r="AE66" s="156">
        <f t="shared" ref="AE66:AE68" si="73">+AB66/I66</f>
        <v>0</v>
      </c>
      <c r="AF66" s="156">
        <f>+AC66*E66</f>
        <v>0.2</v>
      </c>
      <c r="AG66" s="156">
        <f>+AD66*E66</f>
        <v>0.2</v>
      </c>
      <c r="AH66" s="156">
        <f t="shared" si="71"/>
        <v>0</v>
      </c>
      <c r="AI66" s="156">
        <f>+P66/F66</f>
        <v>0.25</v>
      </c>
      <c r="AJ66" s="190">
        <v>0.5</v>
      </c>
      <c r="AK66" s="190">
        <f t="shared" ref="AK66:AK68" si="74">+W66/F66</f>
        <v>0.5</v>
      </c>
      <c r="AL66" s="190">
        <f>+AI66*E66</f>
        <v>0.05</v>
      </c>
      <c r="AM66" s="190">
        <f>+AJ66*E66</f>
        <v>0.1</v>
      </c>
      <c r="AN66" s="190">
        <f t="shared" si="72"/>
        <v>0.1</v>
      </c>
      <c r="AO66" s="521" t="s">
        <v>1844</v>
      </c>
      <c r="AP66" s="527" t="s">
        <v>1886</v>
      </c>
      <c r="AQ66" s="522" t="s">
        <v>1998</v>
      </c>
      <c r="AR66" s="522" t="s">
        <v>2010</v>
      </c>
      <c r="AS66" s="522" t="s">
        <v>2108</v>
      </c>
      <c r="AT66" s="985" t="s">
        <v>2140</v>
      </c>
      <c r="AU66" s="522" t="s">
        <v>2199</v>
      </c>
      <c r="AV66" s="522" t="s">
        <v>1887</v>
      </c>
      <c r="AW66" s="522" t="s">
        <v>2294</v>
      </c>
    </row>
    <row r="67" spans="1:49" ht="85.2" customHeight="1" thickBot="1" x14ac:dyDescent="0.4">
      <c r="A67" s="119"/>
      <c r="B67" s="1378" t="s">
        <v>854</v>
      </c>
      <c r="C67" s="1404" t="s">
        <v>1309</v>
      </c>
      <c r="D67" s="184" t="s">
        <v>852</v>
      </c>
      <c r="E67" s="188">
        <v>0.3</v>
      </c>
      <c r="F67" s="186">
        <v>33</v>
      </c>
      <c r="G67" s="134">
        <v>6</v>
      </c>
      <c r="H67" s="134">
        <v>9</v>
      </c>
      <c r="I67" s="134">
        <v>8</v>
      </c>
      <c r="J67" s="139">
        <f>+G67/F67</f>
        <v>0.18181818181818182</v>
      </c>
      <c r="K67" s="139">
        <f t="shared" si="70"/>
        <v>0.27272727272727271</v>
      </c>
      <c r="L67" s="139">
        <f t="shared" ref="L67:L68" si="75">+I67/F67</f>
        <v>0.24242424242424243</v>
      </c>
      <c r="M67" s="139">
        <f>+(G67/F67)*E67</f>
        <v>5.4545454545454543E-2</v>
      </c>
      <c r="N67" s="139">
        <f t="shared" si="63"/>
        <v>8.1818181818181804E-2</v>
      </c>
      <c r="O67" s="139"/>
      <c r="P67" s="168">
        <v>6</v>
      </c>
      <c r="Q67" s="497">
        <v>2</v>
      </c>
      <c r="R67" s="497">
        <v>0.5</v>
      </c>
      <c r="S67" s="497">
        <v>0.5</v>
      </c>
      <c r="T67" s="497">
        <v>0</v>
      </c>
      <c r="U67" s="497">
        <v>9</v>
      </c>
      <c r="V67" s="168">
        <f t="shared" si="6"/>
        <v>12</v>
      </c>
      <c r="W67" s="602">
        <f>+V67+P67+AB67</f>
        <v>18</v>
      </c>
      <c r="X67" s="497">
        <v>0</v>
      </c>
      <c r="Y67" s="497">
        <v>0</v>
      </c>
      <c r="Z67" s="168"/>
      <c r="AA67" s="168"/>
      <c r="AB67" s="168">
        <f t="shared" si="64"/>
        <v>0</v>
      </c>
      <c r="AC67" s="156">
        <f>+(P67/G67)</f>
        <v>1</v>
      </c>
      <c r="AD67" s="156">
        <v>1</v>
      </c>
      <c r="AE67" s="156">
        <f t="shared" si="73"/>
        <v>0</v>
      </c>
      <c r="AF67" s="156">
        <f>+AC67*E67</f>
        <v>0.3</v>
      </c>
      <c r="AG67" s="156">
        <f>+AD67*E67</f>
        <v>0.3</v>
      </c>
      <c r="AH67" s="156">
        <f t="shared" si="71"/>
        <v>0</v>
      </c>
      <c r="AI67" s="156">
        <f>+P67/F67</f>
        <v>0.18181818181818182</v>
      </c>
      <c r="AJ67" s="190">
        <v>0.54545454545454541</v>
      </c>
      <c r="AK67" s="190">
        <f t="shared" si="74"/>
        <v>0.54545454545454541</v>
      </c>
      <c r="AL67" s="190">
        <f>+AI67*E67</f>
        <v>5.4545454545454543E-2</v>
      </c>
      <c r="AM67" s="190">
        <f>+AJ67*E67</f>
        <v>0.16363636363636361</v>
      </c>
      <c r="AN67" s="190">
        <f t="shared" si="72"/>
        <v>0.16363636363636361</v>
      </c>
      <c r="AO67" s="521" t="s">
        <v>1844</v>
      </c>
      <c r="AP67" s="527" t="s">
        <v>1886</v>
      </c>
      <c r="AQ67" s="522" t="s">
        <v>1998</v>
      </c>
      <c r="AR67" s="522" t="s">
        <v>2010</v>
      </c>
      <c r="AS67" s="522" t="s">
        <v>2108</v>
      </c>
      <c r="AT67" s="987" t="s">
        <v>2159</v>
      </c>
      <c r="AU67" s="522" t="s">
        <v>2199</v>
      </c>
      <c r="AV67" s="522" t="s">
        <v>1887</v>
      </c>
      <c r="AW67" s="522" t="s">
        <v>2294</v>
      </c>
    </row>
    <row r="68" spans="1:49" ht="90" customHeight="1" thickBot="1" x14ac:dyDescent="0.4">
      <c r="A68" s="119"/>
      <c r="B68" s="1378" t="s">
        <v>855</v>
      </c>
      <c r="C68" s="1404" t="s">
        <v>1310</v>
      </c>
      <c r="D68" s="184" t="s">
        <v>852</v>
      </c>
      <c r="E68" s="188">
        <v>0.2</v>
      </c>
      <c r="F68" s="186">
        <v>1</v>
      </c>
      <c r="G68" s="202">
        <v>0.25</v>
      </c>
      <c r="H68" s="202">
        <v>0.25</v>
      </c>
      <c r="I68" s="202">
        <v>0.25</v>
      </c>
      <c r="J68" s="139">
        <f>+G68/F68</f>
        <v>0.25</v>
      </c>
      <c r="K68" s="139">
        <f t="shared" si="70"/>
        <v>0.25</v>
      </c>
      <c r="L68" s="139">
        <f t="shared" si="75"/>
        <v>0.25</v>
      </c>
      <c r="M68" s="139">
        <f>+(G68/F68)*E68</f>
        <v>0.05</v>
      </c>
      <c r="N68" s="139">
        <f t="shared" si="63"/>
        <v>0.05</v>
      </c>
      <c r="O68" s="139"/>
      <c r="P68" s="168">
        <v>0.4</v>
      </c>
      <c r="Q68" s="497">
        <v>0.02</v>
      </c>
      <c r="R68" s="497">
        <v>0</v>
      </c>
      <c r="S68" s="497">
        <v>0.24</v>
      </c>
      <c r="T68" s="497">
        <v>0</v>
      </c>
      <c r="U68" s="497">
        <v>0.01</v>
      </c>
      <c r="V68" s="168">
        <f t="shared" si="6"/>
        <v>0.27</v>
      </c>
      <c r="W68" s="602">
        <f t="shared" si="69"/>
        <v>0.67</v>
      </c>
      <c r="X68" s="497">
        <v>0</v>
      </c>
      <c r="Y68" s="497">
        <v>0</v>
      </c>
      <c r="Z68" s="168"/>
      <c r="AA68" s="168"/>
      <c r="AB68" s="168">
        <f t="shared" si="64"/>
        <v>0</v>
      </c>
      <c r="AC68" s="156">
        <v>1</v>
      </c>
      <c r="AD68" s="156">
        <v>1</v>
      </c>
      <c r="AE68" s="156">
        <f t="shared" si="73"/>
        <v>0</v>
      </c>
      <c r="AF68" s="156">
        <f>+AC68*E68</f>
        <v>0.2</v>
      </c>
      <c r="AG68" s="156">
        <f>+AD68*E68</f>
        <v>0.2</v>
      </c>
      <c r="AH68" s="156">
        <f t="shared" si="71"/>
        <v>0</v>
      </c>
      <c r="AI68" s="156">
        <f>+P68/F68</f>
        <v>0.4</v>
      </c>
      <c r="AJ68" s="190">
        <v>0.67</v>
      </c>
      <c r="AK68" s="190">
        <f t="shared" si="74"/>
        <v>0.67</v>
      </c>
      <c r="AL68" s="190">
        <f>+AI68*E68</f>
        <v>8.0000000000000016E-2</v>
      </c>
      <c r="AM68" s="190">
        <f>+AJ68*E68</f>
        <v>0.13400000000000001</v>
      </c>
      <c r="AN68" s="190">
        <f t="shared" si="72"/>
        <v>0.13400000000000001</v>
      </c>
      <c r="AO68" s="521" t="s">
        <v>1844</v>
      </c>
      <c r="AP68" s="527" t="s">
        <v>1886</v>
      </c>
      <c r="AQ68" s="522" t="s">
        <v>1998</v>
      </c>
      <c r="AR68" s="522" t="s">
        <v>2010</v>
      </c>
      <c r="AS68" s="523" t="s">
        <v>1859</v>
      </c>
      <c r="AT68" s="987" t="s">
        <v>2159</v>
      </c>
      <c r="AU68" s="495" t="s">
        <v>2203</v>
      </c>
      <c r="AV68" s="495" t="s">
        <v>1859</v>
      </c>
      <c r="AW68" s="495" t="s">
        <v>1859</v>
      </c>
    </row>
    <row r="69" spans="1:49" ht="28.5" customHeight="1" thickBot="1" x14ac:dyDescent="0.4">
      <c r="A69" s="119"/>
      <c r="B69" s="1376" t="s">
        <v>1806</v>
      </c>
      <c r="C69" s="1412"/>
      <c r="D69" s="191"/>
      <c r="E69" s="192">
        <v>0.15</v>
      </c>
      <c r="F69" s="186"/>
      <c r="G69" s="127"/>
      <c r="H69" s="127"/>
      <c r="I69" s="127"/>
      <c r="J69" s="133">
        <f>+AVERAGE(J70:J72)</f>
        <v>0.26306543697848045</v>
      </c>
      <c r="K69" s="133">
        <f>+AVERAGE(K70:K72)</f>
        <v>0.29907773386034253</v>
      </c>
      <c r="L69" s="133">
        <f>+AVERAGE(L70:L72)</f>
        <v>0.23407992973210365</v>
      </c>
      <c r="M69" s="133">
        <f>+M70+M71+M72</f>
        <v>0.30629776021080368</v>
      </c>
      <c r="N69" s="133">
        <f>+N70+N71+N72</f>
        <v>0.31665349143610011</v>
      </c>
      <c r="O69" s="133"/>
      <c r="P69" s="132"/>
      <c r="Q69" s="132"/>
      <c r="R69" s="132"/>
      <c r="S69" s="132"/>
      <c r="T69" s="132"/>
      <c r="U69" s="839"/>
      <c r="V69" s="134"/>
      <c r="W69" s="602"/>
      <c r="X69" s="132"/>
      <c r="Y69" s="132"/>
      <c r="Z69" s="132"/>
      <c r="AA69" s="132"/>
      <c r="AB69" s="134"/>
      <c r="AC69" s="154">
        <f>+AVERAGE(AC70:AC72)</f>
        <v>1</v>
      </c>
      <c r="AD69" s="154">
        <f>+AVERAGE(AD70:AD72)</f>
        <v>0.94444444444444453</v>
      </c>
      <c r="AE69" s="154">
        <f>+AVERAGE(AE70:AE72)</f>
        <v>0.46666666666666662</v>
      </c>
      <c r="AF69" s="154">
        <f>+(AF70+AF71+AF72)*E69</f>
        <v>0.15</v>
      </c>
      <c r="AG69" s="154">
        <f>+(AG70+AG71+AG72)*E69</f>
        <v>0.14549999999999999</v>
      </c>
      <c r="AH69" s="154">
        <f>+(AH70+AH71+AH72)*E69</f>
        <v>2.8799999999999999E-2</v>
      </c>
      <c r="AI69" s="133">
        <f>+AVERAGE(AI70:AI72)</f>
        <v>0.38614404918752743</v>
      </c>
      <c r="AJ69" s="133">
        <v>0.74396135265700469</v>
      </c>
      <c r="AK69" s="133">
        <f>+AVERAGE(AK70:AK72)</f>
        <v>0.77294685990338163</v>
      </c>
      <c r="AL69" s="183">
        <f>+(AL70+AL71+AL72)*E69</f>
        <v>5.2982213438735173E-2</v>
      </c>
      <c r="AM69" s="183">
        <f>+(AM70+AM71+AM72)</f>
        <v>0.68840579710144922</v>
      </c>
      <c r="AN69" s="183">
        <f>+(AN70+AN71+AN72)</f>
        <v>0.70405797101449274</v>
      </c>
      <c r="AO69" s="770"/>
      <c r="AP69" s="490"/>
      <c r="AQ69" s="490"/>
      <c r="AR69" s="490"/>
      <c r="AS69" s="490"/>
      <c r="AT69" s="984"/>
      <c r="AU69" s="490"/>
      <c r="AV69" s="490"/>
    </row>
    <row r="70" spans="1:49" ht="129" customHeight="1" thickBot="1" x14ac:dyDescent="0.4">
      <c r="A70" s="119"/>
      <c r="B70" s="1378" t="s">
        <v>856</v>
      </c>
      <c r="C70" s="1404" t="s">
        <v>1311</v>
      </c>
      <c r="D70" s="196" t="s">
        <v>1553</v>
      </c>
      <c r="E70" s="188">
        <v>0.18</v>
      </c>
      <c r="F70" s="186">
        <v>23</v>
      </c>
      <c r="G70" s="134">
        <f>2+5</f>
        <v>7</v>
      </c>
      <c r="H70" s="134">
        <f>2+4</f>
        <v>6</v>
      </c>
      <c r="I70" s="134">
        <f>1+4</f>
        <v>5</v>
      </c>
      <c r="J70" s="139">
        <f>+G70/F70</f>
        <v>0.30434782608695654</v>
      </c>
      <c r="K70" s="139">
        <f t="shared" ref="K70:K72" si="76">+H70/F70</f>
        <v>0.2608695652173913</v>
      </c>
      <c r="L70" s="139">
        <f t="shared" ref="L70:L72" si="77">+I70/F70</f>
        <v>0.21739130434782608</v>
      </c>
      <c r="M70" s="139">
        <f>+(G70/F70)*E70</f>
        <v>5.4782608695652178E-2</v>
      </c>
      <c r="N70" s="139">
        <f t="shared" si="63"/>
        <v>4.6956521739130432E-2</v>
      </c>
      <c r="O70" s="139"/>
      <c r="P70" s="134">
        <v>8</v>
      </c>
      <c r="Q70" s="496">
        <v>3</v>
      </c>
      <c r="R70" s="497">
        <v>1</v>
      </c>
      <c r="S70" s="496">
        <v>1</v>
      </c>
      <c r="T70" s="496">
        <v>0</v>
      </c>
      <c r="U70" s="496">
        <v>0</v>
      </c>
      <c r="V70" s="134">
        <f t="shared" si="6"/>
        <v>5</v>
      </c>
      <c r="W70" s="602">
        <f t="shared" si="69"/>
        <v>15</v>
      </c>
      <c r="X70" s="496">
        <f>1+1</f>
        <v>2</v>
      </c>
      <c r="Y70" s="496">
        <v>0</v>
      </c>
      <c r="Z70" s="134"/>
      <c r="AA70" s="134"/>
      <c r="AB70" s="134">
        <f t="shared" si="64"/>
        <v>2</v>
      </c>
      <c r="AC70" s="156">
        <v>1</v>
      </c>
      <c r="AD70" s="156">
        <f>+V70/H70</f>
        <v>0.83333333333333337</v>
      </c>
      <c r="AE70" s="156">
        <f t="shared" ref="AE70:AE72" si="78">+AB70/I70</f>
        <v>0.4</v>
      </c>
      <c r="AF70" s="156">
        <f>+AC70*E70</f>
        <v>0.18</v>
      </c>
      <c r="AG70" s="156">
        <f>+AD70*E70</f>
        <v>0.15</v>
      </c>
      <c r="AH70" s="156">
        <f t="shared" ref="AH70:AH72" si="79">+AE70*E70</f>
        <v>7.1999999999999995E-2</v>
      </c>
      <c r="AI70" s="156">
        <f>+P70/F70</f>
        <v>0.34782608695652173</v>
      </c>
      <c r="AJ70" s="190">
        <v>0.56521739130434778</v>
      </c>
      <c r="AK70" s="190">
        <f t="shared" ref="AK70:AK72" si="80">+W70/F70</f>
        <v>0.65217391304347827</v>
      </c>
      <c r="AL70" s="190">
        <f>+AI70*E70</f>
        <v>6.2608695652173904E-2</v>
      </c>
      <c r="AM70" s="190">
        <f>+AJ70*E70</f>
        <v>0.1017391304347826</v>
      </c>
      <c r="AN70" s="190">
        <f t="shared" ref="AN70:AN72" si="81">+AK70*E70</f>
        <v>0.11739130434782609</v>
      </c>
      <c r="AO70" s="772" t="s">
        <v>1862</v>
      </c>
      <c r="AP70" s="641" t="s">
        <v>1966</v>
      </c>
      <c r="AQ70" s="522" t="s">
        <v>1998</v>
      </c>
      <c r="AR70" s="765" t="s">
        <v>2132</v>
      </c>
      <c r="AS70" s="495" t="s">
        <v>2133</v>
      </c>
      <c r="AT70" s="987" t="s">
        <v>2160</v>
      </c>
      <c r="AU70" s="641" t="s">
        <v>2210</v>
      </c>
      <c r="AV70" s="522" t="s">
        <v>1887</v>
      </c>
      <c r="AW70" s="522" t="s">
        <v>2294</v>
      </c>
    </row>
    <row r="71" spans="1:49" ht="85.95" customHeight="1" thickBot="1" x14ac:dyDescent="0.4">
      <c r="A71" s="119"/>
      <c r="B71" s="1378" t="s">
        <v>857</v>
      </c>
      <c r="C71" s="1404" t="s">
        <v>1312</v>
      </c>
      <c r="D71" s="184" t="s">
        <v>852</v>
      </c>
      <c r="E71" s="188">
        <v>0.12</v>
      </c>
      <c r="F71" s="186">
        <v>132</v>
      </c>
      <c r="G71" s="134">
        <v>20</v>
      </c>
      <c r="H71" s="134">
        <v>40</v>
      </c>
      <c r="I71" s="134">
        <v>20</v>
      </c>
      <c r="J71" s="139">
        <f>+G71/F71</f>
        <v>0.15151515151515152</v>
      </c>
      <c r="K71" s="139">
        <f t="shared" si="76"/>
        <v>0.30303030303030304</v>
      </c>
      <c r="L71" s="139">
        <f t="shared" si="77"/>
        <v>0.15151515151515152</v>
      </c>
      <c r="M71" s="139">
        <f>+(G71/F71)*E71</f>
        <v>1.8181818181818181E-2</v>
      </c>
      <c r="N71" s="139">
        <f t="shared" si="63"/>
        <v>3.6363636363636362E-2</v>
      </c>
      <c r="O71" s="139"/>
      <c r="P71" s="134">
        <v>63</v>
      </c>
      <c r="Q71" s="496">
        <v>17</v>
      </c>
      <c r="R71" s="496">
        <v>29</v>
      </c>
      <c r="S71" s="496">
        <v>32</v>
      </c>
      <c r="T71" s="496">
        <v>6</v>
      </c>
      <c r="U71" s="496">
        <v>0</v>
      </c>
      <c r="V71" s="134">
        <f t="shared" ref="V71:V103" si="82">+Q71+R71+S71+T71+U71</f>
        <v>84</v>
      </c>
      <c r="W71" s="602">
        <f t="shared" si="69"/>
        <v>177</v>
      </c>
      <c r="X71" s="496">
        <v>10</v>
      </c>
      <c r="Y71" s="496">
        <v>20</v>
      </c>
      <c r="Z71" s="134"/>
      <c r="AA71" s="134"/>
      <c r="AB71" s="134">
        <f t="shared" si="64"/>
        <v>30</v>
      </c>
      <c r="AC71" s="156">
        <v>1</v>
      </c>
      <c r="AD71" s="156">
        <v>1</v>
      </c>
      <c r="AE71" s="156">
        <v>1</v>
      </c>
      <c r="AF71" s="156">
        <f>+AC71*E71</f>
        <v>0.12</v>
      </c>
      <c r="AG71" s="156">
        <f>+AD71*E71</f>
        <v>0.12</v>
      </c>
      <c r="AH71" s="156">
        <f t="shared" si="79"/>
        <v>0.12</v>
      </c>
      <c r="AI71" s="156">
        <f>+P71/F71</f>
        <v>0.47727272727272729</v>
      </c>
      <c r="AJ71" s="190">
        <v>1</v>
      </c>
      <c r="AK71" s="190">
        <v>1</v>
      </c>
      <c r="AL71" s="190">
        <f>+AI71*E71</f>
        <v>5.7272727272727274E-2</v>
      </c>
      <c r="AM71" s="190">
        <f>+AJ71*E71</f>
        <v>0.12</v>
      </c>
      <c r="AN71" s="190">
        <f t="shared" si="81"/>
        <v>0.12</v>
      </c>
      <c r="AO71" s="521" t="s">
        <v>1844</v>
      </c>
      <c r="AP71" s="522" t="s">
        <v>1886</v>
      </c>
      <c r="AQ71" s="522" t="s">
        <v>1998</v>
      </c>
      <c r="AR71" s="522" t="s">
        <v>2010</v>
      </c>
      <c r="AS71" s="522" t="s">
        <v>2108</v>
      </c>
      <c r="AT71" s="985" t="s">
        <v>2140</v>
      </c>
      <c r="AU71" s="522" t="s">
        <v>2199</v>
      </c>
      <c r="AV71" s="522" t="s">
        <v>1887</v>
      </c>
      <c r="AW71" s="522" t="s">
        <v>2294</v>
      </c>
    </row>
    <row r="72" spans="1:49" ht="70.2" customHeight="1" thickBot="1" x14ac:dyDescent="0.4">
      <c r="A72" s="119"/>
      <c r="B72" s="1378" t="s">
        <v>858</v>
      </c>
      <c r="C72" s="1404" t="s">
        <v>1313</v>
      </c>
      <c r="D72" s="184" t="s">
        <v>825</v>
      </c>
      <c r="E72" s="188">
        <v>0.7</v>
      </c>
      <c r="F72" s="186">
        <v>3</v>
      </c>
      <c r="G72" s="134">
        <v>1</v>
      </c>
      <c r="H72" s="134">
        <v>1</v>
      </c>
      <c r="I72" s="134">
        <v>1</v>
      </c>
      <c r="J72" s="139">
        <f>+G72/F72</f>
        <v>0.33333333333333331</v>
      </c>
      <c r="K72" s="139">
        <f t="shared" si="76"/>
        <v>0.33333333333333331</v>
      </c>
      <c r="L72" s="139">
        <f t="shared" si="77"/>
        <v>0.33333333333333331</v>
      </c>
      <c r="M72" s="139">
        <f>+(G72/F72)*E72</f>
        <v>0.23333333333333331</v>
      </c>
      <c r="N72" s="139">
        <f t="shared" si="63"/>
        <v>0.23333333333333331</v>
      </c>
      <c r="O72" s="139"/>
      <c r="P72" s="134">
        <v>1</v>
      </c>
      <c r="Q72" s="496">
        <v>1</v>
      </c>
      <c r="R72" s="496">
        <v>0</v>
      </c>
      <c r="S72" s="496">
        <v>0</v>
      </c>
      <c r="T72" s="496">
        <v>0</v>
      </c>
      <c r="U72" s="496">
        <v>0</v>
      </c>
      <c r="V72" s="134">
        <f t="shared" si="82"/>
        <v>1</v>
      </c>
      <c r="W72" s="602">
        <f t="shared" si="69"/>
        <v>2</v>
      </c>
      <c r="X72" s="496">
        <v>0</v>
      </c>
      <c r="Y72" s="496">
        <v>0</v>
      </c>
      <c r="Z72" s="134"/>
      <c r="AA72" s="134"/>
      <c r="AB72" s="134">
        <f t="shared" si="64"/>
        <v>0</v>
      </c>
      <c r="AC72" s="156">
        <f>+(P72/G72)</f>
        <v>1</v>
      </c>
      <c r="AD72" s="156">
        <f>+V72/H72</f>
        <v>1</v>
      </c>
      <c r="AE72" s="156">
        <f t="shared" si="78"/>
        <v>0</v>
      </c>
      <c r="AF72" s="156">
        <f>+AC72*E72</f>
        <v>0.7</v>
      </c>
      <c r="AG72" s="156">
        <f>+AD72*E72</f>
        <v>0.7</v>
      </c>
      <c r="AH72" s="156">
        <f t="shared" si="79"/>
        <v>0</v>
      </c>
      <c r="AI72" s="156">
        <f>+P72/F72</f>
        <v>0.33333333333333331</v>
      </c>
      <c r="AJ72" s="190">
        <v>0.66666666666666663</v>
      </c>
      <c r="AK72" s="190">
        <f t="shared" si="80"/>
        <v>0.66666666666666663</v>
      </c>
      <c r="AL72" s="190">
        <f>+AI72*E72</f>
        <v>0.23333333333333331</v>
      </c>
      <c r="AM72" s="190">
        <f>+AJ72*E72</f>
        <v>0.46666666666666662</v>
      </c>
      <c r="AN72" s="190">
        <f t="shared" si="81"/>
        <v>0.46666666666666662</v>
      </c>
      <c r="AO72" s="521" t="s">
        <v>1844</v>
      </c>
      <c r="AP72" s="490"/>
      <c r="AQ72" s="490"/>
      <c r="AR72" s="522" t="s">
        <v>2010</v>
      </c>
      <c r="AS72" s="522" t="s">
        <v>2108</v>
      </c>
      <c r="AT72" s="985" t="s">
        <v>2140</v>
      </c>
      <c r="AU72" s="522" t="s">
        <v>2199</v>
      </c>
      <c r="AV72" s="522" t="s">
        <v>1887</v>
      </c>
      <c r="AW72" s="522" t="s">
        <v>2294</v>
      </c>
    </row>
    <row r="73" spans="1:49" ht="28.5" customHeight="1" thickBot="1" x14ac:dyDescent="0.4">
      <c r="A73" s="119"/>
      <c r="B73" s="1376" t="s">
        <v>1732</v>
      </c>
      <c r="C73" s="1412"/>
      <c r="D73" s="191"/>
      <c r="E73" s="192">
        <v>0.2</v>
      </c>
      <c r="F73" s="186"/>
      <c r="G73" s="127"/>
      <c r="H73" s="127"/>
      <c r="I73" s="127"/>
      <c r="J73" s="133">
        <f>+AVERAGE(J74:J76)</f>
        <v>0.25</v>
      </c>
      <c r="K73" s="133">
        <f>+AVERAGE(K74:K76)</f>
        <v>0.25</v>
      </c>
      <c r="L73" s="133">
        <f>+AVERAGE(L74:L76)</f>
        <v>0.25</v>
      </c>
      <c r="M73" s="133">
        <f>+M74+M75+M76</f>
        <v>0.25</v>
      </c>
      <c r="N73" s="133">
        <f>+N74+N75+N76</f>
        <v>0.25</v>
      </c>
      <c r="O73" s="133"/>
      <c r="P73" s="132"/>
      <c r="Q73" s="132"/>
      <c r="R73" s="132"/>
      <c r="S73" s="132"/>
      <c r="T73" s="132"/>
      <c r="U73" s="839"/>
      <c r="V73" s="134"/>
      <c r="W73" s="602"/>
      <c r="X73" s="132"/>
      <c r="Y73" s="132"/>
      <c r="Z73" s="132"/>
      <c r="AA73" s="132"/>
      <c r="AB73" s="134"/>
      <c r="AC73" s="154">
        <f>+AVERAGE(AC74:AC76)</f>
        <v>0.75190804597701144</v>
      </c>
      <c r="AD73" s="154">
        <f>+AVERAGE(AD74:AD76)</f>
        <v>0.93733333333333346</v>
      </c>
      <c r="AE73" s="154">
        <f>+AVERAGE(AE74:AE76)</f>
        <v>1</v>
      </c>
      <c r="AF73" s="154">
        <f>+(AF74+AF75+AF76)*E73</f>
        <v>0.13870344827586209</v>
      </c>
      <c r="AG73" s="154">
        <f>+(AG74+AG75+AG76)*E73</f>
        <v>0.18120000000000003</v>
      </c>
      <c r="AH73" s="154">
        <f>+(AH74+AH75+AH76)*F73</f>
        <v>0</v>
      </c>
      <c r="AI73" s="133">
        <f>+AVERAGE(AI74:AI76)</f>
        <v>0.35297701149425292</v>
      </c>
      <c r="AJ73" s="133">
        <v>0.72822988505747122</v>
      </c>
      <c r="AK73" s="133">
        <f>+AVERAGE(AK74:AK76)</f>
        <v>0.94349999999999989</v>
      </c>
      <c r="AL73" s="183">
        <f>+(AL74+AL75+AL76)*E73</f>
        <v>5.4475862068965514E-2</v>
      </c>
      <c r="AM73" s="183">
        <f>+(AM74+AM75+AM76)</f>
        <v>0.62520689655172412</v>
      </c>
      <c r="AN73" s="183">
        <f>+(AN74+AN75+AN76)</f>
        <v>0.91525000000000012</v>
      </c>
      <c r="AO73" s="770"/>
      <c r="AP73" s="490"/>
      <c r="AQ73" s="490"/>
      <c r="AR73" s="490"/>
      <c r="AS73" s="490"/>
      <c r="AT73" s="984"/>
      <c r="AU73" s="490"/>
      <c r="AV73" s="490"/>
    </row>
    <row r="74" spans="1:49" ht="88.95" customHeight="1" thickBot="1" x14ac:dyDescent="0.4">
      <c r="A74" s="119"/>
      <c r="B74" s="1378" t="s">
        <v>859</v>
      </c>
      <c r="C74" s="1404" t="s">
        <v>1314</v>
      </c>
      <c r="D74" s="184" t="s">
        <v>852</v>
      </c>
      <c r="E74" s="188">
        <v>0.2</v>
      </c>
      <c r="F74" s="186">
        <v>1</v>
      </c>
      <c r="G74" s="203">
        <v>0.25</v>
      </c>
      <c r="H74" s="203">
        <v>0.25</v>
      </c>
      <c r="I74" s="203">
        <v>0.25</v>
      </c>
      <c r="J74" s="139">
        <f>+G74/F74</f>
        <v>0.25</v>
      </c>
      <c r="K74" s="139">
        <f t="shared" ref="K74:K76" si="83">+H74/F74</f>
        <v>0.25</v>
      </c>
      <c r="L74" s="139"/>
      <c r="M74" s="139">
        <f>+(G74/F74)*E74</f>
        <v>0.05</v>
      </c>
      <c r="N74" s="139">
        <f t="shared" si="63"/>
        <v>0.05</v>
      </c>
      <c r="O74" s="139"/>
      <c r="P74" s="114">
        <v>0.745</v>
      </c>
      <c r="Q74" s="498">
        <v>0.03</v>
      </c>
      <c r="R74" s="498">
        <v>0.01</v>
      </c>
      <c r="S74" s="498">
        <v>0</v>
      </c>
      <c r="T74" s="498">
        <v>0.46</v>
      </c>
      <c r="U74" s="498">
        <v>3.5000000000000003E-2</v>
      </c>
      <c r="V74" s="114">
        <f t="shared" si="82"/>
        <v>0.53500000000000003</v>
      </c>
      <c r="W74" s="602">
        <f t="shared" si="69"/>
        <v>3.2800000000000002</v>
      </c>
      <c r="X74" s="498">
        <v>0</v>
      </c>
      <c r="Y74" s="498">
        <v>2</v>
      </c>
      <c r="Z74" s="114"/>
      <c r="AA74" s="114"/>
      <c r="AB74" s="114">
        <f t="shared" si="64"/>
        <v>2</v>
      </c>
      <c r="AC74" s="156">
        <v>1</v>
      </c>
      <c r="AD74" s="156">
        <v>1</v>
      </c>
      <c r="AE74" s="156">
        <v>1</v>
      </c>
      <c r="AF74" s="156">
        <f>+AC74*E74</f>
        <v>0.2</v>
      </c>
      <c r="AG74" s="156">
        <f>+AD74*E74</f>
        <v>0.2</v>
      </c>
      <c r="AH74" s="156">
        <f t="shared" ref="AH74:AH76" si="84">+AE74*E74</f>
        <v>0.2</v>
      </c>
      <c r="AI74" s="156">
        <f>+P74/F74</f>
        <v>0.745</v>
      </c>
      <c r="AJ74" s="190">
        <v>1</v>
      </c>
      <c r="AK74" s="190">
        <v>1</v>
      </c>
      <c r="AL74" s="187">
        <f>+AI74*E74</f>
        <v>0.14899999999999999</v>
      </c>
      <c r="AM74" s="187">
        <f>+AJ74*E74</f>
        <v>0.2</v>
      </c>
      <c r="AN74" s="187">
        <f t="shared" ref="AN74:AN76" si="85">+AK74*E74</f>
        <v>0.2</v>
      </c>
      <c r="AO74" s="521" t="s">
        <v>1844</v>
      </c>
      <c r="AP74" s="523" t="s">
        <v>1859</v>
      </c>
      <c r="AQ74" s="522" t="s">
        <v>1998</v>
      </c>
      <c r="AR74" s="522" t="s">
        <v>2010</v>
      </c>
      <c r="AS74" s="495" t="s">
        <v>1859</v>
      </c>
      <c r="AT74" s="987" t="s">
        <v>1859</v>
      </c>
      <c r="AU74" s="495" t="s">
        <v>2204</v>
      </c>
      <c r="AV74" s="495" t="s">
        <v>1859</v>
      </c>
      <c r="AW74" s="495" t="s">
        <v>1859</v>
      </c>
    </row>
    <row r="75" spans="1:49" ht="78" customHeight="1" thickBot="1" x14ac:dyDescent="0.4">
      <c r="A75" s="119"/>
      <c r="B75" s="1378" t="s">
        <v>860</v>
      </c>
      <c r="C75" s="1404" t="s">
        <v>1315</v>
      </c>
      <c r="D75" s="184" t="s">
        <v>852</v>
      </c>
      <c r="E75" s="188">
        <v>0.5</v>
      </c>
      <c r="F75" s="186">
        <v>2000</v>
      </c>
      <c r="G75" s="203">
        <v>500</v>
      </c>
      <c r="H75" s="203">
        <v>500</v>
      </c>
      <c r="I75" s="203">
        <v>500</v>
      </c>
      <c r="J75" s="139">
        <f>+G75/F75</f>
        <v>0.25</v>
      </c>
      <c r="K75" s="139">
        <f t="shared" si="83"/>
        <v>0.25</v>
      </c>
      <c r="L75" s="139">
        <f t="shared" ref="L75:L76" si="86">+I75/F75</f>
        <v>0.25</v>
      </c>
      <c r="M75" s="139">
        <f>+(G75/F75)*E75</f>
        <v>0.125</v>
      </c>
      <c r="N75" s="139">
        <f t="shared" si="63"/>
        <v>0.125</v>
      </c>
      <c r="O75" s="139"/>
      <c r="P75" s="114">
        <v>292</v>
      </c>
      <c r="Q75" s="498">
        <v>49</v>
      </c>
      <c r="R75" s="498">
        <v>81</v>
      </c>
      <c r="S75" s="498">
        <v>74</v>
      </c>
      <c r="T75" s="498">
        <v>172</v>
      </c>
      <c r="U75" s="498">
        <v>30</v>
      </c>
      <c r="V75" s="114">
        <f t="shared" si="82"/>
        <v>406</v>
      </c>
      <c r="W75" s="602">
        <f t="shared" si="69"/>
        <v>1661</v>
      </c>
      <c r="X75" s="498">
        <v>861</v>
      </c>
      <c r="Y75" s="498">
        <v>102</v>
      </c>
      <c r="Z75" s="114"/>
      <c r="AA75" s="114"/>
      <c r="AB75" s="114">
        <f t="shared" si="64"/>
        <v>963</v>
      </c>
      <c r="AC75" s="156">
        <f>+(P75/G75)</f>
        <v>0.58399999999999996</v>
      </c>
      <c r="AD75" s="156">
        <f>+V75/H75</f>
        <v>0.81200000000000006</v>
      </c>
      <c r="AE75" s="156">
        <v>1</v>
      </c>
      <c r="AF75" s="156">
        <f>+AC75*E75</f>
        <v>0.29199999999999998</v>
      </c>
      <c r="AG75" s="156">
        <f>+AD75*E75</f>
        <v>0.40600000000000003</v>
      </c>
      <c r="AH75" s="156">
        <f>+AE75*E75</f>
        <v>0.5</v>
      </c>
      <c r="AI75" s="156">
        <f>+P75/F75</f>
        <v>0.14599999999999999</v>
      </c>
      <c r="AJ75" s="190">
        <v>0.34899999999999998</v>
      </c>
      <c r="AK75" s="190">
        <f t="shared" ref="AK75" si="87">+W75/F75</f>
        <v>0.83050000000000002</v>
      </c>
      <c r="AL75" s="187">
        <f>+AI75*E75</f>
        <v>7.2999999999999995E-2</v>
      </c>
      <c r="AM75" s="187">
        <f>+AJ75*E75</f>
        <v>0.17449999999999999</v>
      </c>
      <c r="AN75" s="187">
        <f t="shared" si="85"/>
        <v>0.41525000000000001</v>
      </c>
      <c r="AO75" s="521" t="s">
        <v>1844</v>
      </c>
      <c r="AP75" s="522" t="s">
        <v>1886</v>
      </c>
      <c r="AQ75" s="522" t="s">
        <v>1998</v>
      </c>
      <c r="AR75" s="522" t="s">
        <v>2010</v>
      </c>
      <c r="AS75" s="522" t="s">
        <v>2108</v>
      </c>
      <c r="AT75" s="987" t="s">
        <v>1859</v>
      </c>
      <c r="AU75" s="522" t="s">
        <v>2199</v>
      </c>
      <c r="AV75" s="495" t="s">
        <v>1859</v>
      </c>
      <c r="AW75" s="495" t="s">
        <v>1859</v>
      </c>
    </row>
    <row r="76" spans="1:49" ht="106.95" customHeight="1" thickBot="1" x14ac:dyDescent="0.4">
      <c r="A76" s="119"/>
      <c r="B76" s="1378" t="s">
        <v>861</v>
      </c>
      <c r="C76" s="1404" t="s">
        <v>1316</v>
      </c>
      <c r="D76" s="184" t="s">
        <v>852</v>
      </c>
      <c r="E76" s="188">
        <v>0.3</v>
      </c>
      <c r="F76" s="186">
        <f>1450*4</f>
        <v>5800</v>
      </c>
      <c r="G76" s="203">
        <v>1450</v>
      </c>
      <c r="H76" s="203">
        <v>1450</v>
      </c>
      <c r="I76" s="203">
        <v>1450</v>
      </c>
      <c r="J76" s="139">
        <f>+G76/F76</f>
        <v>0.25</v>
      </c>
      <c r="K76" s="139">
        <f t="shared" si="83"/>
        <v>0.25</v>
      </c>
      <c r="L76" s="139">
        <f t="shared" si="86"/>
        <v>0.25</v>
      </c>
      <c r="M76" s="139">
        <f>+(G76/F76)*E76</f>
        <v>7.4999999999999997E-2</v>
      </c>
      <c r="N76" s="139">
        <f t="shared" si="63"/>
        <v>7.4999999999999997E-2</v>
      </c>
      <c r="O76" s="139"/>
      <c r="P76" s="114">
        <v>974</v>
      </c>
      <c r="Q76" s="498">
        <v>974</v>
      </c>
      <c r="R76" s="498">
        <v>988</v>
      </c>
      <c r="S76" s="498">
        <v>968</v>
      </c>
      <c r="T76" s="498">
        <v>91</v>
      </c>
      <c r="U76" s="498">
        <v>852</v>
      </c>
      <c r="V76" s="114">
        <f t="shared" si="82"/>
        <v>3873</v>
      </c>
      <c r="W76" s="602">
        <f t="shared" si="69"/>
        <v>7158</v>
      </c>
      <c r="X76" s="498">
        <v>1177</v>
      </c>
      <c r="Y76" s="498">
        <v>1134</v>
      </c>
      <c r="Z76" s="114"/>
      <c r="AA76" s="114"/>
      <c r="AB76" s="114">
        <f t="shared" si="64"/>
        <v>2311</v>
      </c>
      <c r="AC76" s="156">
        <f>+(P76/G76)</f>
        <v>0.67172413793103447</v>
      </c>
      <c r="AD76" s="156">
        <v>1</v>
      </c>
      <c r="AE76" s="156">
        <v>1</v>
      </c>
      <c r="AF76" s="156">
        <f>+AC76*E76</f>
        <v>0.20151724137931035</v>
      </c>
      <c r="AG76" s="156">
        <f>+AD76*E76</f>
        <v>0.3</v>
      </c>
      <c r="AH76" s="156">
        <f t="shared" si="84"/>
        <v>0.3</v>
      </c>
      <c r="AI76" s="156">
        <f>+P76/F76</f>
        <v>0.16793103448275862</v>
      </c>
      <c r="AJ76" s="190">
        <v>0.83568965517241378</v>
      </c>
      <c r="AK76" s="190">
        <v>1</v>
      </c>
      <c r="AL76" s="187">
        <f>+AI76*E76</f>
        <v>5.0379310344827587E-2</v>
      </c>
      <c r="AM76" s="187">
        <f>+AJ76*E76</f>
        <v>0.25070689655172412</v>
      </c>
      <c r="AN76" s="187">
        <f t="shared" si="85"/>
        <v>0.3</v>
      </c>
      <c r="AO76" s="521" t="s">
        <v>1844</v>
      </c>
      <c r="AP76" s="522" t="s">
        <v>1886</v>
      </c>
      <c r="AQ76" s="522" t="s">
        <v>1998</v>
      </c>
      <c r="AR76" s="522" t="s">
        <v>2010</v>
      </c>
      <c r="AS76" s="495" t="s">
        <v>1859</v>
      </c>
      <c r="AT76" s="987" t="s">
        <v>1859</v>
      </c>
      <c r="AU76" s="522" t="s">
        <v>2199</v>
      </c>
      <c r="AV76" s="495" t="s">
        <v>1859</v>
      </c>
      <c r="AW76" s="495" t="s">
        <v>1859</v>
      </c>
    </row>
    <row r="77" spans="1:49" ht="28.5" customHeight="1" thickBot="1" x14ac:dyDescent="0.4">
      <c r="A77" s="119"/>
      <c r="B77" s="1376" t="s">
        <v>1807</v>
      </c>
      <c r="C77" s="1412"/>
      <c r="D77" s="191"/>
      <c r="E77" s="192">
        <v>0.25</v>
      </c>
      <c r="F77" s="186"/>
      <c r="G77" s="127"/>
      <c r="H77" s="127"/>
      <c r="I77" s="127"/>
      <c r="J77" s="133">
        <f>+AVERAGE(J78)</f>
        <v>0.14285714285714285</v>
      </c>
      <c r="K77" s="133">
        <f>+AVERAGE(K78)</f>
        <v>0.17142857142857143</v>
      </c>
      <c r="L77" s="133">
        <f>+AVERAGE(L78)</f>
        <v>0.32857142857142857</v>
      </c>
      <c r="M77" s="133">
        <f>+M78</f>
        <v>0.14285714285714285</v>
      </c>
      <c r="N77" s="133">
        <f>+N78</f>
        <v>0.17142857142857143</v>
      </c>
      <c r="O77" s="133"/>
      <c r="P77" s="132"/>
      <c r="Q77" s="132"/>
      <c r="R77" s="132"/>
      <c r="S77" s="132"/>
      <c r="T77" s="132"/>
      <c r="U77" s="839"/>
      <c r="V77" s="134"/>
      <c r="W77" s="602"/>
      <c r="X77" s="132"/>
      <c r="Y77" s="132"/>
      <c r="Z77" s="132"/>
      <c r="AA77" s="132"/>
      <c r="AB77" s="134"/>
      <c r="AC77" s="154">
        <f>+AVERAGE(AC78)</f>
        <v>0.8</v>
      </c>
      <c r="AD77" s="154">
        <f>+AVERAGE(AD78)</f>
        <v>1</v>
      </c>
      <c r="AE77" s="154">
        <f>+AVERAGE(AE78)</f>
        <v>0.24347826086956526</v>
      </c>
      <c r="AF77" s="154">
        <f>+(AF78)*E77</f>
        <v>0.2</v>
      </c>
      <c r="AG77" s="154">
        <f>+(AG78)*E77</f>
        <v>0.25</v>
      </c>
      <c r="AH77" s="154">
        <f>+(AH78)*E77</f>
        <v>6.0869565217391314E-2</v>
      </c>
      <c r="AI77" s="133">
        <f>+AVERAGE(AI78)</f>
        <v>0.1142857142857143</v>
      </c>
      <c r="AJ77" s="133">
        <v>0.2857142857142857</v>
      </c>
      <c r="AK77" s="133">
        <f>+AVERAGE(AK78)</f>
        <v>0.36571428571428571</v>
      </c>
      <c r="AL77" s="183">
        <f>+(AL78)*E77</f>
        <v>2.8571428571428574E-2</v>
      </c>
      <c r="AM77" s="183">
        <f>+(AM78)</f>
        <v>0.2857142857142857</v>
      </c>
      <c r="AN77" s="183">
        <f>+(AN78)</f>
        <v>0.36571428571428571</v>
      </c>
      <c r="AO77" s="770"/>
      <c r="AP77" s="490"/>
      <c r="AQ77" s="490"/>
      <c r="AR77" s="490"/>
      <c r="AS77" s="490"/>
      <c r="AT77" s="984"/>
      <c r="AU77" s="490"/>
      <c r="AV77" s="490"/>
    </row>
    <row r="78" spans="1:49" ht="67.2" customHeight="1" thickBot="1" x14ac:dyDescent="0.4">
      <c r="A78" s="119"/>
      <c r="B78" s="1378" t="s">
        <v>862</v>
      </c>
      <c r="C78" s="1404" t="s">
        <v>1317</v>
      </c>
      <c r="D78" s="191" t="s">
        <v>863</v>
      </c>
      <c r="E78" s="188">
        <v>1</v>
      </c>
      <c r="F78" s="186">
        <v>7</v>
      </c>
      <c r="G78" s="134">
        <v>1</v>
      </c>
      <c r="H78" s="134">
        <v>1.2</v>
      </c>
      <c r="I78" s="134">
        <v>2.2999999999999998</v>
      </c>
      <c r="J78" s="139">
        <f>+G78/F78</f>
        <v>0.14285714285714285</v>
      </c>
      <c r="K78" s="139">
        <f t="shared" ref="K78" si="88">+H78/F78</f>
        <v>0.17142857142857143</v>
      </c>
      <c r="L78" s="139">
        <f>+I78/F78</f>
        <v>0.32857142857142857</v>
      </c>
      <c r="M78" s="139">
        <f>+(G78/F78)*E78</f>
        <v>0.14285714285714285</v>
      </c>
      <c r="N78" s="139">
        <f t="shared" si="63"/>
        <v>0.17142857142857143</v>
      </c>
      <c r="O78" s="139"/>
      <c r="P78" s="134">
        <v>0.8</v>
      </c>
      <c r="Q78" s="496">
        <v>0.2</v>
      </c>
      <c r="R78" s="496">
        <v>0.1</v>
      </c>
      <c r="S78" s="496">
        <v>0.42</v>
      </c>
      <c r="T78" s="496">
        <v>0.25</v>
      </c>
      <c r="U78" s="496">
        <v>0.22999999999999998</v>
      </c>
      <c r="V78" s="134">
        <f t="shared" si="82"/>
        <v>1.2</v>
      </c>
      <c r="W78" s="602">
        <f t="shared" si="69"/>
        <v>2.56</v>
      </c>
      <c r="X78" s="496">
        <v>0.56000000000000005</v>
      </c>
      <c r="Y78" s="134"/>
      <c r="Z78" s="134"/>
      <c r="AA78" s="134"/>
      <c r="AB78" s="134">
        <f t="shared" si="64"/>
        <v>0.56000000000000005</v>
      </c>
      <c r="AC78" s="156">
        <f>+(P78/G78)</f>
        <v>0.8</v>
      </c>
      <c r="AD78" s="156">
        <f>+V78/H78</f>
        <v>1</v>
      </c>
      <c r="AE78" s="156">
        <f t="shared" ref="AE78" si="89">+AB78/I78</f>
        <v>0.24347826086956526</v>
      </c>
      <c r="AF78" s="156">
        <f>+AC78*E78</f>
        <v>0.8</v>
      </c>
      <c r="AG78" s="156">
        <f>+AD78*E78</f>
        <v>1</v>
      </c>
      <c r="AH78" s="156">
        <f t="shared" ref="AH78" si="90">+AE78*E78</f>
        <v>0.24347826086956526</v>
      </c>
      <c r="AI78" s="156">
        <f>+P78/F78</f>
        <v>0.1142857142857143</v>
      </c>
      <c r="AJ78" s="190">
        <v>0.2857142857142857</v>
      </c>
      <c r="AK78" s="190">
        <f t="shared" ref="AK78" si="91">+W78/F78</f>
        <v>0.36571428571428571</v>
      </c>
      <c r="AL78" s="190">
        <f>+AI78*E78</f>
        <v>0.1142857142857143</v>
      </c>
      <c r="AM78" s="190">
        <f>+AJ78*E78</f>
        <v>0.2857142857142857</v>
      </c>
      <c r="AN78" s="190">
        <f t="shared" ref="AN78" si="92">+AK78*E78</f>
        <v>0.36571428571428571</v>
      </c>
      <c r="AO78" s="521" t="s">
        <v>1846</v>
      </c>
      <c r="AP78" s="522" t="s">
        <v>1886</v>
      </c>
      <c r="AQ78" s="522" t="s">
        <v>1998</v>
      </c>
      <c r="AR78" s="522" t="s">
        <v>2010</v>
      </c>
      <c r="AS78" s="522" t="s">
        <v>2108</v>
      </c>
      <c r="AT78" s="985" t="s">
        <v>2140</v>
      </c>
      <c r="AU78" s="522" t="s">
        <v>2199</v>
      </c>
      <c r="AV78" s="490"/>
    </row>
    <row r="79" spans="1:49" ht="57" customHeight="1" thickBot="1" x14ac:dyDescent="0.4">
      <c r="A79" s="119"/>
      <c r="B79" s="1376" t="s">
        <v>1734</v>
      </c>
      <c r="C79" s="1412"/>
      <c r="D79" s="191"/>
      <c r="E79" s="192">
        <v>0.15</v>
      </c>
      <c r="F79" s="186"/>
      <c r="G79" s="127"/>
      <c r="H79" s="127"/>
      <c r="I79" s="127"/>
      <c r="J79" s="133">
        <f>+AVERAGE(J80:J81)</f>
        <v>0.32500000000000001</v>
      </c>
      <c r="K79" s="133">
        <f>+AVERAGE(K80:K81)</f>
        <v>9.5000000000000001E-2</v>
      </c>
      <c r="L79" s="133">
        <f>+AVERAGE(L80:L81)</f>
        <v>0.34</v>
      </c>
      <c r="M79" s="133">
        <f>+M80+M81</f>
        <v>0.35499999999999998</v>
      </c>
      <c r="N79" s="133">
        <f>+N80+N81</f>
        <v>6.5000000000000002E-2</v>
      </c>
      <c r="O79" s="133"/>
      <c r="P79" s="132"/>
      <c r="Q79" s="132"/>
      <c r="R79" s="132"/>
      <c r="S79" s="132"/>
      <c r="T79" s="132"/>
      <c r="U79" s="839"/>
      <c r="V79" s="134"/>
      <c r="W79" s="602"/>
      <c r="X79" s="132"/>
      <c r="Y79" s="132"/>
      <c r="Z79" s="132"/>
      <c r="AA79" s="132"/>
      <c r="AB79" s="134"/>
      <c r="AC79" s="154">
        <f>+AVERAGE(AC80:AC81)</f>
        <v>0.94</v>
      </c>
      <c r="AD79" s="154">
        <f>+AVERAGE(AD80:AD81)</f>
        <v>1</v>
      </c>
      <c r="AE79" s="154">
        <f>+AVERAGE(AE80:AE81)</f>
        <v>0</v>
      </c>
      <c r="AF79" s="154">
        <f>+(AF80+AF81)*E79</f>
        <v>0.14459999999999998</v>
      </c>
      <c r="AG79" s="154">
        <f>+(AG80+AG81)*E79</f>
        <v>0.15</v>
      </c>
      <c r="AH79" s="154">
        <f>+(AH80+AH81)*E79</f>
        <v>0</v>
      </c>
      <c r="AI79" s="133">
        <f>+AVERAGE(AI80:AI81)</f>
        <v>0.61</v>
      </c>
      <c r="AJ79" s="133">
        <v>0.70499999999999996</v>
      </c>
      <c r="AK79" s="133">
        <f>+AVERAGE(AK80:AK81)</f>
        <v>0.70499999999999996</v>
      </c>
      <c r="AL79" s="183">
        <f>+(AL80+AL81)*E79</f>
        <v>0.1149</v>
      </c>
      <c r="AM79" s="183">
        <f>+(AM80+AM81)</f>
        <v>0.82299999999999995</v>
      </c>
      <c r="AN79" s="183">
        <f>+(AN80+AN81)</f>
        <v>0.82299999999999995</v>
      </c>
      <c r="AO79" s="770"/>
      <c r="AP79" s="490"/>
      <c r="AQ79" s="490"/>
      <c r="AR79" s="490"/>
      <c r="AS79" s="490"/>
      <c r="AT79" s="984"/>
      <c r="AU79" s="490"/>
      <c r="AV79" s="490"/>
    </row>
    <row r="80" spans="1:49" ht="117.6" customHeight="1" thickBot="1" x14ac:dyDescent="0.4">
      <c r="A80" s="119"/>
      <c r="B80" s="1378" t="s">
        <v>864</v>
      </c>
      <c r="C80" s="1404" t="s">
        <v>1318</v>
      </c>
      <c r="D80" s="191" t="s">
        <v>1540</v>
      </c>
      <c r="E80" s="188">
        <v>0.3</v>
      </c>
      <c r="F80" s="186">
        <v>1</v>
      </c>
      <c r="G80" s="134">
        <v>0.25</v>
      </c>
      <c r="H80" s="134">
        <v>0.17</v>
      </c>
      <c r="I80" s="134">
        <v>0.34</v>
      </c>
      <c r="J80" s="139">
        <f>+G80/F80</f>
        <v>0.25</v>
      </c>
      <c r="K80" s="139">
        <f t="shared" ref="K80:K81" si="93">+H80/F80</f>
        <v>0.17</v>
      </c>
      <c r="L80" s="139">
        <f t="shared" ref="L80" si="94">+I80/F80</f>
        <v>0.34</v>
      </c>
      <c r="M80" s="139">
        <f>+(G80/F80)*E80</f>
        <v>7.4999999999999997E-2</v>
      </c>
      <c r="N80" s="139">
        <f t="shared" si="63"/>
        <v>5.1000000000000004E-2</v>
      </c>
      <c r="O80" s="139"/>
      <c r="P80" s="134">
        <v>0.22</v>
      </c>
      <c r="Q80" s="496">
        <v>0.05</v>
      </c>
      <c r="R80" s="496">
        <v>0.12</v>
      </c>
      <c r="S80" s="496">
        <v>0</v>
      </c>
      <c r="T80" s="496">
        <v>0</v>
      </c>
      <c r="U80" s="496">
        <v>0.02</v>
      </c>
      <c r="V80" s="134">
        <f t="shared" si="82"/>
        <v>0.18999999999999997</v>
      </c>
      <c r="W80" s="168">
        <f t="shared" si="69"/>
        <v>0.41</v>
      </c>
      <c r="X80" s="496">
        <v>0</v>
      </c>
      <c r="Y80" s="496">
        <v>0</v>
      </c>
      <c r="Z80" s="134"/>
      <c r="AA80" s="134"/>
      <c r="AB80" s="134">
        <f t="shared" si="64"/>
        <v>0</v>
      </c>
      <c r="AC80" s="156">
        <f>+(P80/G80)</f>
        <v>0.88</v>
      </c>
      <c r="AD80" s="156">
        <v>1</v>
      </c>
      <c r="AE80" s="156">
        <f t="shared" ref="AE80" si="95">+AB80/I80</f>
        <v>0</v>
      </c>
      <c r="AF80" s="156">
        <f>+AC80*E80</f>
        <v>0.26400000000000001</v>
      </c>
      <c r="AG80" s="156">
        <f>+AD80*E80</f>
        <v>0.3</v>
      </c>
      <c r="AH80" s="156">
        <f t="shared" ref="AH80:AH81" si="96">+AE80*E80</f>
        <v>0</v>
      </c>
      <c r="AI80" s="156">
        <f>+P80/F80</f>
        <v>0.22</v>
      </c>
      <c r="AJ80" s="190">
        <v>0.41</v>
      </c>
      <c r="AK80" s="190">
        <f t="shared" ref="AK80" si="97">+W80/F80</f>
        <v>0.41</v>
      </c>
      <c r="AL80" s="190">
        <f>+AI80*E80</f>
        <v>6.6000000000000003E-2</v>
      </c>
      <c r="AM80" s="190">
        <f>+AJ80*E80</f>
        <v>0.12299999999999998</v>
      </c>
      <c r="AN80" s="190">
        <f t="shared" ref="AN80:AN81" si="98">+AK80*E80</f>
        <v>0.12299999999999998</v>
      </c>
      <c r="AO80" s="521" t="s">
        <v>1846</v>
      </c>
      <c r="AP80" s="522" t="s">
        <v>1886</v>
      </c>
      <c r="AQ80" s="522" t="s">
        <v>1990</v>
      </c>
      <c r="AR80" s="522" t="s">
        <v>2010</v>
      </c>
      <c r="AS80" s="522" t="s">
        <v>2108</v>
      </c>
      <c r="AT80" s="985" t="s">
        <v>2140</v>
      </c>
      <c r="AU80" s="522" t="s">
        <v>2199</v>
      </c>
      <c r="AV80" s="522" t="s">
        <v>1887</v>
      </c>
      <c r="AW80" s="522" t="s">
        <v>2294</v>
      </c>
    </row>
    <row r="81" spans="1:49" ht="85.2" customHeight="1" thickBot="1" x14ac:dyDescent="0.4">
      <c r="A81" s="119"/>
      <c r="B81" s="1378" t="s">
        <v>865</v>
      </c>
      <c r="C81" s="1404" t="s">
        <v>1319</v>
      </c>
      <c r="D81" s="191" t="s">
        <v>1539</v>
      </c>
      <c r="E81" s="188">
        <v>0.7</v>
      </c>
      <c r="F81" s="186">
        <v>5</v>
      </c>
      <c r="G81" s="134">
        <v>2</v>
      </c>
      <c r="H81" s="195">
        <v>0.1</v>
      </c>
      <c r="I81" s="134">
        <v>0</v>
      </c>
      <c r="J81" s="139">
        <f>+G81/F81</f>
        <v>0.4</v>
      </c>
      <c r="K81" s="139">
        <f t="shared" si="93"/>
        <v>0.02</v>
      </c>
      <c r="L81" s="139"/>
      <c r="M81" s="139">
        <f>+(G81/F81)*E81</f>
        <v>0.27999999999999997</v>
      </c>
      <c r="N81" s="139">
        <f t="shared" si="63"/>
        <v>1.3999999999999999E-2</v>
      </c>
      <c r="O81" s="139"/>
      <c r="P81" s="134">
        <v>5</v>
      </c>
      <c r="Q81" s="496">
        <v>0.1</v>
      </c>
      <c r="R81" s="496">
        <v>0.1</v>
      </c>
      <c r="S81" s="496">
        <v>0</v>
      </c>
      <c r="T81" s="496">
        <v>0</v>
      </c>
      <c r="U81" s="496">
        <v>0</v>
      </c>
      <c r="V81" s="134">
        <f t="shared" si="82"/>
        <v>0.2</v>
      </c>
      <c r="W81" s="602">
        <f>+V81+P81+AB81</f>
        <v>5.42</v>
      </c>
      <c r="X81" s="496">
        <v>0</v>
      </c>
      <c r="Y81" s="496">
        <v>0.22</v>
      </c>
      <c r="Z81" s="134"/>
      <c r="AA81" s="134"/>
      <c r="AB81" s="134">
        <f t="shared" si="64"/>
        <v>0.22</v>
      </c>
      <c r="AC81" s="156">
        <v>1</v>
      </c>
      <c r="AD81" s="156">
        <v>1</v>
      </c>
      <c r="AE81" s="156"/>
      <c r="AF81" s="156">
        <f>+AC81*E81</f>
        <v>0.7</v>
      </c>
      <c r="AG81" s="156">
        <f>+AD81*E81</f>
        <v>0.7</v>
      </c>
      <c r="AH81" s="156">
        <f t="shared" si="96"/>
        <v>0</v>
      </c>
      <c r="AI81" s="156">
        <f>+P81/F81</f>
        <v>1</v>
      </c>
      <c r="AJ81" s="190">
        <v>1</v>
      </c>
      <c r="AK81" s="190">
        <v>1</v>
      </c>
      <c r="AL81" s="190">
        <f>+AI81*E81</f>
        <v>0.7</v>
      </c>
      <c r="AM81" s="190">
        <f>+AJ81*E81</f>
        <v>0.7</v>
      </c>
      <c r="AN81" s="190">
        <f t="shared" si="98"/>
        <v>0.7</v>
      </c>
      <c r="AO81" s="773" t="s">
        <v>1858</v>
      </c>
      <c r="AP81" s="523" t="s">
        <v>1859</v>
      </c>
      <c r="AQ81" s="523" t="s">
        <v>1859</v>
      </c>
      <c r="AR81" s="522" t="s">
        <v>2010</v>
      </c>
      <c r="AS81" s="640" t="s">
        <v>2119</v>
      </c>
      <c r="AT81" s="985" t="s">
        <v>2140</v>
      </c>
      <c r="AU81" s="522" t="s">
        <v>2199</v>
      </c>
      <c r="AV81" s="522" t="s">
        <v>1887</v>
      </c>
      <c r="AW81" s="522" t="s">
        <v>2294</v>
      </c>
    </row>
    <row r="82" spans="1:49" ht="78" customHeight="1" thickBot="1" x14ac:dyDescent="0.4">
      <c r="A82" s="119"/>
      <c r="B82" s="1374" t="s">
        <v>1808</v>
      </c>
      <c r="C82" s="1412"/>
      <c r="D82" s="191"/>
      <c r="E82" s="194">
        <v>0.1</v>
      </c>
      <c r="F82" s="122">
        <f>+E82*AF82</f>
        <v>2.0506728571428573E-2</v>
      </c>
      <c r="G82" s="127"/>
      <c r="H82" s="123">
        <f>+E82*AG82</f>
        <v>5.6500921428571438E-2</v>
      </c>
      <c r="I82" s="123">
        <f>+E82*AH82</f>
        <v>1.9077352941176472E-2</v>
      </c>
      <c r="J82" s="125">
        <f>+(J83+J91+J95)/3</f>
        <v>0.23703703703703705</v>
      </c>
      <c r="K82" s="125">
        <f>+(K83+K91+K95)/3</f>
        <v>0.29888888888888893</v>
      </c>
      <c r="L82" s="125">
        <f>+(L83+L91+L95)/3</f>
        <v>0.31</v>
      </c>
      <c r="M82" s="126">
        <f>+(M83+M91+M95)/3</f>
        <v>0.17777777777777778</v>
      </c>
      <c r="N82" s="126">
        <f>+(N83+N91+N95)/3</f>
        <v>0.23291666666666666</v>
      </c>
      <c r="O82" s="126"/>
      <c r="P82" s="127"/>
      <c r="Q82" s="127"/>
      <c r="R82" s="127"/>
      <c r="S82" s="127"/>
      <c r="T82" s="127"/>
      <c r="U82" s="176"/>
      <c r="V82" s="819"/>
      <c r="W82" s="127"/>
      <c r="X82" s="127"/>
      <c r="Y82" s="127"/>
      <c r="Z82" s="127"/>
      <c r="AA82" s="127"/>
      <c r="AB82" s="127"/>
      <c r="AC82" s="125">
        <f>+(AC83+AC91+AC95)/3</f>
        <v>0.43832698412698412</v>
      </c>
      <c r="AD82" s="125">
        <f>+(AD83+AD91+AD95)/3</f>
        <v>0.71249002267573702</v>
      </c>
      <c r="AE82" s="125">
        <f>+(AE83+AE91+AE95)/3</f>
        <v>0.1530718954248366</v>
      </c>
      <c r="AF82" s="126">
        <f>+AF83+AF91+AF95</f>
        <v>0.20506728571428573</v>
      </c>
      <c r="AG82" s="126">
        <f>+AG83+AG91+AG95</f>
        <v>0.56500921428571438</v>
      </c>
      <c r="AH82" s="126">
        <f>+AH83+AH91+AH95</f>
        <v>0.1907735294117647</v>
      </c>
      <c r="AI82" s="125">
        <f>(AI83+AI91+AI95)/3</f>
        <v>0.15124841269841269</v>
      </c>
      <c r="AJ82" s="125">
        <v>0.33279166666666665</v>
      </c>
      <c r="AK82" s="125">
        <f>(AK83+AK91+AK95)/3</f>
        <v>0.39303713151927439</v>
      </c>
      <c r="AL82" s="181">
        <f>+(AL83+AL91+AL95)</f>
        <v>6.376682142857143E-2</v>
      </c>
      <c r="AM82" s="181">
        <f>+(AM83*E83+AM91*E91+AM95*E95)</f>
        <v>0.22288787500000001</v>
      </c>
      <c r="AN82" s="181">
        <f>+(AN83*E83+AN91*E91+AN95*E95)</f>
        <v>0.32553501785714284</v>
      </c>
      <c r="AO82" s="769"/>
      <c r="AP82" s="490"/>
      <c r="AQ82" s="490"/>
      <c r="AR82" s="490"/>
      <c r="AS82" s="490"/>
      <c r="AT82" s="984"/>
      <c r="AU82" s="490"/>
      <c r="AV82" s="490"/>
    </row>
    <row r="83" spans="1:49" ht="72" customHeight="1" thickBot="1" x14ac:dyDescent="0.4">
      <c r="A83" s="119"/>
      <c r="B83" s="1376" t="s">
        <v>1809</v>
      </c>
      <c r="C83" s="1412"/>
      <c r="D83" s="191"/>
      <c r="E83" s="192">
        <v>0.45</v>
      </c>
      <c r="F83" s="186"/>
      <c r="G83" s="127"/>
      <c r="H83" s="127"/>
      <c r="I83" s="127"/>
      <c r="J83" s="133">
        <f>+AVERAGE(J84:J90)</f>
        <v>0.21111111111111111</v>
      </c>
      <c r="K83" s="133">
        <f>+AVERAGE(K84:K90)</f>
        <v>0.35500000000000004</v>
      </c>
      <c r="L83" s="133">
        <f>+AVERAGE(L84:L90)</f>
        <v>0.34250000000000003</v>
      </c>
      <c r="M83" s="133">
        <f>+M84+M85+M86+M87+M88+M89+M90</f>
        <v>0.15833333333333333</v>
      </c>
      <c r="N83" s="133">
        <f>+N84+N85+N86+N87+N88+N89+N90</f>
        <v>0.23</v>
      </c>
      <c r="O83" s="133"/>
      <c r="P83" s="132"/>
      <c r="Q83" s="132"/>
      <c r="R83" s="132"/>
      <c r="S83" s="132"/>
      <c r="T83" s="132"/>
      <c r="U83" s="839"/>
      <c r="V83" s="134"/>
      <c r="W83" s="132"/>
      <c r="X83" s="132"/>
      <c r="Y83" s="132"/>
      <c r="Z83" s="132"/>
      <c r="AA83" s="132"/>
      <c r="AB83" s="132"/>
      <c r="AC83" s="154">
        <f>+AVERAGE(AC84:AC90)</f>
        <v>0.31498095238095236</v>
      </c>
      <c r="AD83" s="154">
        <f>+AVERAGE(AD84:AD90)</f>
        <v>0.65913673469387757</v>
      </c>
      <c r="AE83" s="154">
        <f>+AVERAGE(AE84:AE90)</f>
        <v>0.25333333333333335</v>
      </c>
      <c r="AF83" s="154">
        <f>+(AF84+AF85+AF86+AF87+AF88+AF89+AF90)*E83</f>
        <v>0.10506728571428571</v>
      </c>
      <c r="AG83" s="154">
        <f>+(AG84+AG85+AG86+AG87+AG88+AG89+AG90)*E83</f>
        <v>0.35738421428571437</v>
      </c>
      <c r="AH83" s="154">
        <f>+(AH84+AH85+AH86+AH87+AH88+AH89+AH90)*E83</f>
        <v>0.14445</v>
      </c>
      <c r="AI83" s="133">
        <f>+AVERAGE(AI84:AI90)</f>
        <v>7.874523809523809E-2</v>
      </c>
      <c r="AJ83" s="133">
        <v>0.22817499999999999</v>
      </c>
      <c r="AK83" s="133">
        <f>+AVERAGE(AK84:AK90)</f>
        <v>0.35116139455782314</v>
      </c>
      <c r="AL83" s="183">
        <f>+(AL84+AL85+AL86+AL87+AL88+AL89+AL90)*E83</f>
        <v>2.6266821428571428E-2</v>
      </c>
      <c r="AM83" s="183">
        <f>+(AM84+AM85+AM86+AM87+AM88+AM89+AM90)</f>
        <v>0.24641750000000001</v>
      </c>
      <c r="AN83" s="183">
        <f>+(AN84+AN85+AN86+AN87+AN88+AN89+AN90)</f>
        <v>0.43077226190476187</v>
      </c>
      <c r="AO83" s="770"/>
      <c r="AP83" s="490"/>
      <c r="AQ83" s="490"/>
      <c r="AR83" s="490"/>
      <c r="AS83" s="490"/>
      <c r="AT83" s="984"/>
      <c r="AU83" s="490"/>
      <c r="AV83" s="490"/>
    </row>
    <row r="84" spans="1:49" ht="94.2" customHeight="1" thickBot="1" x14ac:dyDescent="0.4">
      <c r="A84" s="119"/>
      <c r="B84" s="1378" t="s">
        <v>866</v>
      </c>
      <c r="C84" s="1404" t="s">
        <v>1320</v>
      </c>
      <c r="D84" s="205" t="s">
        <v>867</v>
      </c>
      <c r="E84" s="188">
        <v>0.1</v>
      </c>
      <c r="F84" s="186">
        <v>1</v>
      </c>
      <c r="G84" s="134">
        <v>0</v>
      </c>
      <c r="H84" s="134">
        <v>0.25</v>
      </c>
      <c r="I84" s="134">
        <v>0.23</v>
      </c>
      <c r="J84" s="139"/>
      <c r="K84" s="139">
        <f>+H84/F84</f>
        <v>0.25</v>
      </c>
      <c r="L84" s="139">
        <f t="shared" ref="L84:L90" si="99">+I84/F84</f>
        <v>0.23</v>
      </c>
      <c r="M84" s="139"/>
      <c r="N84" s="139">
        <f t="shared" ref="N84:N90" si="100">+(H84/F84)*E84</f>
        <v>2.5000000000000001E-2</v>
      </c>
      <c r="O84" s="139"/>
      <c r="P84" s="134"/>
      <c r="Q84" s="496">
        <v>0.05</v>
      </c>
      <c r="R84" s="496">
        <v>0.12</v>
      </c>
      <c r="S84" s="496">
        <v>0.2</v>
      </c>
      <c r="T84" s="496">
        <v>0</v>
      </c>
      <c r="U84" s="496">
        <v>0</v>
      </c>
      <c r="V84" s="134">
        <f t="shared" si="82"/>
        <v>0.37</v>
      </c>
      <c r="W84" s="134">
        <f>+V84+P84+AB84+AB84</f>
        <v>0.37</v>
      </c>
      <c r="X84" s="496">
        <v>0</v>
      </c>
      <c r="Y84" s="496">
        <v>0</v>
      </c>
      <c r="Z84" s="134"/>
      <c r="AA84" s="134"/>
      <c r="AB84" s="134">
        <f t="shared" ref="AB84:AB96" si="101">+X84+Y84+Z84+AA84</f>
        <v>0</v>
      </c>
      <c r="AC84" s="156"/>
      <c r="AD84" s="156">
        <v>1</v>
      </c>
      <c r="AE84" s="156">
        <f t="shared" ref="AE84:AE90" si="102">+AB84/I84</f>
        <v>0</v>
      </c>
      <c r="AF84" s="156"/>
      <c r="AG84" s="156">
        <f t="shared" ref="AG84:AG90" si="103">+AD84*E84</f>
        <v>0.1</v>
      </c>
      <c r="AH84" s="156">
        <f t="shared" ref="AH84:AH90" si="104">+AE84*E84</f>
        <v>0</v>
      </c>
      <c r="AI84" s="156"/>
      <c r="AJ84" s="190">
        <v>0.37</v>
      </c>
      <c r="AK84" s="190">
        <f t="shared" ref="AK84:AK89" si="105">+W84/F84</f>
        <v>0.37</v>
      </c>
      <c r="AL84" s="190">
        <v>0</v>
      </c>
      <c r="AM84" s="190">
        <f t="shared" ref="AM84:AM90" si="106">+AJ84*E84</f>
        <v>3.6999999999999998E-2</v>
      </c>
      <c r="AN84" s="190">
        <f t="shared" ref="AN84:AN90" si="107">+AK84*E84</f>
        <v>3.6999999999999998E-2</v>
      </c>
      <c r="AO84" s="603" t="s">
        <v>1846</v>
      </c>
      <c r="AP84" s="526" t="s">
        <v>1886</v>
      </c>
      <c r="AQ84" s="526" t="s">
        <v>1990</v>
      </c>
      <c r="AR84" s="522" t="s">
        <v>2010</v>
      </c>
      <c r="AS84" s="522" t="s">
        <v>2108</v>
      </c>
      <c r="AT84" s="985" t="s">
        <v>2140</v>
      </c>
      <c r="AU84" s="522" t="s">
        <v>2199</v>
      </c>
      <c r="AV84" s="522" t="s">
        <v>1887</v>
      </c>
      <c r="AW84" s="526" t="s">
        <v>2294</v>
      </c>
    </row>
    <row r="85" spans="1:49" ht="55.95" customHeight="1" thickBot="1" x14ac:dyDescent="0.4">
      <c r="A85" s="119"/>
      <c r="B85" s="1378" t="s">
        <v>868</v>
      </c>
      <c r="C85" s="1404" t="s">
        <v>1321</v>
      </c>
      <c r="D85" s="205" t="s">
        <v>825</v>
      </c>
      <c r="E85" s="188">
        <v>0.3</v>
      </c>
      <c r="F85" s="186">
        <v>14000</v>
      </c>
      <c r="G85" s="134">
        <v>3500</v>
      </c>
      <c r="H85" s="134">
        <v>3500</v>
      </c>
      <c r="I85" s="134"/>
      <c r="J85" s="139">
        <f t="shared" ref="J85:J90" si="108">+G85/F85</f>
        <v>0.25</v>
      </c>
      <c r="K85" s="139">
        <f t="shared" ref="K85:K96" si="109">+H85/F85</f>
        <v>0.25</v>
      </c>
      <c r="L85" s="139"/>
      <c r="M85" s="139">
        <f t="shared" ref="M85:M90" si="110">+(G85/F85)*E85</f>
        <v>7.4999999999999997E-2</v>
      </c>
      <c r="N85" s="139">
        <f t="shared" si="100"/>
        <v>7.4999999999999997E-2</v>
      </c>
      <c r="O85" s="139"/>
      <c r="P85" s="134">
        <v>1557.3</v>
      </c>
      <c r="Q85" s="496">
        <v>941.85</v>
      </c>
      <c r="R85" s="496">
        <v>0</v>
      </c>
      <c r="S85" s="496">
        <v>0</v>
      </c>
      <c r="T85" s="496">
        <v>1557</v>
      </c>
      <c r="U85" s="496"/>
      <c r="V85" s="134">
        <f t="shared" si="82"/>
        <v>2498.85</v>
      </c>
      <c r="W85" s="134">
        <f>+V85+P85+AB85</f>
        <v>5947.15</v>
      </c>
      <c r="X85" s="496"/>
      <c r="Y85" s="496">
        <v>1891</v>
      </c>
      <c r="Z85" s="134"/>
      <c r="AA85" s="134"/>
      <c r="AB85" s="134">
        <f t="shared" si="101"/>
        <v>1891</v>
      </c>
      <c r="AC85" s="156">
        <f>+(P85/G85)</f>
        <v>0.44494285714285714</v>
      </c>
      <c r="AD85" s="156">
        <f>+V85/H85</f>
        <v>0.71395714285714285</v>
      </c>
      <c r="AE85" s="156"/>
      <c r="AF85" s="156">
        <f>+AC85*E85</f>
        <v>0.13348285714285713</v>
      </c>
      <c r="AG85" s="156">
        <f t="shared" si="103"/>
        <v>0.21418714285714285</v>
      </c>
      <c r="AH85" s="156">
        <f t="shared" si="104"/>
        <v>0</v>
      </c>
      <c r="AI85" s="156">
        <f>+P85/F85</f>
        <v>0.11123571428571428</v>
      </c>
      <c r="AJ85" s="190">
        <v>0.28972499999999995</v>
      </c>
      <c r="AK85" s="190">
        <f t="shared" si="105"/>
        <v>0.42479642857142852</v>
      </c>
      <c r="AL85" s="190">
        <f>+AI85*E85</f>
        <v>3.3370714285714281E-2</v>
      </c>
      <c r="AM85" s="190">
        <f t="shared" si="106"/>
        <v>8.6917499999999981E-2</v>
      </c>
      <c r="AN85" s="190">
        <f t="shared" si="107"/>
        <v>0.12743892857142855</v>
      </c>
      <c r="AO85" s="603" t="s">
        <v>1846</v>
      </c>
      <c r="AP85" s="490"/>
      <c r="AQ85" s="526" t="s">
        <v>1990</v>
      </c>
      <c r="AR85" s="522" t="s">
        <v>2010</v>
      </c>
      <c r="AS85" s="522" t="s">
        <v>2108</v>
      </c>
      <c r="AT85" s="985" t="s">
        <v>2140</v>
      </c>
      <c r="AU85" s="522" t="s">
        <v>2199</v>
      </c>
      <c r="AV85" s="490"/>
      <c r="AW85" s="495" t="s">
        <v>1859</v>
      </c>
    </row>
    <row r="86" spans="1:49" ht="56.4" customHeight="1" thickBot="1" x14ac:dyDescent="0.4">
      <c r="A86" s="119"/>
      <c r="B86" s="1378" t="s">
        <v>869</v>
      </c>
      <c r="C86" s="1404" t="s">
        <v>1322</v>
      </c>
      <c r="D86" s="205" t="s">
        <v>818</v>
      </c>
      <c r="E86" s="188">
        <v>0.25</v>
      </c>
      <c r="F86" s="186">
        <v>15</v>
      </c>
      <c r="G86" s="134">
        <v>2</v>
      </c>
      <c r="H86" s="134">
        <v>0.9</v>
      </c>
      <c r="I86" s="134">
        <v>3</v>
      </c>
      <c r="J86" s="139">
        <f t="shared" si="108"/>
        <v>0.13333333333333333</v>
      </c>
      <c r="K86" s="139">
        <f t="shared" si="109"/>
        <v>6.0000000000000005E-2</v>
      </c>
      <c r="L86" s="139">
        <f t="shared" si="99"/>
        <v>0.2</v>
      </c>
      <c r="M86" s="139">
        <f t="shared" si="110"/>
        <v>3.3333333333333333E-2</v>
      </c>
      <c r="N86" s="139">
        <f t="shared" si="100"/>
        <v>1.5000000000000001E-2</v>
      </c>
      <c r="O86" s="139"/>
      <c r="P86" s="134">
        <v>0</v>
      </c>
      <c r="Q86" s="496">
        <v>0.9</v>
      </c>
      <c r="R86" s="496">
        <v>0.9</v>
      </c>
      <c r="S86" s="496">
        <v>0</v>
      </c>
      <c r="T86" s="496">
        <v>0</v>
      </c>
      <c r="U86" s="496">
        <v>1.2</v>
      </c>
      <c r="V86" s="134">
        <f t="shared" si="82"/>
        <v>3</v>
      </c>
      <c r="W86" s="134">
        <f t="shared" ref="W86:W90" si="111">+V86+P86+AB86</f>
        <v>7.55</v>
      </c>
      <c r="X86" s="496">
        <v>0</v>
      </c>
      <c r="Y86" s="496">
        <v>4.55</v>
      </c>
      <c r="Z86" s="134"/>
      <c r="AA86" s="134"/>
      <c r="AB86" s="134">
        <f t="shared" si="101"/>
        <v>4.55</v>
      </c>
      <c r="AC86" s="156">
        <f>+(P86/G86)</f>
        <v>0</v>
      </c>
      <c r="AD86" s="156">
        <v>1</v>
      </c>
      <c r="AE86" s="156">
        <v>1</v>
      </c>
      <c r="AF86" s="156">
        <f>+AC86*E86</f>
        <v>0</v>
      </c>
      <c r="AG86" s="156">
        <f t="shared" si="103"/>
        <v>0.25</v>
      </c>
      <c r="AH86" s="156">
        <f t="shared" si="104"/>
        <v>0.25</v>
      </c>
      <c r="AI86" s="156">
        <f>+P86/F86</f>
        <v>0</v>
      </c>
      <c r="AJ86" s="190">
        <v>0.2</v>
      </c>
      <c r="AK86" s="190">
        <f t="shared" si="105"/>
        <v>0.5033333333333333</v>
      </c>
      <c r="AL86" s="190">
        <f>+AI86*E86</f>
        <v>0</v>
      </c>
      <c r="AM86" s="190">
        <f t="shared" si="106"/>
        <v>0.05</v>
      </c>
      <c r="AN86" s="190">
        <f t="shared" si="107"/>
        <v>0.12583333333333332</v>
      </c>
      <c r="AO86" s="603" t="s">
        <v>1846</v>
      </c>
      <c r="AP86" s="526" t="s">
        <v>1886</v>
      </c>
      <c r="AQ86" s="526" t="s">
        <v>1990</v>
      </c>
      <c r="AR86" s="522" t="s">
        <v>2010</v>
      </c>
      <c r="AS86" s="522" t="s">
        <v>2108</v>
      </c>
      <c r="AT86" s="985" t="s">
        <v>2140</v>
      </c>
      <c r="AU86" s="522" t="s">
        <v>2199</v>
      </c>
      <c r="AV86" s="522" t="s">
        <v>1887</v>
      </c>
      <c r="AW86" s="526" t="s">
        <v>2294</v>
      </c>
    </row>
    <row r="87" spans="1:49" ht="66.599999999999994" customHeight="1" thickBot="1" x14ac:dyDescent="0.4">
      <c r="A87" s="119"/>
      <c r="B87" s="1378" t="s">
        <v>870</v>
      </c>
      <c r="C87" s="1404" t="s">
        <v>1323</v>
      </c>
      <c r="D87" s="205" t="s">
        <v>871</v>
      </c>
      <c r="E87" s="188">
        <v>0.08</v>
      </c>
      <c r="F87" s="186">
        <v>1</v>
      </c>
      <c r="G87" s="134">
        <v>0</v>
      </c>
      <c r="H87" s="134">
        <v>0.5</v>
      </c>
      <c r="I87" s="134">
        <v>0.5</v>
      </c>
      <c r="J87" s="139"/>
      <c r="K87" s="139">
        <f>+H87/F87</f>
        <v>0.5</v>
      </c>
      <c r="L87" s="139">
        <f t="shared" si="99"/>
        <v>0.5</v>
      </c>
      <c r="M87" s="139"/>
      <c r="N87" s="139">
        <f t="shared" si="100"/>
        <v>0.04</v>
      </c>
      <c r="O87" s="139"/>
      <c r="P87" s="134"/>
      <c r="Q87" s="496">
        <v>0.1</v>
      </c>
      <c r="R87" s="496">
        <v>0.15</v>
      </c>
      <c r="S87" s="496">
        <v>0</v>
      </c>
      <c r="T87" s="496">
        <v>0</v>
      </c>
      <c r="U87" s="496">
        <v>0</v>
      </c>
      <c r="V87" s="134">
        <f t="shared" si="82"/>
        <v>0.25</v>
      </c>
      <c r="W87" s="134">
        <f t="shared" si="111"/>
        <v>0.25</v>
      </c>
      <c r="X87" s="496">
        <v>0</v>
      </c>
      <c r="Y87" s="496">
        <v>0</v>
      </c>
      <c r="Z87" s="134"/>
      <c r="AA87" s="134"/>
      <c r="AB87" s="134">
        <f t="shared" si="101"/>
        <v>0</v>
      </c>
      <c r="AC87" s="156"/>
      <c r="AD87" s="156">
        <f>+V87/H87</f>
        <v>0.5</v>
      </c>
      <c r="AE87" s="156">
        <f t="shared" si="102"/>
        <v>0</v>
      </c>
      <c r="AF87" s="156"/>
      <c r="AG87" s="156">
        <f t="shared" si="103"/>
        <v>0.04</v>
      </c>
      <c r="AH87" s="156">
        <f t="shared" si="104"/>
        <v>0</v>
      </c>
      <c r="AI87" s="156"/>
      <c r="AJ87" s="190">
        <v>0.25</v>
      </c>
      <c r="AK87" s="190">
        <f t="shared" si="105"/>
        <v>0.25</v>
      </c>
      <c r="AL87" s="190">
        <v>0</v>
      </c>
      <c r="AM87" s="190">
        <f t="shared" si="106"/>
        <v>0.02</v>
      </c>
      <c r="AN87" s="190">
        <f t="shared" si="107"/>
        <v>0.02</v>
      </c>
      <c r="AO87" s="603" t="s">
        <v>1846</v>
      </c>
      <c r="AP87" s="526" t="s">
        <v>1886</v>
      </c>
      <c r="AQ87" s="526" t="s">
        <v>1990</v>
      </c>
      <c r="AR87" s="522" t="s">
        <v>2010</v>
      </c>
      <c r="AS87" s="522" t="s">
        <v>2108</v>
      </c>
      <c r="AT87" s="987" t="s">
        <v>2148</v>
      </c>
      <c r="AU87" s="495" t="s">
        <v>2219</v>
      </c>
      <c r="AV87" s="522" t="s">
        <v>1887</v>
      </c>
      <c r="AW87" s="526" t="s">
        <v>2294</v>
      </c>
    </row>
    <row r="88" spans="1:49" ht="78.599999999999994" customHeight="1" thickBot="1" x14ac:dyDescent="0.4">
      <c r="A88" s="119"/>
      <c r="B88" s="1378" t="s">
        <v>872</v>
      </c>
      <c r="C88" s="1404" t="s">
        <v>1324</v>
      </c>
      <c r="D88" s="205" t="s">
        <v>873</v>
      </c>
      <c r="E88" s="188">
        <v>0.05</v>
      </c>
      <c r="F88" s="186">
        <v>1</v>
      </c>
      <c r="G88" s="134">
        <v>0</v>
      </c>
      <c r="H88" s="134">
        <v>0.8</v>
      </c>
      <c r="I88" s="134">
        <v>0.5</v>
      </c>
      <c r="J88" s="139"/>
      <c r="K88" s="139">
        <f t="shared" si="109"/>
        <v>0.8</v>
      </c>
      <c r="L88" s="139">
        <f t="shared" si="99"/>
        <v>0.5</v>
      </c>
      <c r="M88" s="139"/>
      <c r="N88" s="139">
        <f t="shared" si="100"/>
        <v>4.0000000000000008E-2</v>
      </c>
      <c r="O88" s="139"/>
      <c r="P88" s="134"/>
      <c r="Q88" s="496"/>
      <c r="R88" s="496"/>
      <c r="S88" s="496"/>
      <c r="T88" s="496"/>
      <c r="U88" s="496"/>
      <c r="V88" s="134">
        <f t="shared" si="82"/>
        <v>0</v>
      </c>
      <c r="W88" s="134">
        <f t="shared" si="111"/>
        <v>0.11</v>
      </c>
      <c r="X88" s="496">
        <v>0.01</v>
      </c>
      <c r="Y88" s="496">
        <v>0.1</v>
      </c>
      <c r="Z88" s="134"/>
      <c r="AA88" s="134"/>
      <c r="AB88" s="134">
        <f t="shared" si="101"/>
        <v>0.11</v>
      </c>
      <c r="AC88" s="156"/>
      <c r="AD88" s="156">
        <f>+V88/H88</f>
        <v>0</v>
      </c>
      <c r="AE88" s="156">
        <f t="shared" si="102"/>
        <v>0.22</v>
      </c>
      <c r="AF88" s="156"/>
      <c r="AG88" s="156">
        <f t="shared" si="103"/>
        <v>0</v>
      </c>
      <c r="AH88" s="156">
        <f t="shared" si="104"/>
        <v>1.1000000000000001E-2</v>
      </c>
      <c r="AI88" s="156"/>
      <c r="AJ88" s="190">
        <v>0</v>
      </c>
      <c r="AK88" s="190">
        <f t="shared" si="105"/>
        <v>0.11</v>
      </c>
      <c r="AL88" s="190">
        <v>0</v>
      </c>
      <c r="AM88" s="190">
        <f t="shared" si="106"/>
        <v>0</v>
      </c>
      <c r="AN88" s="190">
        <f t="shared" si="107"/>
        <v>5.5000000000000005E-3</v>
      </c>
      <c r="AO88" s="603" t="s">
        <v>1846</v>
      </c>
      <c r="AP88" s="526" t="s">
        <v>1886</v>
      </c>
      <c r="AQ88" s="526" t="s">
        <v>1990</v>
      </c>
      <c r="AR88" s="522" t="s">
        <v>2010</v>
      </c>
      <c r="AS88" s="641" t="s">
        <v>2089</v>
      </c>
      <c r="AT88" s="985" t="s">
        <v>2140</v>
      </c>
      <c r="AU88" s="522" t="s">
        <v>2199</v>
      </c>
      <c r="AV88" s="522" t="s">
        <v>1887</v>
      </c>
      <c r="AW88" s="526" t="s">
        <v>2294</v>
      </c>
    </row>
    <row r="89" spans="1:49" ht="124.95" customHeight="1" thickBot="1" x14ac:dyDescent="0.4">
      <c r="A89" s="119"/>
      <c r="B89" s="1378" t="s">
        <v>874</v>
      </c>
      <c r="C89" s="1404" t="s">
        <v>1325</v>
      </c>
      <c r="D89" s="205" t="s">
        <v>875</v>
      </c>
      <c r="E89" s="188">
        <v>0.02</v>
      </c>
      <c r="F89" s="186">
        <v>1</v>
      </c>
      <c r="G89" s="134">
        <v>0</v>
      </c>
      <c r="H89" s="134">
        <v>0.5</v>
      </c>
      <c r="I89" s="134">
        <v>0.5</v>
      </c>
      <c r="J89" s="139"/>
      <c r="K89" s="139">
        <f t="shared" si="109"/>
        <v>0.5</v>
      </c>
      <c r="L89" s="139">
        <f t="shared" si="99"/>
        <v>0.5</v>
      </c>
      <c r="M89" s="139"/>
      <c r="N89" s="139">
        <f t="shared" si="100"/>
        <v>0.01</v>
      </c>
      <c r="O89" s="139"/>
      <c r="P89" s="134"/>
      <c r="Q89" s="496">
        <v>0.1</v>
      </c>
      <c r="R89" s="496">
        <v>0.15</v>
      </c>
      <c r="S89" s="496">
        <v>0</v>
      </c>
      <c r="T89" s="496">
        <v>0</v>
      </c>
      <c r="U89" s="496">
        <v>0</v>
      </c>
      <c r="V89" s="134">
        <f t="shared" si="82"/>
        <v>0.25</v>
      </c>
      <c r="W89" s="134">
        <f t="shared" si="111"/>
        <v>0.25</v>
      </c>
      <c r="X89" s="496">
        <v>0</v>
      </c>
      <c r="Y89" s="496">
        <v>0</v>
      </c>
      <c r="Z89" s="134"/>
      <c r="AA89" s="134"/>
      <c r="AB89" s="134">
        <f t="shared" si="101"/>
        <v>0</v>
      </c>
      <c r="AC89" s="156"/>
      <c r="AD89" s="156">
        <f>+V89/H89</f>
        <v>0.5</v>
      </c>
      <c r="AE89" s="156">
        <f t="shared" si="102"/>
        <v>0</v>
      </c>
      <c r="AF89" s="156"/>
      <c r="AG89" s="156">
        <f t="shared" si="103"/>
        <v>0.01</v>
      </c>
      <c r="AH89" s="156">
        <f t="shared" si="104"/>
        <v>0</v>
      </c>
      <c r="AI89" s="156"/>
      <c r="AJ89" s="190">
        <v>0.25</v>
      </c>
      <c r="AK89" s="190">
        <f t="shared" si="105"/>
        <v>0.25</v>
      </c>
      <c r="AL89" s="190">
        <v>0</v>
      </c>
      <c r="AM89" s="190">
        <f t="shared" si="106"/>
        <v>5.0000000000000001E-3</v>
      </c>
      <c r="AN89" s="190">
        <f t="shared" si="107"/>
        <v>5.0000000000000001E-3</v>
      </c>
      <c r="AO89" s="603" t="s">
        <v>1846</v>
      </c>
      <c r="AP89" s="526" t="s">
        <v>1886</v>
      </c>
      <c r="AQ89" s="526" t="s">
        <v>1990</v>
      </c>
      <c r="AR89" s="522" t="s">
        <v>2010</v>
      </c>
      <c r="AS89" s="522" t="s">
        <v>2108</v>
      </c>
      <c r="AT89" s="985" t="s">
        <v>2140</v>
      </c>
      <c r="AU89" s="495" t="s">
        <v>2218</v>
      </c>
      <c r="AV89" s="522" t="s">
        <v>1887</v>
      </c>
      <c r="AW89" s="526" t="s">
        <v>2294</v>
      </c>
    </row>
    <row r="90" spans="1:49" ht="105" customHeight="1" thickBot="1" x14ac:dyDescent="0.4">
      <c r="A90" s="119"/>
      <c r="B90" s="1378" t="s">
        <v>876</v>
      </c>
      <c r="C90" s="1404" t="s">
        <v>1326</v>
      </c>
      <c r="D90" s="209" t="s">
        <v>877</v>
      </c>
      <c r="E90" s="197">
        <v>0.2</v>
      </c>
      <c r="F90" s="186">
        <v>8</v>
      </c>
      <c r="G90" s="134">
        <v>2</v>
      </c>
      <c r="H90" s="134">
        <v>1</v>
      </c>
      <c r="I90" s="134">
        <v>1</v>
      </c>
      <c r="J90" s="139">
        <f t="shared" si="108"/>
        <v>0.25</v>
      </c>
      <c r="K90" s="139">
        <f t="shared" si="109"/>
        <v>0.125</v>
      </c>
      <c r="L90" s="139">
        <f t="shared" si="99"/>
        <v>0.125</v>
      </c>
      <c r="M90" s="139">
        <f t="shared" si="110"/>
        <v>0.05</v>
      </c>
      <c r="N90" s="139">
        <f t="shared" si="100"/>
        <v>2.5000000000000001E-2</v>
      </c>
      <c r="O90" s="139"/>
      <c r="P90" s="134">
        <v>1</v>
      </c>
      <c r="Q90" s="496">
        <v>0.38</v>
      </c>
      <c r="R90" s="496">
        <v>0.4</v>
      </c>
      <c r="S90" s="496">
        <v>0</v>
      </c>
      <c r="T90" s="496">
        <v>0.12</v>
      </c>
      <c r="U90" s="195"/>
      <c r="V90" s="134">
        <f t="shared" si="82"/>
        <v>0.9</v>
      </c>
      <c r="W90" s="134">
        <f t="shared" si="111"/>
        <v>2.1999999999999997</v>
      </c>
      <c r="X90" s="496">
        <v>0</v>
      </c>
      <c r="Y90" s="496">
        <v>0.3</v>
      </c>
      <c r="Z90" s="134"/>
      <c r="AA90" s="134"/>
      <c r="AB90" s="134">
        <f t="shared" si="101"/>
        <v>0.3</v>
      </c>
      <c r="AC90" s="156">
        <f>+(P90/G90)</f>
        <v>0.5</v>
      </c>
      <c r="AD90" s="156">
        <f>+V90/H90</f>
        <v>0.9</v>
      </c>
      <c r="AE90" s="156">
        <f t="shared" si="102"/>
        <v>0.3</v>
      </c>
      <c r="AF90" s="156">
        <f>+AC90*E90</f>
        <v>0.1</v>
      </c>
      <c r="AG90" s="156">
        <f t="shared" si="103"/>
        <v>0.18000000000000002</v>
      </c>
      <c r="AH90" s="156">
        <f t="shared" si="104"/>
        <v>0.06</v>
      </c>
      <c r="AI90" s="156">
        <f>+P90/F90</f>
        <v>0.125</v>
      </c>
      <c r="AJ90" s="190">
        <v>0.23749999999999999</v>
      </c>
      <c r="AK90" s="190">
        <f>+W90/F90*2</f>
        <v>0.54999999999999993</v>
      </c>
      <c r="AL90" s="190">
        <f>+AI90*E90</f>
        <v>2.5000000000000001E-2</v>
      </c>
      <c r="AM90" s="190">
        <f t="shared" si="106"/>
        <v>4.7500000000000001E-2</v>
      </c>
      <c r="AN90" s="190">
        <f t="shared" si="107"/>
        <v>0.10999999999999999</v>
      </c>
      <c r="AO90" s="773" t="s">
        <v>1545</v>
      </c>
      <c r="AP90" s="528" t="s">
        <v>1545</v>
      </c>
      <c r="AQ90" s="526" t="s">
        <v>1990</v>
      </c>
      <c r="AR90" s="522" t="s">
        <v>2010</v>
      </c>
      <c r="AS90" s="495" t="s">
        <v>1859</v>
      </c>
      <c r="AT90" s="985" t="s">
        <v>2140</v>
      </c>
      <c r="AU90" s="522" t="s">
        <v>2199</v>
      </c>
      <c r="AV90" s="490"/>
      <c r="AW90" s="526" t="s">
        <v>2294</v>
      </c>
    </row>
    <row r="91" spans="1:49" ht="114.75" customHeight="1" thickBot="1" x14ac:dyDescent="0.4">
      <c r="A91" s="119"/>
      <c r="B91" s="1376" t="s">
        <v>1736</v>
      </c>
      <c r="C91" s="1412"/>
      <c r="D91" s="191"/>
      <c r="E91" s="192">
        <v>0.45</v>
      </c>
      <c r="F91" s="186"/>
      <c r="G91" s="127"/>
      <c r="H91" s="127"/>
      <c r="I91" s="127"/>
      <c r="J91" s="133">
        <f>+AVERAGE(J92:J94)</f>
        <v>0.25</v>
      </c>
      <c r="K91" s="133">
        <f>+AVERAGE(K92:K94)</f>
        <v>0.29166666666666669</v>
      </c>
      <c r="L91" s="133">
        <f>+AVERAGE(L92:L94)</f>
        <v>0.46250000000000002</v>
      </c>
      <c r="M91" s="133">
        <f>+M92+M93+M94</f>
        <v>0.125</v>
      </c>
      <c r="N91" s="133">
        <f>+N92+N93+N94</f>
        <v>0.21875</v>
      </c>
      <c r="O91" s="133"/>
      <c r="P91" s="132"/>
      <c r="Q91" s="132"/>
      <c r="R91" s="132"/>
      <c r="S91" s="132"/>
      <c r="T91" s="132"/>
      <c r="U91" s="839"/>
      <c r="V91" s="134"/>
      <c r="W91" s="132"/>
      <c r="X91" s="132"/>
      <c r="Y91" s="132"/>
      <c r="Z91" s="132"/>
      <c r="AA91" s="132"/>
      <c r="AB91" s="132"/>
      <c r="AC91" s="154">
        <f>+AVERAGE(AC92:AC94)</f>
        <v>0</v>
      </c>
      <c r="AD91" s="154">
        <f>+AVERAGE(AD92:AD94)</f>
        <v>0.47833333333333333</v>
      </c>
      <c r="AE91" s="154">
        <f>+AVERAGE(AE92:AE94)</f>
        <v>0.20588235294117646</v>
      </c>
      <c r="AF91" s="154">
        <f>+(AF92+AF93+AF94)*E91</f>
        <v>0</v>
      </c>
      <c r="AG91" s="154">
        <f>+(AG92+AG93+AG94)*E91</f>
        <v>0.107625</v>
      </c>
      <c r="AH91" s="154">
        <f>+(AH92+AH93+AH94)*E91</f>
        <v>4.6323529411764708E-2</v>
      </c>
      <c r="AI91" s="133">
        <f>+AVERAGE(AI92:AI94)</f>
        <v>0</v>
      </c>
      <c r="AJ91" s="133">
        <v>0.1452</v>
      </c>
      <c r="AK91" s="133">
        <f>+(AK92*0.33)+(AK93*0.33)+(AK94*0.33)</f>
        <v>0.20295000000000002</v>
      </c>
      <c r="AL91" s="183">
        <f>+(AL92+AL93+AL94)*E91</f>
        <v>0</v>
      </c>
      <c r="AM91" s="183">
        <f>+(AM92+AM93+AM94)</f>
        <v>0.11</v>
      </c>
      <c r="AN91" s="183">
        <f>+(AN92+AN93+AN94)</f>
        <v>0.15375</v>
      </c>
      <c r="AO91" s="770"/>
      <c r="AP91" s="490"/>
      <c r="AQ91" s="490"/>
      <c r="AR91" s="490"/>
      <c r="AS91" s="490"/>
      <c r="AT91" s="984"/>
      <c r="AU91" s="490"/>
      <c r="AV91" s="490"/>
    </row>
    <row r="92" spans="1:49" ht="144.6" customHeight="1" thickBot="1" x14ac:dyDescent="0.4">
      <c r="A92" s="119"/>
      <c r="B92" s="1378" t="s">
        <v>878</v>
      </c>
      <c r="C92" s="1404" t="s">
        <v>1327</v>
      </c>
      <c r="D92" s="191" t="s">
        <v>879</v>
      </c>
      <c r="E92" s="188">
        <v>0.25</v>
      </c>
      <c r="F92" s="186">
        <v>4</v>
      </c>
      <c r="G92" s="134">
        <v>1</v>
      </c>
      <c r="H92" s="134">
        <v>2</v>
      </c>
      <c r="I92" s="134">
        <v>1.7</v>
      </c>
      <c r="J92" s="139">
        <f>+G92/F92</f>
        <v>0.25</v>
      </c>
      <c r="K92" s="139">
        <f t="shared" si="109"/>
        <v>0.5</v>
      </c>
      <c r="L92" s="139">
        <f t="shared" ref="L92:L94" si="112">+I92/F92</f>
        <v>0.42499999999999999</v>
      </c>
      <c r="M92" s="139">
        <f>+(G92/F92)*E92</f>
        <v>6.25E-2</v>
      </c>
      <c r="N92" s="139">
        <f t="shared" ref="N92:N94" si="113">+(H92/F92)*E92</f>
        <v>0.125</v>
      </c>
      <c r="O92" s="139"/>
      <c r="P92" s="134">
        <v>0</v>
      </c>
      <c r="Q92" s="496">
        <v>0</v>
      </c>
      <c r="R92" s="496">
        <v>0</v>
      </c>
      <c r="S92" s="496">
        <v>0</v>
      </c>
      <c r="T92" s="496">
        <v>0</v>
      </c>
      <c r="U92" s="496">
        <v>1.3</v>
      </c>
      <c r="V92" s="134">
        <f t="shared" si="82"/>
        <v>1.3</v>
      </c>
      <c r="W92" s="134">
        <f>+V92+P92+AB92</f>
        <v>2</v>
      </c>
      <c r="X92" s="496">
        <v>0.7</v>
      </c>
      <c r="Y92" s="496">
        <v>0</v>
      </c>
      <c r="Z92" s="134"/>
      <c r="AA92" s="134"/>
      <c r="AB92" s="134">
        <f t="shared" si="101"/>
        <v>0.7</v>
      </c>
      <c r="AC92" s="156">
        <f>+(P92/G92)</f>
        <v>0</v>
      </c>
      <c r="AD92" s="156">
        <f>+V92/H92</f>
        <v>0.65</v>
      </c>
      <c r="AE92" s="156">
        <f t="shared" ref="AE92:AE94" si="114">+AB92/I92</f>
        <v>0.41176470588235292</v>
      </c>
      <c r="AF92" s="156">
        <f>+AC92*E92</f>
        <v>0</v>
      </c>
      <c r="AG92" s="156">
        <f>+AD92*E92</f>
        <v>0.16250000000000001</v>
      </c>
      <c r="AH92" s="156">
        <f t="shared" ref="AH92:AH94" si="115">+AE92*E92</f>
        <v>0.10294117647058823</v>
      </c>
      <c r="AI92" s="156">
        <f>+P92/F92</f>
        <v>0</v>
      </c>
      <c r="AJ92" s="190">
        <v>0.32500000000000001</v>
      </c>
      <c r="AK92" s="190">
        <f t="shared" ref="AK92:AK94" si="116">+W92/F92</f>
        <v>0.5</v>
      </c>
      <c r="AL92" s="190">
        <f>+AI92*E92</f>
        <v>0</v>
      </c>
      <c r="AM92" s="190">
        <f>+AJ92*E92</f>
        <v>8.1250000000000003E-2</v>
      </c>
      <c r="AN92" s="190">
        <f t="shared" ref="AN92:AN94" si="117">+AK92*E92</f>
        <v>0.125</v>
      </c>
      <c r="AO92" s="603" t="s">
        <v>1847</v>
      </c>
      <c r="AP92" s="524" t="s">
        <v>1889</v>
      </c>
      <c r="AQ92" s="526" t="s">
        <v>1990</v>
      </c>
      <c r="AR92" s="522" t="s">
        <v>2010</v>
      </c>
      <c r="AS92" s="641" t="s">
        <v>2120</v>
      </c>
      <c r="AT92" s="985" t="s">
        <v>2140</v>
      </c>
      <c r="AU92" s="522" t="s">
        <v>2199</v>
      </c>
      <c r="AV92" s="522" t="s">
        <v>1887</v>
      </c>
      <c r="AW92" s="522" t="s">
        <v>2294</v>
      </c>
    </row>
    <row r="93" spans="1:49" ht="148.19999999999999" customHeight="1" thickBot="1" x14ac:dyDescent="0.4">
      <c r="A93" s="119"/>
      <c r="B93" s="1378" t="s">
        <v>880</v>
      </c>
      <c r="C93" s="1404" t="s">
        <v>1328</v>
      </c>
      <c r="D93" s="191" t="s">
        <v>1849</v>
      </c>
      <c r="E93" s="188">
        <v>0.5</v>
      </c>
      <c r="F93" s="186">
        <v>3</v>
      </c>
      <c r="G93" s="134">
        <v>0</v>
      </c>
      <c r="H93" s="134">
        <v>0</v>
      </c>
      <c r="I93" s="134"/>
      <c r="J93" s="139"/>
      <c r="K93" s="139">
        <f t="shared" si="109"/>
        <v>0</v>
      </c>
      <c r="L93" s="139"/>
      <c r="M93" s="139"/>
      <c r="N93" s="139">
        <f t="shared" si="113"/>
        <v>0</v>
      </c>
      <c r="O93" s="139"/>
      <c r="P93" s="134"/>
      <c r="Q93" s="496"/>
      <c r="R93" s="134"/>
      <c r="S93" s="134"/>
      <c r="T93" s="134"/>
      <c r="U93" s="195"/>
      <c r="V93" s="134">
        <f t="shared" si="82"/>
        <v>0</v>
      </c>
      <c r="W93" s="134">
        <f t="shared" ref="W93" si="118">+V93+P93+AB93</f>
        <v>0</v>
      </c>
      <c r="X93" s="134"/>
      <c r="Y93" s="134"/>
      <c r="Z93" s="134"/>
      <c r="AA93" s="134"/>
      <c r="AB93" s="134">
        <f t="shared" si="101"/>
        <v>0</v>
      </c>
      <c r="AC93" s="156"/>
      <c r="AD93" s="156"/>
      <c r="AE93" s="156"/>
      <c r="AF93" s="156"/>
      <c r="AG93" s="156">
        <f>+AD93*E93</f>
        <v>0</v>
      </c>
      <c r="AH93" s="156">
        <f t="shared" si="115"/>
        <v>0</v>
      </c>
      <c r="AI93" s="156"/>
      <c r="AJ93" s="190">
        <v>0</v>
      </c>
      <c r="AK93" s="190">
        <f t="shared" si="116"/>
        <v>0</v>
      </c>
      <c r="AL93" s="190"/>
      <c r="AM93" s="190">
        <f>+AJ93*E93</f>
        <v>0</v>
      </c>
      <c r="AN93" s="190">
        <f t="shared" si="117"/>
        <v>0</v>
      </c>
      <c r="AO93" s="603" t="s">
        <v>1848</v>
      </c>
      <c r="AP93" s="495" t="s">
        <v>1969</v>
      </c>
      <c r="AQ93" s="490"/>
      <c r="AR93" s="490"/>
      <c r="AS93" s="490"/>
      <c r="AT93" s="987" t="s">
        <v>1859</v>
      </c>
      <c r="AU93" s="490"/>
      <c r="AV93" s="490"/>
    </row>
    <row r="94" spans="1:49" ht="147.6" customHeight="1" thickBot="1" x14ac:dyDescent="0.4">
      <c r="A94" s="119"/>
      <c r="B94" s="1378" t="s">
        <v>881</v>
      </c>
      <c r="C94" s="1404" t="s">
        <v>1329</v>
      </c>
      <c r="D94" s="207" t="s">
        <v>882</v>
      </c>
      <c r="E94" s="198">
        <v>0.25</v>
      </c>
      <c r="F94" s="186">
        <v>2</v>
      </c>
      <c r="G94" s="134">
        <v>0.5</v>
      </c>
      <c r="H94" s="134">
        <v>0.75</v>
      </c>
      <c r="I94" s="134">
        <v>1</v>
      </c>
      <c r="J94" s="139">
        <f>+G94/F94</f>
        <v>0.25</v>
      </c>
      <c r="K94" s="139">
        <f t="shared" si="109"/>
        <v>0.375</v>
      </c>
      <c r="L94" s="139">
        <f t="shared" si="112"/>
        <v>0.5</v>
      </c>
      <c r="M94" s="139">
        <f>+(G94/F94)*E94</f>
        <v>6.25E-2</v>
      </c>
      <c r="N94" s="139">
        <f t="shared" si="113"/>
        <v>9.375E-2</v>
      </c>
      <c r="O94" s="139"/>
      <c r="P94" s="134">
        <v>0</v>
      </c>
      <c r="Q94" s="496">
        <v>0.08</v>
      </c>
      <c r="R94" s="134">
        <v>0.15</v>
      </c>
      <c r="S94" s="496">
        <v>0</v>
      </c>
      <c r="T94" s="496">
        <v>0</v>
      </c>
      <c r="U94" s="496">
        <v>0</v>
      </c>
      <c r="V94" s="134">
        <f t="shared" si="82"/>
        <v>0.22999999999999998</v>
      </c>
      <c r="W94" s="134">
        <f>+V94+P94+AB94</f>
        <v>0.22999999999999998</v>
      </c>
      <c r="X94" s="496">
        <v>0</v>
      </c>
      <c r="Y94" s="496">
        <v>0</v>
      </c>
      <c r="Z94" s="134"/>
      <c r="AA94" s="134"/>
      <c r="AB94" s="134">
        <f t="shared" si="101"/>
        <v>0</v>
      </c>
      <c r="AC94" s="156">
        <f>+(P94/G94)</f>
        <v>0</v>
      </c>
      <c r="AD94" s="156">
        <f>+V94/H94</f>
        <v>0.30666666666666664</v>
      </c>
      <c r="AE94" s="156">
        <f t="shared" si="114"/>
        <v>0</v>
      </c>
      <c r="AF94" s="156">
        <f>+AC94*E94</f>
        <v>0</v>
      </c>
      <c r="AG94" s="156">
        <f>+AD94*E94</f>
        <v>7.6666666666666661E-2</v>
      </c>
      <c r="AH94" s="156">
        <f t="shared" si="115"/>
        <v>0</v>
      </c>
      <c r="AI94" s="156">
        <f>+P94/F94</f>
        <v>0</v>
      </c>
      <c r="AJ94" s="190">
        <v>0.11499999999999999</v>
      </c>
      <c r="AK94" s="190">
        <f t="shared" si="116"/>
        <v>0.11499999999999999</v>
      </c>
      <c r="AL94" s="190">
        <f>+AI94*E94</f>
        <v>0</v>
      </c>
      <c r="AM94" s="190">
        <f>+AJ94*E94</f>
        <v>2.8749999999999998E-2</v>
      </c>
      <c r="AN94" s="190">
        <f t="shared" si="117"/>
        <v>2.8749999999999998E-2</v>
      </c>
      <c r="AO94" s="773" t="s">
        <v>1559</v>
      </c>
      <c r="AP94" s="495" t="s">
        <v>1889</v>
      </c>
      <c r="AQ94" s="526" t="s">
        <v>1990</v>
      </c>
      <c r="AR94" s="777" t="s">
        <v>1889</v>
      </c>
      <c r="AS94" s="641" t="s">
        <v>2120</v>
      </c>
      <c r="AT94" s="988" t="s">
        <v>1889</v>
      </c>
      <c r="AU94" s="528" t="s">
        <v>1889</v>
      </c>
      <c r="AV94" s="522" t="s">
        <v>1887</v>
      </c>
      <c r="AW94" s="522" t="s">
        <v>2294</v>
      </c>
    </row>
    <row r="95" spans="1:49" ht="28.2" customHeight="1" thickBot="1" x14ac:dyDescent="0.4">
      <c r="A95" s="119"/>
      <c r="B95" s="1376" t="s">
        <v>1737</v>
      </c>
      <c r="C95" s="1412"/>
      <c r="D95" s="191"/>
      <c r="E95" s="192">
        <v>0.1</v>
      </c>
      <c r="F95" s="186"/>
      <c r="G95" s="127"/>
      <c r="H95" s="127"/>
      <c r="I95" s="127"/>
      <c r="J95" s="133">
        <f>+AVERAGE(J96)</f>
        <v>0.25</v>
      </c>
      <c r="K95" s="133">
        <f>+AVERAGE(K96)</f>
        <v>0.25</v>
      </c>
      <c r="L95" s="133">
        <f>+AVERAGE(L96)</f>
        <v>0.125</v>
      </c>
      <c r="M95" s="133">
        <f>+M96</f>
        <v>0.25</v>
      </c>
      <c r="N95" s="133">
        <f>+N96</f>
        <v>0.25</v>
      </c>
      <c r="O95" s="133"/>
      <c r="P95" s="132"/>
      <c r="Q95" s="132"/>
      <c r="R95" s="132"/>
      <c r="S95" s="132"/>
      <c r="T95" s="132"/>
      <c r="U95" s="839"/>
      <c r="V95" s="134"/>
      <c r="W95" s="132"/>
      <c r="X95" s="132"/>
      <c r="Y95" s="132"/>
      <c r="Z95" s="132"/>
      <c r="AA95" s="132"/>
      <c r="AB95" s="132"/>
      <c r="AC95" s="154">
        <f>+AVERAGE(AC96)</f>
        <v>1</v>
      </c>
      <c r="AD95" s="154">
        <f>+AVERAGE(AD96)</f>
        <v>1</v>
      </c>
      <c r="AE95" s="154">
        <f>+AVERAGE(AE96)</f>
        <v>0</v>
      </c>
      <c r="AF95" s="154">
        <f>+(AF96)*E95</f>
        <v>0.1</v>
      </c>
      <c r="AG95" s="154">
        <f>+(AG96)*E95</f>
        <v>0.1</v>
      </c>
      <c r="AH95" s="154">
        <f>+(AH96)*E95</f>
        <v>0</v>
      </c>
      <c r="AI95" s="133">
        <f>+AVERAGE(AI96)</f>
        <v>0.375</v>
      </c>
      <c r="AJ95" s="133">
        <v>0.625</v>
      </c>
      <c r="AK95" s="133">
        <f>+AVERAGE(AK96)</f>
        <v>0.625</v>
      </c>
      <c r="AL95" s="183">
        <f>+(AL96)*E95</f>
        <v>3.7500000000000006E-2</v>
      </c>
      <c r="AM95" s="183">
        <f>+(AM96)</f>
        <v>0.625</v>
      </c>
      <c r="AN95" s="183">
        <f>+(AN96)</f>
        <v>0.625</v>
      </c>
      <c r="AO95" s="770"/>
      <c r="AP95" s="490"/>
      <c r="AQ95" s="490"/>
      <c r="AR95" s="490"/>
      <c r="AS95" s="490"/>
      <c r="AT95" s="984"/>
      <c r="AU95" s="490"/>
      <c r="AV95" s="490"/>
    </row>
    <row r="96" spans="1:49" ht="108" customHeight="1" thickBot="1" x14ac:dyDescent="0.4">
      <c r="A96" s="119"/>
      <c r="B96" s="1378" t="s">
        <v>883</v>
      </c>
      <c r="C96" s="1404" t="s">
        <v>1330</v>
      </c>
      <c r="D96" s="191" t="s">
        <v>884</v>
      </c>
      <c r="E96" s="188">
        <v>1</v>
      </c>
      <c r="F96" s="186">
        <v>16</v>
      </c>
      <c r="G96" s="134">
        <v>4</v>
      </c>
      <c r="H96" s="134">
        <v>4</v>
      </c>
      <c r="I96" s="134">
        <v>2</v>
      </c>
      <c r="J96" s="139">
        <f>+G96/F96</f>
        <v>0.25</v>
      </c>
      <c r="K96" s="139">
        <f t="shared" si="109"/>
        <v>0.25</v>
      </c>
      <c r="L96" s="139">
        <f>+I96/F96</f>
        <v>0.125</v>
      </c>
      <c r="M96" s="139">
        <f>+(G96/F96)*E96</f>
        <v>0.25</v>
      </c>
      <c r="N96" s="139">
        <f t="shared" ref="N96" si="119">+(H96/F96)*E96</f>
        <v>0.25</v>
      </c>
      <c r="O96" s="139"/>
      <c r="P96" s="134">
        <v>6</v>
      </c>
      <c r="Q96" s="496">
        <v>0</v>
      </c>
      <c r="R96" s="496">
        <v>0</v>
      </c>
      <c r="S96" s="496">
        <v>2</v>
      </c>
      <c r="T96" s="496">
        <v>2</v>
      </c>
      <c r="U96" s="496">
        <v>0</v>
      </c>
      <c r="V96" s="134">
        <f t="shared" si="82"/>
        <v>4</v>
      </c>
      <c r="W96" s="134">
        <f>+V96+P96+AB96</f>
        <v>10</v>
      </c>
      <c r="X96" s="496">
        <v>0</v>
      </c>
      <c r="Y96" s="496">
        <v>0</v>
      </c>
      <c r="Z96" s="134"/>
      <c r="AA96" s="134"/>
      <c r="AB96" s="134">
        <f t="shared" si="101"/>
        <v>0</v>
      </c>
      <c r="AC96" s="156">
        <v>1</v>
      </c>
      <c r="AD96" s="156">
        <f>+V96/H96</f>
        <v>1</v>
      </c>
      <c r="AE96" s="156">
        <f>+AB96/I96</f>
        <v>0</v>
      </c>
      <c r="AF96" s="156">
        <f>+AC96*E96</f>
        <v>1</v>
      </c>
      <c r="AG96" s="156">
        <f>+AD96*E96</f>
        <v>1</v>
      </c>
      <c r="AH96" s="156">
        <f t="shared" ref="AH96" si="120">+AE96*E96</f>
        <v>0</v>
      </c>
      <c r="AI96" s="156">
        <f>+P96/F96</f>
        <v>0.375</v>
      </c>
      <c r="AJ96" s="190">
        <v>0.625</v>
      </c>
      <c r="AK96" s="190">
        <f t="shared" ref="AK96" si="121">+W96/F96</f>
        <v>0.625</v>
      </c>
      <c r="AL96" s="190">
        <f>+AI96*E96</f>
        <v>0.375</v>
      </c>
      <c r="AM96" s="190">
        <f>+AJ96*E96</f>
        <v>0.625</v>
      </c>
      <c r="AN96" s="190">
        <f t="shared" ref="AN96" si="122">+AK96*E96</f>
        <v>0.625</v>
      </c>
      <c r="AO96" s="603" t="s">
        <v>1846</v>
      </c>
      <c r="AP96" s="526" t="s">
        <v>1886</v>
      </c>
      <c r="AQ96" s="490"/>
      <c r="AR96" s="522" t="s">
        <v>2010</v>
      </c>
      <c r="AS96" s="526" t="s">
        <v>2108</v>
      </c>
      <c r="AT96" s="688" t="s">
        <v>2140</v>
      </c>
      <c r="AU96" s="522" t="s">
        <v>2199</v>
      </c>
      <c r="AV96" s="522" t="s">
        <v>1887</v>
      </c>
      <c r="AW96" s="522" t="s">
        <v>2294</v>
      </c>
    </row>
    <row r="97" spans="1:49" ht="103.2" customHeight="1" thickBot="1" x14ac:dyDescent="0.4">
      <c r="A97" s="119"/>
      <c r="B97" s="1374" t="s">
        <v>1810</v>
      </c>
      <c r="C97" s="1412"/>
      <c r="D97" s="191"/>
      <c r="E97" s="194">
        <v>0.2</v>
      </c>
      <c r="F97" s="122">
        <f>+E97*AF97</f>
        <v>7.2980616242112467E-2</v>
      </c>
      <c r="G97" s="127"/>
      <c r="H97" s="123">
        <f>+E97*AG97</f>
        <v>0.1061478371933105</v>
      </c>
      <c r="I97" s="123">
        <f>+E97*AH97</f>
        <v>0.10048440462614708</v>
      </c>
      <c r="J97" s="125">
        <f>+(J98+J100+J105+J109+J121)/4</f>
        <v>0.32233213614481815</v>
      </c>
      <c r="K97" s="125">
        <f>+(K98+K100+K105+K109+K121)/4</f>
        <v>0.32575564910040028</v>
      </c>
      <c r="L97" s="125">
        <f>+(L98+L100+L105+L109+L121)/4</f>
        <v>0.35996001167226793</v>
      </c>
      <c r="M97" s="126">
        <f>+(M98+M100+M105+M109+M121)/4</f>
        <v>0.24677777425020778</v>
      </c>
      <c r="N97" s="126">
        <f>+(N98+N100+N105+N109+N121)/4</f>
        <v>0.31408199614094051</v>
      </c>
      <c r="O97" s="126"/>
      <c r="P97" s="127"/>
      <c r="Q97" s="127"/>
      <c r="R97" s="127"/>
      <c r="S97" s="127"/>
      <c r="T97" s="127"/>
      <c r="U97" s="176"/>
      <c r="V97" s="819"/>
      <c r="W97" s="127"/>
      <c r="X97" s="127"/>
      <c r="Y97" s="127"/>
      <c r="Z97" s="127"/>
      <c r="AA97" s="127"/>
      <c r="AB97" s="127"/>
      <c r="AC97" s="125">
        <f>+(AC98+AC100+AC105+AC109+AC121)/4</f>
        <v>0.71155118289486519</v>
      </c>
      <c r="AD97" s="125">
        <f>+(AD98+AD100+AD105+AD109+AD121)/5</f>
        <v>0.7868098750030621</v>
      </c>
      <c r="AE97" s="125">
        <f>+(AE98+AE100+AE105+AE109+AE121)/5</f>
        <v>0.4851458981133227</v>
      </c>
      <c r="AF97" s="126">
        <f>+AF98+AF100+AF105+AF109+AF121</f>
        <v>0.36490308121056231</v>
      </c>
      <c r="AG97" s="126">
        <f>+AG98+AG100+AG105+AG109+AG121</f>
        <v>0.53073918596655245</v>
      </c>
      <c r="AH97" s="126">
        <f>+AH98+AH100+AH105+AH109+AH121</f>
        <v>0.50242202313073536</v>
      </c>
      <c r="AI97" s="125">
        <f>(AI98+AI100+AI105+AI109+AI121)/4</f>
        <v>0.28704669626851897</v>
      </c>
      <c r="AJ97" s="125">
        <v>0.50977979669828244</v>
      </c>
      <c r="AK97" s="125">
        <f>(AK98+AK100+AK105+AK109+AK121)/5</f>
        <v>0.61080567097188476</v>
      </c>
      <c r="AL97" s="204">
        <f>+(AL98+AL100+AL105+AL109+AL121)</f>
        <v>0.14970787104537839</v>
      </c>
      <c r="AM97" s="204">
        <f>+(AM98*E98+AM100*E100*+AM105*E105+AM109*E109+AM121*E121)</f>
        <v>0.23815278753134994</v>
      </c>
      <c r="AN97" s="204">
        <f>+(AN98*E98+AN100*E100*+AN105*E105+AN109*E109+AN121*E121)</f>
        <v>0.37096458209233069</v>
      </c>
      <c r="AO97" s="769"/>
      <c r="AP97" s="490"/>
      <c r="AQ97" s="490"/>
      <c r="AR97" s="490"/>
      <c r="AS97" s="490"/>
      <c r="AT97" s="984"/>
      <c r="AU97" s="490"/>
      <c r="AV97" s="490"/>
    </row>
    <row r="98" spans="1:49" ht="42.75" customHeight="1" thickBot="1" x14ac:dyDescent="0.4">
      <c r="A98" s="119"/>
      <c r="B98" s="1376" t="s">
        <v>885</v>
      </c>
      <c r="C98" s="1412"/>
      <c r="D98" s="191"/>
      <c r="E98" s="192">
        <v>0.3</v>
      </c>
      <c r="F98" s="186"/>
      <c r="G98" s="127"/>
      <c r="H98" s="127"/>
      <c r="I98" s="127"/>
      <c r="J98" s="133">
        <f>+AVERAGE(J99)</f>
        <v>0</v>
      </c>
      <c r="K98" s="133">
        <f>+AVERAGE(K99)</f>
        <v>0.2</v>
      </c>
      <c r="L98" s="133">
        <f>+AVERAGE(L99)</f>
        <v>0.3</v>
      </c>
      <c r="M98" s="133">
        <f>+M99</f>
        <v>0</v>
      </c>
      <c r="N98" s="133">
        <f>+N99</f>
        <v>0.2</v>
      </c>
      <c r="O98" s="133"/>
      <c r="P98" s="132"/>
      <c r="Q98" s="132"/>
      <c r="R98" s="132"/>
      <c r="S98" s="132"/>
      <c r="T98" s="132"/>
      <c r="U98" s="839"/>
      <c r="V98" s="134"/>
      <c r="W98" s="132"/>
      <c r="X98" s="132"/>
      <c r="Y98" s="132"/>
      <c r="Z98" s="132"/>
      <c r="AA98" s="132"/>
      <c r="AB98" s="132"/>
      <c r="AC98" s="135"/>
      <c r="AD98" s="154">
        <f>+AVERAGE(AD99)</f>
        <v>0.5</v>
      </c>
      <c r="AE98" s="154">
        <f>+AVERAGE(AE99)</f>
        <v>1</v>
      </c>
      <c r="AF98" s="154"/>
      <c r="AG98" s="154">
        <f>+(AG99)*E98</f>
        <v>0.15</v>
      </c>
      <c r="AH98" s="154">
        <f>+(AH99)*E98</f>
        <v>0.3</v>
      </c>
      <c r="AI98" s="133"/>
      <c r="AJ98" s="183">
        <v>0.1</v>
      </c>
      <c r="AK98" s="183">
        <f>+AVERAGE(AK99)</f>
        <v>0.5</v>
      </c>
      <c r="AL98" s="183">
        <f>+(AL99)*E98</f>
        <v>0</v>
      </c>
      <c r="AM98" s="183">
        <f>+(AM99)</f>
        <v>0.1</v>
      </c>
      <c r="AN98" s="183">
        <f>+(AN99)</f>
        <v>0.5</v>
      </c>
      <c r="AO98" s="770"/>
      <c r="AP98" s="490"/>
      <c r="AQ98" s="490"/>
      <c r="AR98" s="490"/>
      <c r="AS98" s="490"/>
      <c r="AT98" s="984"/>
      <c r="AU98" s="490"/>
      <c r="AV98" s="490"/>
    </row>
    <row r="99" spans="1:49" ht="92.4" customHeight="1" thickBot="1" x14ac:dyDescent="0.4">
      <c r="A99" s="119"/>
      <c r="B99" s="1378" t="s">
        <v>886</v>
      </c>
      <c r="C99" s="1404" t="s">
        <v>1331</v>
      </c>
      <c r="D99" s="184" t="s">
        <v>825</v>
      </c>
      <c r="E99" s="188">
        <v>1</v>
      </c>
      <c r="F99" s="186">
        <v>10</v>
      </c>
      <c r="G99" s="134">
        <v>0</v>
      </c>
      <c r="H99" s="134">
        <v>2</v>
      </c>
      <c r="I99" s="134">
        <v>3</v>
      </c>
      <c r="J99" s="139">
        <f>+G99/F99</f>
        <v>0</v>
      </c>
      <c r="K99" s="139">
        <f t="shared" ref="K99:K134" si="123">+H99/F99</f>
        <v>0.2</v>
      </c>
      <c r="L99" s="139">
        <f>+I99/F99</f>
        <v>0.3</v>
      </c>
      <c r="M99" s="139">
        <f>+(G99/F99)*E99</f>
        <v>0</v>
      </c>
      <c r="N99" s="139">
        <f t="shared" ref="N99:N134" si="124">+(H99/F99)*E99</f>
        <v>0.2</v>
      </c>
      <c r="O99" s="139"/>
      <c r="P99" s="134"/>
      <c r="Q99" s="496">
        <v>0</v>
      </c>
      <c r="R99" s="134"/>
      <c r="S99" s="496">
        <v>1</v>
      </c>
      <c r="T99" s="496"/>
      <c r="U99" s="195"/>
      <c r="V99" s="134">
        <f t="shared" si="82"/>
        <v>1</v>
      </c>
      <c r="W99" s="134">
        <f>+V99+P99+AB99</f>
        <v>5</v>
      </c>
      <c r="X99" s="496">
        <v>3</v>
      </c>
      <c r="Y99" s="134">
        <v>1</v>
      </c>
      <c r="Z99" s="134"/>
      <c r="AA99" s="134"/>
      <c r="AB99" s="134">
        <f t="shared" ref="AB99" si="125">+X99+Y99+Z99+AA99</f>
        <v>4</v>
      </c>
      <c r="AC99" s="139"/>
      <c r="AD99" s="139">
        <f>+V99/H99</f>
        <v>0.5</v>
      </c>
      <c r="AE99" s="139">
        <v>1</v>
      </c>
      <c r="AF99" s="139"/>
      <c r="AG99" s="139">
        <f>+AD99*E99</f>
        <v>0.5</v>
      </c>
      <c r="AH99" s="139">
        <f t="shared" ref="AH99" si="126">+AE99*E99</f>
        <v>1</v>
      </c>
      <c r="AI99" s="139"/>
      <c r="AJ99" s="187">
        <v>0.1</v>
      </c>
      <c r="AK99" s="187">
        <f t="shared" ref="AK99" si="127">+W99/F99</f>
        <v>0.5</v>
      </c>
      <c r="AL99" s="187"/>
      <c r="AM99" s="187">
        <f>+AJ99*E99</f>
        <v>0.1</v>
      </c>
      <c r="AN99" s="187">
        <f>+AK99*E99</f>
        <v>0.5</v>
      </c>
      <c r="AO99" s="774" t="s">
        <v>1861</v>
      </c>
      <c r="AP99" s="526" t="s">
        <v>1886</v>
      </c>
      <c r="AQ99" s="490"/>
      <c r="AR99" s="522" t="s">
        <v>2010</v>
      </c>
      <c r="AS99" s="526" t="s">
        <v>2108</v>
      </c>
      <c r="AT99" s="688" t="s">
        <v>2140</v>
      </c>
      <c r="AU99" s="528" t="s">
        <v>2223</v>
      </c>
      <c r="AV99" s="522" t="s">
        <v>1887</v>
      </c>
      <c r="AW99" s="522" t="s">
        <v>2294</v>
      </c>
    </row>
    <row r="100" spans="1:49" ht="100.5" customHeight="1" thickBot="1" x14ac:dyDescent="0.4">
      <c r="A100" s="119"/>
      <c r="B100" s="1376" t="s">
        <v>887</v>
      </c>
      <c r="C100" s="1412"/>
      <c r="D100" s="191"/>
      <c r="E100" s="192">
        <v>0.2</v>
      </c>
      <c r="F100" s="186"/>
      <c r="G100" s="127"/>
      <c r="H100" s="127"/>
      <c r="I100" s="127"/>
      <c r="J100" s="133">
        <f>+AVERAGE(J101:J104)</f>
        <v>0.1875</v>
      </c>
      <c r="K100" s="133">
        <f>+AVERAGE(K101:K104)</f>
        <v>0.27083333333333331</v>
      </c>
      <c r="L100" s="133"/>
      <c r="M100" s="133">
        <f>+M101+M102+M103+M104</f>
        <v>0.2</v>
      </c>
      <c r="N100" s="133">
        <f>+N101+N102+N103+N104</f>
        <v>0.26666666666666666</v>
      </c>
      <c r="O100" s="133"/>
      <c r="P100" s="132"/>
      <c r="Q100" s="132"/>
      <c r="R100" s="132"/>
      <c r="S100" s="132"/>
      <c r="T100" s="132"/>
      <c r="U100" s="839"/>
      <c r="V100" s="134"/>
      <c r="W100" s="132"/>
      <c r="X100" s="132"/>
      <c r="Y100" s="132"/>
      <c r="Z100" s="132"/>
      <c r="AA100" s="132"/>
      <c r="AB100" s="132"/>
      <c r="AC100" s="154">
        <f>+AVERAGE(AC101:AC104)</f>
        <v>1</v>
      </c>
      <c r="AD100" s="154">
        <f>+AVERAGE(AD101:AD104)</f>
        <v>1</v>
      </c>
      <c r="AE100" s="154">
        <f>+AVERAGE(AE101:AE104)</f>
        <v>0.75</v>
      </c>
      <c r="AF100" s="154">
        <f>+(AF101+AF102+AF103+AF104)*E100</f>
        <v>0.16000000000000003</v>
      </c>
      <c r="AG100" s="154">
        <f>+(AG101+AG102+AG103+AG104)*E100</f>
        <v>0.2</v>
      </c>
      <c r="AH100" s="154">
        <f>+(AH101+AH102+AH103+AH104)*E100</f>
        <v>0.13999999999999999</v>
      </c>
      <c r="AI100" s="133">
        <f>+AVERAGE(AI101:AI104)</f>
        <v>0.25510535714285715</v>
      </c>
      <c r="AJ100" s="133">
        <v>1</v>
      </c>
      <c r="AK100" s="133">
        <f>+AVERAGE(AK101:AK104)</f>
        <v>1</v>
      </c>
      <c r="AL100" s="183">
        <f>+(AL101+AL102+AL103+AL104)*E100</f>
        <v>5.427928571428571E-2</v>
      </c>
      <c r="AM100" s="183">
        <f>+(AM101+AM102+AM103+AM104)</f>
        <v>1</v>
      </c>
      <c r="AN100" s="183">
        <f>+(AN101+AN102+AN103+AN104)</f>
        <v>1</v>
      </c>
      <c r="AO100" s="770"/>
      <c r="AP100" s="490"/>
      <c r="AQ100" s="490"/>
      <c r="AR100" s="490"/>
      <c r="AS100" s="490"/>
      <c r="AT100" s="984"/>
      <c r="AU100" s="490"/>
      <c r="AV100" s="490"/>
    </row>
    <row r="101" spans="1:49" ht="69.599999999999994" customHeight="1" thickBot="1" x14ac:dyDescent="0.4">
      <c r="A101" s="119"/>
      <c r="B101" s="1378" t="s">
        <v>888</v>
      </c>
      <c r="C101" s="1404" t="s">
        <v>1332</v>
      </c>
      <c r="D101" s="184" t="s">
        <v>825</v>
      </c>
      <c r="E101" s="188">
        <v>0.3</v>
      </c>
      <c r="F101" s="186">
        <v>60</v>
      </c>
      <c r="G101" s="134">
        <v>15</v>
      </c>
      <c r="H101" s="134">
        <v>15</v>
      </c>
      <c r="I101" s="134">
        <v>15</v>
      </c>
      <c r="J101" s="139">
        <f>+G101/F101</f>
        <v>0.25</v>
      </c>
      <c r="K101" s="139">
        <f t="shared" si="123"/>
        <v>0.25</v>
      </c>
      <c r="L101" s="139"/>
      <c r="M101" s="139">
        <f>+(G101/F101)*E101</f>
        <v>7.4999999999999997E-2</v>
      </c>
      <c r="N101" s="139">
        <f t="shared" si="124"/>
        <v>7.4999999999999997E-2</v>
      </c>
      <c r="O101" s="139"/>
      <c r="P101" s="134">
        <v>17.672999999999998</v>
      </c>
      <c r="Q101" s="496">
        <v>10.196</v>
      </c>
      <c r="R101" s="496">
        <v>22.79</v>
      </c>
      <c r="S101" s="496">
        <v>21.318000000000001</v>
      </c>
      <c r="T101" s="496">
        <v>13.023</v>
      </c>
      <c r="U101" s="496">
        <v>5.4930000000000003</v>
      </c>
      <c r="V101" s="134">
        <f t="shared" si="82"/>
        <v>72.819999999999993</v>
      </c>
      <c r="W101" s="134">
        <f>+V101+P101+AB101</f>
        <v>136.185</v>
      </c>
      <c r="X101" s="496">
        <v>27.431000000000001</v>
      </c>
      <c r="Y101" s="496">
        <v>18.260999999999999</v>
      </c>
      <c r="Z101" s="134"/>
      <c r="AA101" s="134"/>
      <c r="AB101" s="134">
        <f t="shared" ref="AB101:AB104" si="128">+X101+Y101+Z101+AA101</f>
        <v>45.692</v>
      </c>
      <c r="AC101" s="156">
        <v>1</v>
      </c>
      <c r="AD101" s="156">
        <v>1</v>
      </c>
      <c r="AE101" s="156">
        <v>1</v>
      </c>
      <c r="AF101" s="156">
        <f>+AC101*E101</f>
        <v>0.3</v>
      </c>
      <c r="AG101" s="156">
        <f>+AD101*E101</f>
        <v>0.3</v>
      </c>
      <c r="AH101" s="156">
        <f t="shared" ref="AH101:AH104" si="129">+AE101*E101</f>
        <v>0.3</v>
      </c>
      <c r="AI101" s="156">
        <f>+P101/F101</f>
        <v>0.29454999999999998</v>
      </c>
      <c r="AJ101" s="190">
        <v>1</v>
      </c>
      <c r="AK101" s="190">
        <v>1</v>
      </c>
      <c r="AL101" s="190">
        <f>+AI101*E101</f>
        <v>8.8364999999999985E-2</v>
      </c>
      <c r="AM101" s="190">
        <f>+AJ101*E101</f>
        <v>0.3</v>
      </c>
      <c r="AN101" s="190">
        <f t="shared" ref="AN101:AN104" si="130">+AK101*E101</f>
        <v>0.3</v>
      </c>
      <c r="AO101" s="603" t="s">
        <v>1846</v>
      </c>
      <c r="AP101" s="526" t="s">
        <v>1886</v>
      </c>
      <c r="AQ101" s="522" t="s">
        <v>1998</v>
      </c>
      <c r="AR101" s="526" t="s">
        <v>2010</v>
      </c>
      <c r="AS101" s="522" t="s">
        <v>2130</v>
      </c>
      <c r="AT101" s="688" t="s">
        <v>2140</v>
      </c>
      <c r="AU101" s="522" t="s">
        <v>2199</v>
      </c>
      <c r="AV101" s="522" t="s">
        <v>1887</v>
      </c>
      <c r="AW101" s="522" t="s">
        <v>2294</v>
      </c>
    </row>
    <row r="102" spans="1:49" ht="68.400000000000006" customHeight="1" thickBot="1" x14ac:dyDescent="0.4">
      <c r="A102" s="119"/>
      <c r="B102" s="1378" t="s">
        <v>889</v>
      </c>
      <c r="C102" s="1404" t="s">
        <v>1333</v>
      </c>
      <c r="D102" s="184" t="s">
        <v>825</v>
      </c>
      <c r="E102" s="188">
        <v>0.2</v>
      </c>
      <c r="F102" s="186">
        <v>4</v>
      </c>
      <c r="G102" s="134">
        <v>1</v>
      </c>
      <c r="H102" s="134">
        <v>1</v>
      </c>
      <c r="I102" s="134">
        <v>1</v>
      </c>
      <c r="J102" s="139">
        <f>+G102/F102</f>
        <v>0.25</v>
      </c>
      <c r="K102" s="139">
        <f t="shared" si="123"/>
        <v>0.25</v>
      </c>
      <c r="L102" s="139"/>
      <c r="M102" s="139">
        <f>+(G102/F102)*E102</f>
        <v>0.05</v>
      </c>
      <c r="N102" s="139">
        <f t="shared" si="124"/>
        <v>0.05</v>
      </c>
      <c r="O102" s="139"/>
      <c r="P102" s="134">
        <v>1.3892</v>
      </c>
      <c r="Q102" s="496">
        <v>2.1442000000000001</v>
      </c>
      <c r="R102" s="496">
        <v>33.701999999999998</v>
      </c>
      <c r="S102" s="496">
        <v>39.475999999999999</v>
      </c>
      <c r="T102" s="496">
        <v>8.157</v>
      </c>
      <c r="U102" s="496"/>
      <c r="V102" s="134">
        <f t="shared" si="82"/>
        <v>83.479199999999992</v>
      </c>
      <c r="W102" s="134">
        <f t="shared" ref="W102:W104" si="131">+V102+P102+AB102</f>
        <v>115.2028</v>
      </c>
      <c r="X102" s="496">
        <v>18.1814</v>
      </c>
      <c r="Y102" s="496">
        <v>12.153</v>
      </c>
      <c r="Z102" s="134"/>
      <c r="AA102" s="134"/>
      <c r="AB102" s="134">
        <f t="shared" si="128"/>
        <v>30.334400000000002</v>
      </c>
      <c r="AC102" s="156">
        <v>1</v>
      </c>
      <c r="AD102" s="156">
        <v>1</v>
      </c>
      <c r="AE102" s="156">
        <v>1</v>
      </c>
      <c r="AF102" s="156">
        <f>+AC102*E102</f>
        <v>0.2</v>
      </c>
      <c r="AG102" s="156">
        <f>+AD102*E102</f>
        <v>0.2</v>
      </c>
      <c r="AH102" s="156">
        <f t="shared" si="129"/>
        <v>0.2</v>
      </c>
      <c r="AI102" s="156">
        <f>+P102/F102</f>
        <v>0.3473</v>
      </c>
      <c r="AJ102" s="190">
        <v>1</v>
      </c>
      <c r="AK102" s="190">
        <v>1</v>
      </c>
      <c r="AL102" s="190">
        <f>+AI102*E102</f>
        <v>6.9460000000000008E-2</v>
      </c>
      <c r="AM102" s="190">
        <f>+AJ102*E102</f>
        <v>0.2</v>
      </c>
      <c r="AN102" s="190">
        <f t="shared" si="130"/>
        <v>0.2</v>
      </c>
      <c r="AO102" s="603" t="s">
        <v>1846</v>
      </c>
      <c r="AP102" s="528" t="s">
        <v>1859</v>
      </c>
      <c r="AQ102" s="490"/>
      <c r="AR102" s="528" t="s">
        <v>2045</v>
      </c>
      <c r="AS102" s="522" t="s">
        <v>2130</v>
      </c>
      <c r="AT102" s="688" t="s">
        <v>2140</v>
      </c>
      <c r="AU102" s="528" t="s">
        <v>2045</v>
      </c>
      <c r="AV102" s="522" t="s">
        <v>1887</v>
      </c>
      <c r="AW102" s="522" t="s">
        <v>2294</v>
      </c>
    </row>
    <row r="103" spans="1:49" ht="118.95" customHeight="1" thickBot="1" x14ac:dyDescent="0.4">
      <c r="A103" s="119"/>
      <c r="B103" s="1378" t="s">
        <v>890</v>
      </c>
      <c r="C103" s="1404" t="s">
        <v>1334</v>
      </c>
      <c r="D103" s="184" t="s">
        <v>825</v>
      </c>
      <c r="E103" s="188">
        <v>0.2</v>
      </c>
      <c r="F103" s="186">
        <v>3</v>
      </c>
      <c r="G103" s="134">
        <v>0</v>
      </c>
      <c r="H103" s="134">
        <v>1</v>
      </c>
      <c r="I103" s="134">
        <v>1</v>
      </c>
      <c r="J103" s="139">
        <v>0</v>
      </c>
      <c r="K103" s="139">
        <f t="shared" si="123"/>
        <v>0.33333333333333331</v>
      </c>
      <c r="L103" s="139"/>
      <c r="M103" s="139"/>
      <c r="N103" s="139">
        <f t="shared" si="124"/>
        <v>6.6666666666666666E-2</v>
      </c>
      <c r="O103" s="139"/>
      <c r="P103" s="134"/>
      <c r="Q103" s="496">
        <v>0</v>
      </c>
      <c r="R103" s="496">
        <v>3</v>
      </c>
      <c r="S103" s="496">
        <v>0</v>
      </c>
      <c r="T103" s="496">
        <v>1</v>
      </c>
      <c r="U103" s="195"/>
      <c r="V103" s="134">
        <f t="shared" si="82"/>
        <v>4</v>
      </c>
      <c r="W103" s="134">
        <f t="shared" si="131"/>
        <v>7</v>
      </c>
      <c r="X103" s="496">
        <v>2</v>
      </c>
      <c r="Y103" s="496">
        <v>1</v>
      </c>
      <c r="Z103" s="134"/>
      <c r="AA103" s="134"/>
      <c r="AB103" s="134">
        <f t="shared" si="128"/>
        <v>3</v>
      </c>
      <c r="AC103" s="156"/>
      <c r="AD103" s="156">
        <v>1</v>
      </c>
      <c r="AE103" s="156">
        <v>1</v>
      </c>
      <c r="AF103" s="156">
        <v>0</v>
      </c>
      <c r="AG103" s="156">
        <f>+AD103*E103</f>
        <v>0.2</v>
      </c>
      <c r="AH103" s="156">
        <f t="shared" si="129"/>
        <v>0.2</v>
      </c>
      <c r="AI103" s="156">
        <v>0</v>
      </c>
      <c r="AJ103" s="190">
        <v>1</v>
      </c>
      <c r="AK103" s="190">
        <v>1</v>
      </c>
      <c r="AL103" s="190">
        <v>0</v>
      </c>
      <c r="AM103" s="190">
        <f>+AJ103*E103</f>
        <v>0.2</v>
      </c>
      <c r="AN103" s="190">
        <f t="shared" si="130"/>
        <v>0.2</v>
      </c>
      <c r="AO103" s="603" t="s">
        <v>1846</v>
      </c>
      <c r="AP103" s="526" t="s">
        <v>1886</v>
      </c>
      <c r="AQ103" s="522" t="s">
        <v>1998</v>
      </c>
      <c r="AR103" s="526" t="s">
        <v>2046</v>
      </c>
      <c r="AS103" s="522" t="s">
        <v>2130</v>
      </c>
      <c r="AT103" s="688" t="s">
        <v>2140</v>
      </c>
      <c r="AU103" s="528" t="s">
        <v>2045</v>
      </c>
      <c r="AV103" s="522" t="s">
        <v>1887</v>
      </c>
      <c r="AW103" s="522" t="s">
        <v>2294</v>
      </c>
    </row>
    <row r="104" spans="1:49" ht="82.95" customHeight="1" thickBot="1" x14ac:dyDescent="0.4">
      <c r="A104" s="119"/>
      <c r="B104" s="1378" t="s">
        <v>891</v>
      </c>
      <c r="C104" s="1404" t="s">
        <v>1335</v>
      </c>
      <c r="D104" s="184" t="s">
        <v>825</v>
      </c>
      <c r="E104" s="188">
        <v>0.3</v>
      </c>
      <c r="F104" s="186">
        <v>7</v>
      </c>
      <c r="G104" s="134">
        <v>1.75</v>
      </c>
      <c r="H104" s="134">
        <v>1.75</v>
      </c>
      <c r="I104" s="134">
        <v>1.75</v>
      </c>
      <c r="J104" s="139">
        <f>+G104/F104</f>
        <v>0.25</v>
      </c>
      <c r="K104" s="139">
        <f t="shared" si="123"/>
        <v>0.25</v>
      </c>
      <c r="L104" s="139"/>
      <c r="M104" s="139">
        <f>+(G104/F104)*E104</f>
        <v>7.4999999999999997E-2</v>
      </c>
      <c r="N104" s="139">
        <f t="shared" si="124"/>
        <v>7.4999999999999997E-2</v>
      </c>
      <c r="O104" s="139"/>
      <c r="P104" s="134">
        <v>2.65</v>
      </c>
      <c r="Q104" s="496">
        <v>3.198</v>
      </c>
      <c r="R104" s="496">
        <v>7.8051000000000004</v>
      </c>
      <c r="S104" s="496">
        <v>0</v>
      </c>
      <c r="T104" s="496">
        <v>0</v>
      </c>
      <c r="U104" s="195"/>
      <c r="V104" s="134">
        <f>+Q104+R104</f>
        <v>11.0031</v>
      </c>
      <c r="W104" s="134">
        <f t="shared" si="131"/>
        <v>13.6531</v>
      </c>
      <c r="X104" s="496">
        <v>0</v>
      </c>
      <c r="Y104" s="496">
        <v>0</v>
      </c>
      <c r="Z104" s="134"/>
      <c r="AA104" s="134"/>
      <c r="AB104" s="134">
        <f t="shared" si="128"/>
        <v>0</v>
      </c>
      <c r="AC104" s="156">
        <v>1</v>
      </c>
      <c r="AD104" s="156">
        <v>1</v>
      </c>
      <c r="AE104" s="156">
        <f t="shared" ref="AE104" si="132">+AB104/I104</f>
        <v>0</v>
      </c>
      <c r="AF104" s="156">
        <f>+AC104*E104</f>
        <v>0.3</v>
      </c>
      <c r="AG104" s="156">
        <f>+AD104*E104</f>
        <v>0.3</v>
      </c>
      <c r="AH104" s="156">
        <f t="shared" si="129"/>
        <v>0</v>
      </c>
      <c r="AI104" s="156">
        <f>+P104/F104</f>
        <v>0.37857142857142856</v>
      </c>
      <c r="AJ104" s="190">
        <v>1</v>
      </c>
      <c r="AK104" s="190">
        <v>1</v>
      </c>
      <c r="AL104" s="190">
        <f>+AI104*E104</f>
        <v>0.11357142857142856</v>
      </c>
      <c r="AM104" s="190">
        <f>+AJ104*E104</f>
        <v>0.3</v>
      </c>
      <c r="AN104" s="190">
        <f t="shared" si="130"/>
        <v>0.3</v>
      </c>
      <c r="AO104" s="603" t="s">
        <v>1846</v>
      </c>
      <c r="AP104" s="526" t="s">
        <v>1886</v>
      </c>
      <c r="AQ104" s="490"/>
      <c r="AR104" s="526" t="s">
        <v>2046</v>
      </c>
      <c r="AS104" s="522" t="s">
        <v>2130</v>
      </c>
      <c r="AT104" s="688" t="s">
        <v>2140</v>
      </c>
      <c r="AU104" s="528" t="s">
        <v>2045</v>
      </c>
      <c r="AV104" s="522" t="s">
        <v>1887</v>
      </c>
      <c r="AW104" s="522" t="s">
        <v>2294</v>
      </c>
    </row>
    <row r="105" spans="1:49" ht="86.25" customHeight="1" thickBot="1" x14ac:dyDescent="0.4">
      <c r="A105" s="119"/>
      <c r="B105" s="1376" t="s">
        <v>1811</v>
      </c>
      <c r="C105" s="1412"/>
      <c r="D105" s="191"/>
      <c r="E105" s="192">
        <v>0.15</v>
      </c>
      <c r="F105" s="186"/>
      <c r="G105" s="127"/>
      <c r="H105" s="127"/>
      <c r="I105" s="127"/>
      <c r="J105" s="133">
        <f>+AVERAGE(J106:J108)</f>
        <v>0.25</v>
      </c>
      <c r="K105" s="133"/>
      <c r="L105" s="133">
        <f>+AVERAGE(L106:L108)</f>
        <v>0.39999999999999997</v>
      </c>
      <c r="M105" s="133">
        <f>+M106+M107+M108</f>
        <v>0.25</v>
      </c>
      <c r="N105" s="133"/>
      <c r="O105" s="133"/>
      <c r="P105" s="132"/>
      <c r="Q105" s="132"/>
      <c r="R105" s="132"/>
      <c r="S105" s="132"/>
      <c r="T105" s="132"/>
      <c r="U105" s="839"/>
      <c r="V105" s="132"/>
      <c r="W105" s="132"/>
      <c r="X105" s="132"/>
      <c r="Y105" s="132"/>
      <c r="Z105" s="132"/>
      <c r="AA105" s="132"/>
      <c r="AB105" s="132"/>
      <c r="AC105" s="154">
        <f>+AVERAGE(AC106:AC108)</f>
        <v>0</v>
      </c>
      <c r="AD105" s="154">
        <f>+AVERAGE(AD106:AD108)</f>
        <v>0.97499999999999998</v>
      </c>
      <c r="AE105" s="154">
        <f>+AVERAGE(AE106:AE108)</f>
        <v>0</v>
      </c>
      <c r="AF105" s="154">
        <f>+(AF106+AF107+AF108)*E105</f>
        <v>0</v>
      </c>
      <c r="AG105" s="154"/>
      <c r="AH105" s="154">
        <f>+(AH106+AH107+AH108)*E105</f>
        <v>0</v>
      </c>
      <c r="AI105" s="133">
        <f>+AVERAGE(AI106:AI108)</f>
        <v>0</v>
      </c>
      <c r="AJ105" s="133">
        <v>0.19499999999999998</v>
      </c>
      <c r="AK105" s="133">
        <f>+AVERAGE(AK106:AK108)</f>
        <v>0.19499999999999998</v>
      </c>
      <c r="AL105" s="183">
        <f>+(AL106+AL107+AL108)*E105</f>
        <v>0</v>
      </c>
      <c r="AM105" s="183">
        <f>+(AM106+AM107+AM108)</f>
        <v>0.26324999999999998</v>
      </c>
      <c r="AN105" s="183">
        <f>+(AN106+AN107+AN108)</f>
        <v>0.26324999999999998</v>
      </c>
      <c r="AO105" s="770"/>
      <c r="AP105" s="490"/>
      <c r="AQ105" s="490"/>
      <c r="AR105" s="490"/>
      <c r="AS105" s="490"/>
      <c r="AT105" s="984"/>
      <c r="AU105" s="490"/>
      <c r="AV105" s="490"/>
    </row>
    <row r="106" spans="1:49" ht="88.95" customHeight="1" thickBot="1" x14ac:dyDescent="0.4">
      <c r="A106" s="119"/>
      <c r="B106" s="1378" t="s">
        <v>892</v>
      </c>
      <c r="C106" s="1404" t="s">
        <v>1336</v>
      </c>
      <c r="D106" s="191" t="s">
        <v>863</v>
      </c>
      <c r="E106" s="188">
        <v>0.3</v>
      </c>
      <c r="F106" s="186">
        <v>2</v>
      </c>
      <c r="G106" s="562">
        <v>0.5</v>
      </c>
      <c r="H106" s="563">
        <v>0</v>
      </c>
      <c r="I106" s="980">
        <v>1</v>
      </c>
      <c r="J106" s="139">
        <f>+G106/F106</f>
        <v>0.25</v>
      </c>
      <c r="K106" s="139"/>
      <c r="L106" s="139">
        <f t="shared" ref="L106:L108" si="133">+I106/F106</f>
        <v>0.5</v>
      </c>
      <c r="M106" s="139">
        <f>+(G106/F106)*E106</f>
        <v>7.4999999999999997E-2</v>
      </c>
      <c r="N106" s="139"/>
      <c r="O106" s="139"/>
      <c r="P106" s="134">
        <v>0</v>
      </c>
      <c r="Q106" s="496">
        <v>0</v>
      </c>
      <c r="R106" s="496">
        <v>0</v>
      </c>
      <c r="S106" s="496">
        <v>0</v>
      </c>
      <c r="T106" s="496">
        <v>0</v>
      </c>
      <c r="U106" s="496">
        <v>0</v>
      </c>
      <c r="V106" s="134">
        <f>+Q106+R106+S106+T106+U106</f>
        <v>0</v>
      </c>
      <c r="W106" s="134">
        <f>+V106+P106+AB106</f>
        <v>0</v>
      </c>
      <c r="X106" s="496">
        <v>0</v>
      </c>
      <c r="Y106" s="496"/>
      <c r="Z106" s="134"/>
      <c r="AA106" s="134"/>
      <c r="AB106" s="134">
        <f t="shared" ref="AB106:AB134" si="134">+X106+Y106+Z106+AA106</f>
        <v>0</v>
      </c>
      <c r="AC106" s="156">
        <f>+(P106/G106)</f>
        <v>0</v>
      </c>
      <c r="AD106" s="156"/>
      <c r="AE106" s="156">
        <f t="shared" ref="AE106:AE108" si="135">+AB106/I106</f>
        <v>0</v>
      </c>
      <c r="AF106" s="156">
        <f>+AC106*E106</f>
        <v>0</v>
      </c>
      <c r="AG106" s="156"/>
      <c r="AH106" s="156">
        <f t="shared" ref="AH106:AH108" si="136">+AE106*E106</f>
        <v>0</v>
      </c>
      <c r="AI106" s="156">
        <f>+P106/F106</f>
        <v>0</v>
      </c>
      <c r="AJ106" s="190">
        <v>0</v>
      </c>
      <c r="AK106" s="190">
        <f t="shared" ref="AK106:AK108" si="137">+W106/F106</f>
        <v>0</v>
      </c>
      <c r="AL106" s="190">
        <f>+AI106*E106</f>
        <v>0</v>
      </c>
      <c r="AM106" s="190">
        <f>+AJ106*E106</f>
        <v>0</v>
      </c>
      <c r="AN106" s="190">
        <f t="shared" ref="AN106:AN108" si="138">+AK106*E106</f>
        <v>0</v>
      </c>
      <c r="AO106" s="603" t="s">
        <v>1846</v>
      </c>
      <c r="AP106" s="526" t="s">
        <v>1886</v>
      </c>
      <c r="AQ106" s="522" t="s">
        <v>1998</v>
      </c>
      <c r="AR106" s="526" t="s">
        <v>2010</v>
      </c>
      <c r="AS106" s="526" t="s">
        <v>2108</v>
      </c>
      <c r="AT106" s="688" t="s">
        <v>2140</v>
      </c>
      <c r="AU106" s="522" t="s">
        <v>2199</v>
      </c>
      <c r="AV106" s="522" t="s">
        <v>1887</v>
      </c>
    </row>
    <row r="107" spans="1:49" ht="54" customHeight="1" thickBot="1" x14ac:dyDescent="0.4">
      <c r="A107" s="119"/>
      <c r="B107" s="1378" t="s">
        <v>893</v>
      </c>
      <c r="C107" s="1404" t="s">
        <v>1337</v>
      </c>
      <c r="D107" s="191" t="s">
        <v>863</v>
      </c>
      <c r="E107" s="188">
        <v>0.45</v>
      </c>
      <c r="F107" s="186">
        <v>10</v>
      </c>
      <c r="G107" s="562">
        <v>2.5</v>
      </c>
      <c r="H107" s="563">
        <v>6</v>
      </c>
      <c r="I107" s="486">
        <v>2</v>
      </c>
      <c r="J107" s="139">
        <f>+G107/F107</f>
        <v>0.25</v>
      </c>
      <c r="K107" s="139"/>
      <c r="L107" s="139">
        <f t="shared" si="133"/>
        <v>0.2</v>
      </c>
      <c r="M107" s="139">
        <f>+(G107/F107)*E107</f>
        <v>0.1125</v>
      </c>
      <c r="N107" s="139"/>
      <c r="O107" s="139"/>
      <c r="P107" s="134">
        <v>0</v>
      </c>
      <c r="Q107" s="496"/>
      <c r="R107" s="496">
        <v>0</v>
      </c>
      <c r="S107" s="496">
        <v>2.5</v>
      </c>
      <c r="T107" s="496">
        <v>1</v>
      </c>
      <c r="U107" s="496">
        <v>2.35</v>
      </c>
      <c r="V107" s="134">
        <f>+Q107+R107+S107+T107+U107</f>
        <v>5.85</v>
      </c>
      <c r="W107" s="134">
        <f t="shared" ref="W107:W108" si="139">+V107+P107+AB107</f>
        <v>5.85</v>
      </c>
      <c r="X107" s="496">
        <v>0</v>
      </c>
      <c r="Y107" s="496"/>
      <c r="Z107" s="134"/>
      <c r="AA107" s="134"/>
      <c r="AB107" s="134">
        <f t="shared" si="134"/>
        <v>0</v>
      </c>
      <c r="AC107" s="156">
        <f>+(P107/G107)</f>
        <v>0</v>
      </c>
      <c r="AD107" s="156">
        <f>+V107/H107</f>
        <v>0.97499999999999998</v>
      </c>
      <c r="AE107" s="156">
        <f t="shared" si="135"/>
        <v>0</v>
      </c>
      <c r="AF107" s="156">
        <f>+AC107*E107</f>
        <v>0</v>
      </c>
      <c r="AG107" s="156"/>
      <c r="AH107" s="156">
        <f t="shared" si="136"/>
        <v>0</v>
      </c>
      <c r="AI107" s="156">
        <f>+P107/F107</f>
        <v>0</v>
      </c>
      <c r="AJ107" s="190">
        <v>0.58499999999999996</v>
      </c>
      <c r="AK107" s="190">
        <f t="shared" si="137"/>
        <v>0.58499999999999996</v>
      </c>
      <c r="AL107" s="190">
        <f>+AI107*E107</f>
        <v>0</v>
      </c>
      <c r="AM107" s="190">
        <f>+AJ107*E107</f>
        <v>0.26324999999999998</v>
      </c>
      <c r="AN107" s="190">
        <f t="shared" si="138"/>
        <v>0.26324999999999998</v>
      </c>
      <c r="AO107" s="603" t="s">
        <v>1846</v>
      </c>
      <c r="AP107" s="526" t="s">
        <v>1886</v>
      </c>
      <c r="AQ107" s="522" t="s">
        <v>1998</v>
      </c>
      <c r="AR107" s="526" t="s">
        <v>2010</v>
      </c>
      <c r="AS107" s="640" t="s">
        <v>2094</v>
      </c>
      <c r="AT107" s="688" t="s">
        <v>2140</v>
      </c>
      <c r="AU107" s="522" t="s">
        <v>2199</v>
      </c>
      <c r="AV107" s="522" t="s">
        <v>1887</v>
      </c>
    </row>
    <row r="108" spans="1:49" ht="79.2" customHeight="1" thickBot="1" x14ac:dyDescent="0.4">
      <c r="A108" s="119"/>
      <c r="B108" s="1378" t="s">
        <v>894</v>
      </c>
      <c r="C108" s="1404" t="s">
        <v>1338</v>
      </c>
      <c r="D108" s="191" t="s">
        <v>863</v>
      </c>
      <c r="E108" s="188">
        <v>0.25</v>
      </c>
      <c r="F108" s="186">
        <v>10000</v>
      </c>
      <c r="G108" s="562">
        <v>2500</v>
      </c>
      <c r="H108" s="563">
        <v>0</v>
      </c>
      <c r="I108" s="980">
        <v>5000</v>
      </c>
      <c r="J108" s="139">
        <f>+G108/F108</f>
        <v>0.25</v>
      </c>
      <c r="K108" s="139"/>
      <c r="L108" s="139">
        <f t="shared" si="133"/>
        <v>0.5</v>
      </c>
      <c r="M108" s="139">
        <f>+(G108/F108)*E108</f>
        <v>6.25E-2</v>
      </c>
      <c r="N108" s="139"/>
      <c r="O108" s="139"/>
      <c r="P108" s="134">
        <v>0</v>
      </c>
      <c r="Q108" s="496"/>
      <c r="R108" s="496">
        <v>0</v>
      </c>
      <c r="S108" s="496">
        <v>0</v>
      </c>
      <c r="T108" s="496">
        <v>0</v>
      </c>
      <c r="U108" s="496">
        <v>0</v>
      </c>
      <c r="V108" s="134">
        <f t="shared" ref="V108:V170" si="140">+Q108+R108+S108+T108+U108</f>
        <v>0</v>
      </c>
      <c r="W108" s="134">
        <f t="shared" si="139"/>
        <v>0</v>
      </c>
      <c r="X108" s="496">
        <v>0</v>
      </c>
      <c r="Y108" s="496"/>
      <c r="Z108" s="134"/>
      <c r="AA108" s="134"/>
      <c r="AB108" s="134">
        <f t="shared" si="134"/>
        <v>0</v>
      </c>
      <c r="AC108" s="156">
        <f>+(P108/G108)</f>
        <v>0</v>
      </c>
      <c r="AD108" s="156"/>
      <c r="AE108" s="156">
        <f t="shared" si="135"/>
        <v>0</v>
      </c>
      <c r="AF108" s="156">
        <f>+AC108*E108</f>
        <v>0</v>
      </c>
      <c r="AG108" s="156"/>
      <c r="AH108" s="156">
        <f t="shared" si="136"/>
        <v>0</v>
      </c>
      <c r="AI108" s="156">
        <f>+P108/F108</f>
        <v>0</v>
      </c>
      <c r="AJ108" s="190">
        <v>0</v>
      </c>
      <c r="AK108" s="190">
        <f t="shared" si="137"/>
        <v>0</v>
      </c>
      <c r="AL108" s="190">
        <f>+AI108*E108</f>
        <v>0</v>
      </c>
      <c r="AM108" s="190">
        <f>+AJ108*E108</f>
        <v>0</v>
      </c>
      <c r="AN108" s="190">
        <f t="shared" si="138"/>
        <v>0</v>
      </c>
      <c r="AO108" s="603" t="s">
        <v>1846</v>
      </c>
      <c r="AP108" s="526" t="s">
        <v>1886</v>
      </c>
      <c r="AQ108" s="522" t="s">
        <v>1998</v>
      </c>
      <c r="AR108" s="526" t="s">
        <v>2010</v>
      </c>
      <c r="AS108" s="526" t="s">
        <v>2108</v>
      </c>
      <c r="AT108" s="688" t="s">
        <v>2140</v>
      </c>
      <c r="AU108" s="522" t="s">
        <v>2199</v>
      </c>
      <c r="AV108" s="522" t="s">
        <v>1887</v>
      </c>
    </row>
    <row r="109" spans="1:49" ht="57" customHeight="1" thickBot="1" x14ac:dyDescent="0.4">
      <c r="A109" s="119"/>
      <c r="B109" s="1376" t="s">
        <v>1741</v>
      </c>
      <c r="C109" s="1412"/>
      <c r="D109" s="191"/>
      <c r="E109" s="192">
        <v>0.15</v>
      </c>
      <c r="F109" s="186"/>
      <c r="G109" s="127"/>
      <c r="H109" s="127"/>
      <c r="I109" s="127"/>
      <c r="J109" s="133">
        <f>+AVERAGE(J110:J120)</f>
        <v>0.30482468088463477</v>
      </c>
      <c r="K109" s="133">
        <f>+AVERAGE(K110:K120)</f>
        <v>0.4002361439382689</v>
      </c>
      <c r="L109" s="133">
        <f>+AVERAGE(L110:L120)</f>
        <v>0.38997529365523997</v>
      </c>
      <c r="M109" s="133">
        <f>+M110+M111+M112+M113+M114+M115+M116+M117+M118+M119+M120</f>
        <v>0.23385974470770779</v>
      </c>
      <c r="N109" s="133">
        <f>+N110+N111+N112+N113+N114+N115+N116+N117+N118+N119+N120</f>
        <v>0.3918847583320958</v>
      </c>
      <c r="O109" s="133"/>
      <c r="P109" s="132"/>
      <c r="Q109" s="132"/>
      <c r="R109" s="132"/>
      <c r="S109" s="132"/>
      <c r="T109" s="132"/>
      <c r="U109" s="839"/>
      <c r="V109" s="134"/>
      <c r="W109" s="132"/>
      <c r="X109" s="132"/>
      <c r="Y109" s="132"/>
      <c r="Z109" s="132"/>
      <c r="AA109" s="132"/>
      <c r="AB109" s="134"/>
      <c r="AC109" s="154">
        <f>+AVERAGE(AC110:AC120)</f>
        <v>0.87337500000000001</v>
      </c>
      <c r="AD109" s="154">
        <f>+AVERAGE(AD110:AD120)</f>
        <v>0.73092473296424987</v>
      </c>
      <c r="AE109" s="154">
        <f>+AVERAGE(AE110:AE120)</f>
        <v>0.30425925925925923</v>
      </c>
      <c r="AF109" s="154">
        <f>+(AF110+AF111+AF112+AF113+AF114+AF115+AF116+AF117+AF118+AF119+AF120)*E109</f>
        <v>0.104805</v>
      </c>
      <c r="AG109" s="154">
        <f>+(AG110+AG111+AG112+AG113+AG114+AG115+AG116+AG117+AG118+AG119+AG120)*E109</f>
        <v>0.11448921460246757</v>
      </c>
      <c r="AH109" s="154">
        <f>+(AH110+AH111+AH112+AH113+AH114+AH115+AH116+AH117+AH118+AH119+AH120)*E109</f>
        <v>4.3775000000000001E-2</v>
      </c>
      <c r="AI109" s="133">
        <f>+AVERAGE(AI110:AI120)</f>
        <v>0.296857707518147</v>
      </c>
      <c r="AJ109" s="133">
        <v>0.56493453358717383</v>
      </c>
      <c r="AK109" s="133">
        <f>+AVERAGE(AK110:AK120)</f>
        <v>0.62016296468716459</v>
      </c>
      <c r="AL109" s="183">
        <f>+(AL110+AL111+AL112+AL113+AL114+AL115+AL116+AL117+AL118+AL119+AL120)*E109</f>
        <v>3.3372924902177636E-2</v>
      </c>
      <c r="AM109" s="183">
        <f>+(AM110+AM111+AM112+AM113+AM114+AM115+AM116+AM117+AM118+AM119+AM120)</f>
        <v>0.57192798694589131</v>
      </c>
      <c r="AN109" s="183">
        <f>+(AN110+AN111+AN112+AN113+AN114+AN115+AN116+AN117+AN118+AN119+AN120)</f>
        <v>0.63967926115588103</v>
      </c>
      <c r="AO109" s="770"/>
      <c r="AP109" s="663"/>
      <c r="AQ109" s="490"/>
      <c r="AR109" s="490"/>
      <c r="AS109" s="490"/>
      <c r="AT109" s="984"/>
      <c r="AU109" s="490"/>
      <c r="AV109" s="490"/>
    </row>
    <row r="110" spans="1:49" ht="65.400000000000006" customHeight="1" thickBot="1" x14ac:dyDescent="0.4">
      <c r="A110" s="119"/>
      <c r="B110" s="1378" t="s">
        <v>895</v>
      </c>
      <c r="C110" s="1404" t="s">
        <v>1339</v>
      </c>
      <c r="D110" s="191" t="s">
        <v>48</v>
      </c>
      <c r="E110" s="188">
        <v>0.1</v>
      </c>
      <c r="F110" s="186">
        <v>2289</v>
      </c>
      <c r="G110" s="134">
        <v>570</v>
      </c>
      <c r="H110" s="134">
        <v>493</v>
      </c>
      <c r="I110" s="134">
        <v>600</v>
      </c>
      <c r="J110" s="139">
        <f t="shared" ref="J110:J120" si="141">+G110/F110</f>
        <v>0.24901703800786371</v>
      </c>
      <c r="K110" s="139">
        <f t="shared" si="123"/>
        <v>0.21537789427697684</v>
      </c>
      <c r="L110" s="139">
        <f t="shared" ref="L110:L120" si="142">+I110/F110</f>
        <v>0.26212319790301442</v>
      </c>
      <c r="M110" s="139">
        <f t="shared" ref="M110:M120" si="143">+(G110/F110)*E110</f>
        <v>2.4901703800786372E-2</v>
      </c>
      <c r="N110" s="139">
        <f t="shared" si="124"/>
        <v>2.1537789427697684E-2</v>
      </c>
      <c r="O110" s="139"/>
      <c r="P110" s="134">
        <v>647</v>
      </c>
      <c r="Q110" s="496">
        <v>153</v>
      </c>
      <c r="R110" s="496">
        <v>238</v>
      </c>
      <c r="S110" s="496">
        <v>1</v>
      </c>
      <c r="T110" s="496">
        <v>0</v>
      </c>
      <c r="U110" s="496">
        <v>0</v>
      </c>
      <c r="V110" s="134">
        <f>+Q110+R110+S110+T110+U110</f>
        <v>392</v>
      </c>
      <c r="W110" s="168">
        <f>+V110+P110+AB110</f>
        <v>1074</v>
      </c>
      <c r="X110" s="496">
        <v>0</v>
      </c>
      <c r="Y110" s="496">
        <v>35</v>
      </c>
      <c r="Z110" s="134"/>
      <c r="AA110" s="134"/>
      <c r="AB110" s="134">
        <f t="shared" si="134"/>
        <v>35</v>
      </c>
      <c r="AC110" s="156">
        <v>1</v>
      </c>
      <c r="AD110" s="156">
        <f>+V110/H110</f>
        <v>0.79513184584178498</v>
      </c>
      <c r="AE110" s="156">
        <f t="shared" ref="AE110:AE120" si="144">+AB110/I110</f>
        <v>5.8333333333333334E-2</v>
      </c>
      <c r="AF110" s="156">
        <f>+AC110*E110</f>
        <v>0.1</v>
      </c>
      <c r="AG110" s="156">
        <f t="shared" ref="AG110:AG120" si="145">+AD110*E110</f>
        <v>7.9513184584178498E-2</v>
      </c>
      <c r="AH110" s="156">
        <f t="shared" ref="AH110:AH120" si="146">+AE110*E110</f>
        <v>5.8333333333333336E-3</v>
      </c>
      <c r="AI110" s="156">
        <f>+P110/F110</f>
        <v>0.28265618173875057</v>
      </c>
      <c r="AJ110" s="190">
        <v>0.45391000436871998</v>
      </c>
      <c r="AK110" s="190">
        <f t="shared" ref="AK110:AK120" si="147">+W110/F110</f>
        <v>0.4692005242463958</v>
      </c>
      <c r="AL110" s="190">
        <f>+AI110*E110</f>
        <v>2.8265618173875059E-2</v>
      </c>
      <c r="AM110" s="190">
        <f t="shared" ref="AM110:AM120" si="148">+AJ110*E110</f>
        <v>4.5391000436871998E-2</v>
      </c>
      <c r="AN110" s="190">
        <f t="shared" ref="AN110:AN120" si="149">+AK110*E110</f>
        <v>4.6920052424639584E-2</v>
      </c>
      <c r="AO110" s="603" t="s">
        <v>1846</v>
      </c>
      <c r="AP110" s="526" t="s">
        <v>1886</v>
      </c>
      <c r="AQ110" s="526" t="s">
        <v>1990</v>
      </c>
      <c r="AR110" s="526" t="s">
        <v>2010</v>
      </c>
      <c r="AS110" s="526" t="s">
        <v>2108</v>
      </c>
      <c r="AT110" s="688" t="s">
        <v>2140</v>
      </c>
      <c r="AU110" s="522" t="s">
        <v>2199</v>
      </c>
      <c r="AV110" s="522" t="s">
        <v>1887</v>
      </c>
      <c r="AW110" s="522" t="s">
        <v>2294</v>
      </c>
    </row>
    <row r="111" spans="1:49" ht="69" customHeight="1" thickBot="1" x14ac:dyDescent="0.4">
      <c r="A111" s="119"/>
      <c r="B111" s="1378" t="s">
        <v>896</v>
      </c>
      <c r="C111" s="1404" t="s">
        <v>1535</v>
      </c>
      <c r="D111" s="191" t="s">
        <v>48</v>
      </c>
      <c r="E111" s="188">
        <v>0.1</v>
      </c>
      <c r="F111" s="186">
        <v>190.58</v>
      </c>
      <c r="G111" s="134">
        <v>30</v>
      </c>
      <c r="H111" s="134">
        <v>70.39</v>
      </c>
      <c r="I111" s="134">
        <v>76.39</v>
      </c>
      <c r="J111" s="139">
        <f t="shared" si="141"/>
        <v>0.15741420925595551</v>
      </c>
      <c r="K111" s="139">
        <f t="shared" si="123"/>
        <v>0.36934620631755694</v>
      </c>
      <c r="L111" s="139">
        <f t="shared" si="142"/>
        <v>0.40082904816874804</v>
      </c>
      <c r="M111" s="139">
        <f t="shared" si="143"/>
        <v>1.5741420925595551E-2</v>
      </c>
      <c r="N111" s="139">
        <f t="shared" si="124"/>
        <v>3.6934620631755698E-2</v>
      </c>
      <c r="O111" s="139"/>
      <c r="P111" s="134">
        <v>19.61</v>
      </c>
      <c r="Q111" s="496">
        <v>3</v>
      </c>
      <c r="R111" s="496">
        <v>16</v>
      </c>
      <c r="S111" s="496">
        <v>0</v>
      </c>
      <c r="T111" s="496">
        <v>0</v>
      </c>
      <c r="U111" s="496">
        <v>0</v>
      </c>
      <c r="V111" s="134">
        <f t="shared" si="140"/>
        <v>19</v>
      </c>
      <c r="W111" s="168">
        <f t="shared" ref="W111:W120" si="150">+V111+P111+AB111</f>
        <v>38.61</v>
      </c>
      <c r="X111" s="496">
        <v>0</v>
      </c>
      <c r="Y111" s="496">
        <v>0</v>
      </c>
      <c r="Z111" s="134"/>
      <c r="AA111" s="134"/>
      <c r="AB111" s="134">
        <f t="shared" si="134"/>
        <v>0</v>
      </c>
      <c r="AC111" s="156">
        <f>+(P111/G111)</f>
        <v>0.65366666666666662</v>
      </c>
      <c r="AD111" s="156">
        <f>+V111/H111</f>
        <v>0.26992470521380879</v>
      </c>
      <c r="AE111" s="156">
        <f t="shared" si="144"/>
        <v>0</v>
      </c>
      <c r="AF111" s="156">
        <f>+AC111*E111</f>
        <v>6.536666666666667E-2</v>
      </c>
      <c r="AG111" s="156">
        <f t="shared" si="145"/>
        <v>2.699247052138088E-2</v>
      </c>
      <c r="AH111" s="156">
        <f t="shared" si="146"/>
        <v>0</v>
      </c>
      <c r="AI111" s="156">
        <f>+P111/F111</f>
        <v>0.10289642145030957</v>
      </c>
      <c r="AJ111" s="190">
        <v>0.20259208731241471</v>
      </c>
      <c r="AK111" s="190">
        <f t="shared" si="147"/>
        <v>0.20259208731241471</v>
      </c>
      <c r="AL111" s="190">
        <f>+AI111*E111</f>
        <v>1.0289642145030958E-2</v>
      </c>
      <c r="AM111" s="190">
        <f t="shared" si="148"/>
        <v>2.0259208731241471E-2</v>
      </c>
      <c r="AN111" s="190">
        <f t="shared" si="149"/>
        <v>2.0259208731241471E-2</v>
      </c>
      <c r="AO111" s="603" t="s">
        <v>1846</v>
      </c>
      <c r="AP111" s="526" t="s">
        <v>1886</v>
      </c>
      <c r="AQ111" s="526" t="s">
        <v>1990</v>
      </c>
      <c r="AR111" s="526" t="s">
        <v>2010</v>
      </c>
      <c r="AS111" s="526" t="s">
        <v>2108</v>
      </c>
      <c r="AT111" s="688" t="s">
        <v>2140</v>
      </c>
      <c r="AU111" s="522" t="s">
        <v>2199</v>
      </c>
      <c r="AV111" s="522" t="s">
        <v>1887</v>
      </c>
      <c r="AW111" s="522" t="s">
        <v>2294</v>
      </c>
    </row>
    <row r="112" spans="1:49" ht="127.95" customHeight="1" thickBot="1" x14ac:dyDescent="0.4">
      <c r="A112" s="119"/>
      <c r="B112" s="1378" t="s">
        <v>897</v>
      </c>
      <c r="C112" s="1404" t="s">
        <v>1340</v>
      </c>
      <c r="D112" s="191" t="s">
        <v>1541</v>
      </c>
      <c r="E112" s="188">
        <v>0.05</v>
      </c>
      <c r="F112" s="186">
        <v>20</v>
      </c>
      <c r="G112" s="134">
        <v>0</v>
      </c>
      <c r="H112" s="134">
        <v>10.1</v>
      </c>
      <c r="I112" s="134">
        <f>9.75+10</f>
        <v>19.75</v>
      </c>
      <c r="J112" s="139"/>
      <c r="K112" s="139">
        <f t="shared" si="123"/>
        <v>0.505</v>
      </c>
      <c r="L112" s="139">
        <f t="shared" si="142"/>
        <v>0.98750000000000004</v>
      </c>
      <c r="M112" s="139"/>
      <c r="N112" s="139">
        <f t="shared" si="124"/>
        <v>2.5250000000000002E-2</v>
      </c>
      <c r="O112" s="139"/>
      <c r="P112" s="134"/>
      <c r="Q112" s="496">
        <v>0.1</v>
      </c>
      <c r="R112" s="496">
        <v>0.15</v>
      </c>
      <c r="S112" s="496">
        <v>0</v>
      </c>
      <c r="T112" s="496">
        <v>3</v>
      </c>
      <c r="U112" s="496">
        <v>0</v>
      </c>
      <c r="V112" s="134">
        <f t="shared" si="140"/>
        <v>3.25</v>
      </c>
      <c r="W112" s="168">
        <f t="shared" si="150"/>
        <v>3.25</v>
      </c>
      <c r="X112" s="496">
        <v>0</v>
      </c>
      <c r="Y112" s="496">
        <v>0</v>
      </c>
      <c r="Z112" s="134"/>
      <c r="AA112" s="134"/>
      <c r="AB112" s="134">
        <f t="shared" si="134"/>
        <v>0</v>
      </c>
      <c r="AC112" s="156"/>
      <c r="AD112" s="156">
        <f>+V112/H112</f>
        <v>0.32178217821782179</v>
      </c>
      <c r="AE112" s="156">
        <f t="shared" si="144"/>
        <v>0</v>
      </c>
      <c r="AF112" s="156"/>
      <c r="AG112" s="156">
        <f t="shared" si="145"/>
        <v>1.608910891089109E-2</v>
      </c>
      <c r="AH112" s="156">
        <f t="shared" si="146"/>
        <v>0</v>
      </c>
      <c r="AI112" s="156"/>
      <c r="AJ112" s="190">
        <v>0.16250000000000001</v>
      </c>
      <c r="AK112" s="190">
        <f t="shared" si="147"/>
        <v>0.16250000000000001</v>
      </c>
      <c r="AL112" s="190">
        <v>0</v>
      </c>
      <c r="AM112" s="190">
        <f t="shared" si="148"/>
        <v>8.1250000000000003E-3</v>
      </c>
      <c r="AN112" s="190">
        <f t="shared" si="149"/>
        <v>8.1250000000000003E-3</v>
      </c>
      <c r="AO112" s="603" t="s">
        <v>1850</v>
      </c>
      <c r="AP112" s="528" t="s">
        <v>1893</v>
      </c>
      <c r="AQ112" s="526" t="s">
        <v>1996</v>
      </c>
      <c r="AR112" s="526" t="s">
        <v>2016</v>
      </c>
      <c r="AS112" s="640" t="s">
        <v>2149</v>
      </c>
      <c r="AT112" s="688" t="s">
        <v>2144</v>
      </c>
      <c r="AU112" s="522" t="s">
        <v>2199</v>
      </c>
      <c r="AV112" s="528" t="s">
        <v>2252</v>
      </c>
      <c r="AW112" s="522" t="s">
        <v>2294</v>
      </c>
    </row>
    <row r="113" spans="1:49" ht="50.4" customHeight="1" thickBot="1" x14ac:dyDescent="0.4">
      <c r="A113" s="119"/>
      <c r="B113" s="1378" t="s">
        <v>898</v>
      </c>
      <c r="C113" s="1404" t="s">
        <v>1341</v>
      </c>
      <c r="D113" s="191" t="s">
        <v>48</v>
      </c>
      <c r="E113" s="188">
        <v>0.2</v>
      </c>
      <c r="F113" s="186">
        <v>1</v>
      </c>
      <c r="G113" s="134">
        <v>0.25</v>
      </c>
      <c r="H113" s="134">
        <v>0.25</v>
      </c>
      <c r="I113" s="134">
        <v>0.25</v>
      </c>
      <c r="J113" s="139">
        <f t="shared" si="141"/>
        <v>0.25</v>
      </c>
      <c r="K113" s="139">
        <f t="shared" si="123"/>
        <v>0.25</v>
      </c>
      <c r="L113" s="139">
        <f t="shared" si="142"/>
        <v>0.25</v>
      </c>
      <c r="M113" s="139">
        <f t="shared" si="143"/>
        <v>0.05</v>
      </c>
      <c r="N113" s="139">
        <f t="shared" si="124"/>
        <v>0.05</v>
      </c>
      <c r="O113" s="139"/>
      <c r="P113" s="134">
        <v>0.25</v>
      </c>
      <c r="Q113" s="496">
        <v>0.15</v>
      </c>
      <c r="R113" s="496">
        <v>0.01</v>
      </c>
      <c r="S113" s="496">
        <v>0</v>
      </c>
      <c r="T113" s="496">
        <v>0.02</v>
      </c>
      <c r="U113" s="496">
        <v>0</v>
      </c>
      <c r="V113" s="134">
        <f t="shared" si="140"/>
        <v>0.18</v>
      </c>
      <c r="W113" s="168">
        <f t="shared" si="150"/>
        <v>0.6</v>
      </c>
      <c r="X113" s="496">
        <v>0.15</v>
      </c>
      <c r="Y113" s="496">
        <v>0.02</v>
      </c>
      <c r="Z113" s="134"/>
      <c r="AA113" s="134"/>
      <c r="AB113" s="134">
        <f t="shared" si="134"/>
        <v>0.16999999999999998</v>
      </c>
      <c r="AC113" s="156">
        <f>+(P113/G113)</f>
        <v>1</v>
      </c>
      <c r="AD113" s="156">
        <f>+V113/H113</f>
        <v>0.72</v>
      </c>
      <c r="AE113" s="156">
        <f t="shared" si="144"/>
        <v>0.67999999999999994</v>
      </c>
      <c r="AF113" s="156">
        <f>+AC113*E113</f>
        <v>0.2</v>
      </c>
      <c r="AG113" s="156">
        <f t="shared" si="145"/>
        <v>0.14399999999999999</v>
      </c>
      <c r="AH113" s="156">
        <f t="shared" si="146"/>
        <v>0.13599999999999998</v>
      </c>
      <c r="AI113" s="156">
        <f>+P113/F113</f>
        <v>0.25</v>
      </c>
      <c r="AJ113" s="190">
        <v>0.43</v>
      </c>
      <c r="AK113" s="190">
        <f t="shared" si="147"/>
        <v>0.6</v>
      </c>
      <c r="AL113" s="190">
        <f>+AI113*E113</f>
        <v>0.05</v>
      </c>
      <c r="AM113" s="190">
        <f t="shared" si="148"/>
        <v>8.6000000000000007E-2</v>
      </c>
      <c r="AN113" s="190">
        <f t="shared" si="149"/>
        <v>0.12</v>
      </c>
      <c r="AO113" s="603" t="s">
        <v>1846</v>
      </c>
      <c r="AP113" s="526" t="s">
        <v>1886</v>
      </c>
      <c r="AQ113" s="526" t="s">
        <v>1990</v>
      </c>
      <c r="AR113" s="526" t="s">
        <v>2010</v>
      </c>
      <c r="AS113" s="526" t="s">
        <v>2108</v>
      </c>
      <c r="AT113" s="688" t="s">
        <v>2140</v>
      </c>
      <c r="AU113" s="522" t="s">
        <v>2199</v>
      </c>
      <c r="AV113" s="522" t="s">
        <v>1887</v>
      </c>
      <c r="AW113" s="522" t="s">
        <v>2294</v>
      </c>
    </row>
    <row r="114" spans="1:49" ht="58.2" customHeight="1" thickBot="1" x14ac:dyDescent="0.4">
      <c r="A114" s="119"/>
      <c r="B114" s="1378" t="s">
        <v>899</v>
      </c>
      <c r="C114" s="1404" t="s">
        <v>1342</v>
      </c>
      <c r="D114" s="191" t="s">
        <v>48</v>
      </c>
      <c r="E114" s="188">
        <v>0.1</v>
      </c>
      <c r="F114" s="186">
        <v>14</v>
      </c>
      <c r="G114" s="134">
        <v>3</v>
      </c>
      <c r="H114" s="134">
        <v>5</v>
      </c>
      <c r="I114" s="134">
        <v>4</v>
      </c>
      <c r="J114" s="139">
        <f t="shared" si="141"/>
        <v>0.21428571428571427</v>
      </c>
      <c r="K114" s="139">
        <f t="shared" si="123"/>
        <v>0.35714285714285715</v>
      </c>
      <c r="L114" s="139">
        <f>+I114/F114</f>
        <v>0.2857142857142857</v>
      </c>
      <c r="M114" s="139">
        <f t="shared" si="143"/>
        <v>2.1428571428571429E-2</v>
      </c>
      <c r="N114" s="139">
        <f t="shared" si="124"/>
        <v>3.5714285714285719E-2</v>
      </c>
      <c r="O114" s="139"/>
      <c r="P114" s="134">
        <v>1</v>
      </c>
      <c r="Q114" s="496">
        <v>0</v>
      </c>
      <c r="R114" s="496">
        <v>2</v>
      </c>
      <c r="S114" s="496">
        <v>1</v>
      </c>
      <c r="T114" s="496">
        <v>2</v>
      </c>
      <c r="U114" s="496">
        <v>1</v>
      </c>
      <c r="V114" s="134">
        <f t="shared" si="140"/>
        <v>6</v>
      </c>
      <c r="W114" s="168">
        <f t="shared" si="150"/>
        <v>7</v>
      </c>
      <c r="X114" s="496">
        <v>0</v>
      </c>
      <c r="Y114" s="496">
        <v>0</v>
      </c>
      <c r="Z114" s="134"/>
      <c r="AA114" s="134"/>
      <c r="AB114" s="134">
        <f t="shared" si="134"/>
        <v>0</v>
      </c>
      <c r="AC114" s="156">
        <f>+(P114/G114)</f>
        <v>0.33333333333333331</v>
      </c>
      <c r="AD114" s="156">
        <v>1</v>
      </c>
      <c r="AE114" s="156">
        <f t="shared" si="144"/>
        <v>0</v>
      </c>
      <c r="AF114" s="156">
        <f>+AC114*E114</f>
        <v>3.3333333333333333E-2</v>
      </c>
      <c r="AG114" s="156">
        <f t="shared" si="145"/>
        <v>0.1</v>
      </c>
      <c r="AH114" s="156">
        <f t="shared" si="146"/>
        <v>0</v>
      </c>
      <c r="AI114" s="156">
        <f>+P114/F114</f>
        <v>7.1428571428571425E-2</v>
      </c>
      <c r="AJ114" s="190">
        <v>0.5</v>
      </c>
      <c r="AK114" s="190">
        <f t="shared" si="147"/>
        <v>0.5</v>
      </c>
      <c r="AL114" s="190">
        <f>+AI114*E114</f>
        <v>7.1428571428571426E-3</v>
      </c>
      <c r="AM114" s="190">
        <f t="shared" si="148"/>
        <v>0.05</v>
      </c>
      <c r="AN114" s="190">
        <f t="shared" si="149"/>
        <v>0.05</v>
      </c>
      <c r="AO114" s="603" t="s">
        <v>1846</v>
      </c>
      <c r="AP114" s="526" t="s">
        <v>1887</v>
      </c>
      <c r="AQ114" s="526" t="s">
        <v>1990</v>
      </c>
      <c r="AR114" s="526" t="s">
        <v>2010</v>
      </c>
      <c r="AS114" s="526" t="s">
        <v>2108</v>
      </c>
      <c r="AT114" s="688" t="s">
        <v>2140</v>
      </c>
      <c r="AU114" s="522" t="s">
        <v>2199</v>
      </c>
      <c r="AV114" s="522" t="s">
        <v>1887</v>
      </c>
      <c r="AW114" s="522" t="s">
        <v>2294</v>
      </c>
    </row>
    <row r="115" spans="1:49" ht="54" customHeight="1" thickBot="1" x14ac:dyDescent="0.4">
      <c r="A115" s="119"/>
      <c r="B115" s="1378" t="s">
        <v>900</v>
      </c>
      <c r="C115" s="1404" t="s">
        <v>1343</v>
      </c>
      <c r="D115" s="191" t="s">
        <v>48</v>
      </c>
      <c r="E115" s="188">
        <v>0.05</v>
      </c>
      <c r="F115" s="186">
        <v>10</v>
      </c>
      <c r="G115" s="134">
        <v>2</v>
      </c>
      <c r="H115" s="134">
        <v>2</v>
      </c>
      <c r="I115" s="134">
        <v>1</v>
      </c>
      <c r="J115" s="139">
        <f t="shared" si="141"/>
        <v>0.2</v>
      </c>
      <c r="K115" s="139">
        <f t="shared" si="123"/>
        <v>0.2</v>
      </c>
      <c r="L115" s="139">
        <f t="shared" si="142"/>
        <v>0.1</v>
      </c>
      <c r="M115" s="139">
        <f t="shared" si="143"/>
        <v>1.0000000000000002E-2</v>
      </c>
      <c r="N115" s="139">
        <f t="shared" si="124"/>
        <v>1.0000000000000002E-2</v>
      </c>
      <c r="O115" s="139"/>
      <c r="P115" s="134">
        <v>3</v>
      </c>
      <c r="Q115" s="496">
        <v>0</v>
      </c>
      <c r="R115" s="496">
        <v>4</v>
      </c>
      <c r="S115" s="496">
        <v>1</v>
      </c>
      <c r="T115" s="496">
        <v>0</v>
      </c>
      <c r="U115" s="496">
        <v>0</v>
      </c>
      <c r="V115" s="134">
        <f t="shared" si="140"/>
        <v>5</v>
      </c>
      <c r="W115" s="168">
        <f t="shared" si="150"/>
        <v>8</v>
      </c>
      <c r="X115" s="496">
        <v>0</v>
      </c>
      <c r="Y115" s="496">
        <v>0</v>
      </c>
      <c r="Z115" s="134"/>
      <c r="AA115" s="134"/>
      <c r="AB115" s="134">
        <f t="shared" si="134"/>
        <v>0</v>
      </c>
      <c r="AC115" s="156">
        <v>1</v>
      </c>
      <c r="AD115" s="156">
        <v>1</v>
      </c>
      <c r="AE115" s="156">
        <f t="shared" si="144"/>
        <v>0</v>
      </c>
      <c r="AF115" s="156">
        <f>+AC115*E115</f>
        <v>0.05</v>
      </c>
      <c r="AG115" s="156">
        <f t="shared" si="145"/>
        <v>0.05</v>
      </c>
      <c r="AH115" s="156">
        <f t="shared" si="146"/>
        <v>0</v>
      </c>
      <c r="AI115" s="156">
        <f>+P115/F115</f>
        <v>0.3</v>
      </c>
      <c r="AJ115" s="190">
        <v>0.8</v>
      </c>
      <c r="AK115" s="190">
        <f t="shared" si="147"/>
        <v>0.8</v>
      </c>
      <c r="AL115" s="190">
        <f>+AI115*E115</f>
        <v>1.4999999999999999E-2</v>
      </c>
      <c r="AM115" s="190">
        <f t="shared" si="148"/>
        <v>4.0000000000000008E-2</v>
      </c>
      <c r="AN115" s="190">
        <f t="shared" si="149"/>
        <v>4.0000000000000008E-2</v>
      </c>
      <c r="AO115" s="603" t="s">
        <v>1846</v>
      </c>
      <c r="AP115" s="526" t="s">
        <v>1888</v>
      </c>
      <c r="AQ115" s="526" t="s">
        <v>1990</v>
      </c>
      <c r="AR115" s="526" t="s">
        <v>2010</v>
      </c>
      <c r="AS115" s="526" t="s">
        <v>2108</v>
      </c>
      <c r="AT115" s="688" t="s">
        <v>2140</v>
      </c>
      <c r="AU115" s="522" t="s">
        <v>2199</v>
      </c>
      <c r="AV115" s="522" t="s">
        <v>1887</v>
      </c>
      <c r="AW115" s="522" t="s">
        <v>2294</v>
      </c>
    </row>
    <row r="116" spans="1:49" ht="64.95" customHeight="1" thickBot="1" x14ac:dyDescent="0.4">
      <c r="A116" s="119"/>
      <c r="B116" s="1378" t="s">
        <v>901</v>
      </c>
      <c r="C116" s="1404" t="s">
        <v>1344</v>
      </c>
      <c r="D116" s="191" t="s">
        <v>48</v>
      </c>
      <c r="E116" s="188">
        <v>0.1</v>
      </c>
      <c r="F116" s="186">
        <v>18</v>
      </c>
      <c r="G116" s="134">
        <v>7</v>
      </c>
      <c r="H116" s="134">
        <v>4</v>
      </c>
      <c r="I116" s="134">
        <v>2</v>
      </c>
      <c r="J116" s="139">
        <f>+G116/F116</f>
        <v>0.3888888888888889</v>
      </c>
      <c r="K116" s="139">
        <f t="shared" si="123"/>
        <v>0.22222222222222221</v>
      </c>
      <c r="L116" s="139">
        <f t="shared" si="142"/>
        <v>0.1111111111111111</v>
      </c>
      <c r="M116" s="139">
        <f t="shared" si="143"/>
        <v>3.888888888888889E-2</v>
      </c>
      <c r="N116" s="139">
        <f t="shared" si="124"/>
        <v>2.2222222222222223E-2</v>
      </c>
      <c r="O116" s="139"/>
      <c r="P116" s="134">
        <v>7</v>
      </c>
      <c r="Q116" s="496">
        <v>3</v>
      </c>
      <c r="R116" s="496">
        <v>1</v>
      </c>
      <c r="S116" s="496">
        <v>2</v>
      </c>
      <c r="T116" s="496">
        <v>1</v>
      </c>
      <c r="U116" s="496"/>
      <c r="V116" s="134">
        <f t="shared" si="140"/>
        <v>7</v>
      </c>
      <c r="W116" s="168">
        <f t="shared" si="150"/>
        <v>18</v>
      </c>
      <c r="X116" s="496">
        <v>0</v>
      </c>
      <c r="Y116" s="496">
        <v>4</v>
      </c>
      <c r="Z116" s="134"/>
      <c r="AA116" s="134"/>
      <c r="AB116" s="134">
        <f t="shared" si="134"/>
        <v>4</v>
      </c>
      <c r="AC116" s="156">
        <f>+(P116/G116)</f>
        <v>1</v>
      </c>
      <c r="AD116" s="156">
        <v>1</v>
      </c>
      <c r="AE116" s="156">
        <v>1</v>
      </c>
      <c r="AF116" s="156">
        <f>+AC116*E116</f>
        <v>0.1</v>
      </c>
      <c r="AG116" s="156">
        <f t="shared" si="145"/>
        <v>0.1</v>
      </c>
      <c r="AH116" s="156">
        <f t="shared" si="146"/>
        <v>0.1</v>
      </c>
      <c r="AI116" s="156">
        <f>+P116/F116</f>
        <v>0.3888888888888889</v>
      </c>
      <c r="AJ116" s="190">
        <v>0.77777777777777779</v>
      </c>
      <c r="AK116" s="190">
        <f t="shared" si="147"/>
        <v>1</v>
      </c>
      <c r="AL116" s="190">
        <f>+AI116*E116</f>
        <v>3.888888888888889E-2</v>
      </c>
      <c r="AM116" s="190">
        <f t="shared" si="148"/>
        <v>7.7777777777777779E-2</v>
      </c>
      <c r="AN116" s="190">
        <f t="shared" si="149"/>
        <v>0.1</v>
      </c>
      <c r="AO116" s="603" t="s">
        <v>1846</v>
      </c>
      <c r="AP116" s="526" t="s">
        <v>1890</v>
      </c>
      <c r="AQ116" s="526" t="s">
        <v>1990</v>
      </c>
      <c r="AR116" s="526" t="s">
        <v>2010</v>
      </c>
      <c r="AS116" s="526" t="s">
        <v>2108</v>
      </c>
      <c r="AT116" s="688" t="s">
        <v>2140</v>
      </c>
      <c r="AU116" s="522" t="s">
        <v>2199</v>
      </c>
      <c r="AV116" s="522" t="s">
        <v>1887</v>
      </c>
      <c r="AW116" s="522" t="s">
        <v>2294</v>
      </c>
    </row>
    <row r="117" spans="1:49" ht="156.6" customHeight="1" thickBot="1" x14ac:dyDescent="0.4">
      <c r="A117" s="1407"/>
      <c r="B117" s="1378" t="s">
        <v>902</v>
      </c>
      <c r="C117" s="1404" t="s">
        <v>1345</v>
      </c>
      <c r="D117" s="191" t="s">
        <v>1541</v>
      </c>
      <c r="E117" s="188">
        <v>0.05</v>
      </c>
      <c r="F117" s="186">
        <v>20</v>
      </c>
      <c r="G117" s="134">
        <v>0</v>
      </c>
      <c r="H117" s="134">
        <v>5.25</v>
      </c>
      <c r="I117" s="134">
        <f>9.75+8.5</f>
        <v>18.25</v>
      </c>
      <c r="J117" s="139"/>
      <c r="K117" s="139">
        <f t="shared" si="123"/>
        <v>0.26250000000000001</v>
      </c>
      <c r="L117" s="139">
        <f t="shared" si="142"/>
        <v>0.91249999999999998</v>
      </c>
      <c r="M117" s="139"/>
      <c r="N117" s="139">
        <f t="shared" si="124"/>
        <v>1.3125000000000001E-2</v>
      </c>
      <c r="O117" s="139"/>
      <c r="P117" s="134"/>
      <c r="Q117" s="496">
        <v>0.1</v>
      </c>
      <c r="R117" s="496">
        <v>0.15</v>
      </c>
      <c r="S117" s="496">
        <v>0</v>
      </c>
      <c r="T117" s="496">
        <v>1.5</v>
      </c>
      <c r="U117" s="496">
        <v>0</v>
      </c>
      <c r="V117" s="134">
        <f t="shared" si="140"/>
        <v>1.75</v>
      </c>
      <c r="W117" s="168">
        <f t="shared" si="150"/>
        <v>1.75</v>
      </c>
      <c r="X117" s="496">
        <v>0</v>
      </c>
      <c r="Y117" s="496">
        <v>0</v>
      </c>
      <c r="Z117" s="134"/>
      <c r="AA117" s="134"/>
      <c r="AB117" s="134">
        <f t="shared" si="134"/>
        <v>0</v>
      </c>
      <c r="AC117" s="156"/>
      <c r="AD117" s="156">
        <f>+V117/H117</f>
        <v>0.33333333333333331</v>
      </c>
      <c r="AE117" s="156">
        <f t="shared" si="144"/>
        <v>0</v>
      </c>
      <c r="AF117" s="156"/>
      <c r="AG117" s="156">
        <f t="shared" si="145"/>
        <v>1.6666666666666666E-2</v>
      </c>
      <c r="AH117" s="156">
        <f t="shared" si="146"/>
        <v>0</v>
      </c>
      <c r="AI117" s="156"/>
      <c r="AJ117" s="190">
        <v>8.7499999999999994E-2</v>
      </c>
      <c r="AK117" s="190">
        <f t="shared" si="147"/>
        <v>8.7499999999999994E-2</v>
      </c>
      <c r="AL117" s="190">
        <v>0</v>
      </c>
      <c r="AM117" s="190">
        <f t="shared" si="148"/>
        <v>4.3749999999999995E-3</v>
      </c>
      <c r="AN117" s="190">
        <f t="shared" si="149"/>
        <v>4.3749999999999995E-3</v>
      </c>
      <c r="AO117" s="603" t="s">
        <v>1851</v>
      </c>
      <c r="AP117" s="528" t="s">
        <v>1894</v>
      </c>
      <c r="AQ117" s="526" t="s">
        <v>1996</v>
      </c>
      <c r="AR117" s="526" t="s">
        <v>2016</v>
      </c>
      <c r="AS117" s="640" t="s">
        <v>2150</v>
      </c>
      <c r="AT117" s="688" t="s">
        <v>2140</v>
      </c>
      <c r="AU117" s="522" t="s">
        <v>2199</v>
      </c>
      <c r="AV117" s="528" t="s">
        <v>2253</v>
      </c>
      <c r="AW117" s="522" t="s">
        <v>2294</v>
      </c>
    </row>
    <row r="118" spans="1:49" ht="67.2" customHeight="1" thickBot="1" x14ac:dyDescent="0.4">
      <c r="A118" s="119"/>
      <c r="B118" s="1378" t="s">
        <v>903</v>
      </c>
      <c r="C118" s="1404" t="s">
        <v>1346</v>
      </c>
      <c r="D118" s="191" t="s">
        <v>48</v>
      </c>
      <c r="E118" s="188">
        <v>0.1</v>
      </c>
      <c r="F118" s="186">
        <v>119</v>
      </c>
      <c r="G118" s="134">
        <v>57</v>
      </c>
      <c r="H118" s="134">
        <v>62</v>
      </c>
      <c r="I118" s="134"/>
      <c r="J118" s="139">
        <f t="shared" si="141"/>
        <v>0.47899159663865548</v>
      </c>
      <c r="K118" s="139">
        <f t="shared" si="123"/>
        <v>0.52100840336134457</v>
      </c>
      <c r="L118" s="139"/>
      <c r="M118" s="139">
        <f t="shared" si="143"/>
        <v>4.789915966386555E-2</v>
      </c>
      <c r="N118" s="139">
        <f t="shared" si="124"/>
        <v>5.2100840336134463E-2</v>
      </c>
      <c r="O118" s="139"/>
      <c r="P118" s="134">
        <v>57</v>
      </c>
      <c r="Q118" s="496">
        <v>0</v>
      </c>
      <c r="R118" s="496">
        <v>0</v>
      </c>
      <c r="S118" s="496">
        <v>0</v>
      </c>
      <c r="T118" s="496">
        <v>0</v>
      </c>
      <c r="U118" s="496">
        <v>62</v>
      </c>
      <c r="V118" s="134">
        <f t="shared" si="140"/>
        <v>62</v>
      </c>
      <c r="W118" s="168">
        <f t="shared" si="150"/>
        <v>119</v>
      </c>
      <c r="X118" s="496"/>
      <c r="Y118" s="496">
        <v>0</v>
      </c>
      <c r="Z118" s="134"/>
      <c r="AA118" s="134"/>
      <c r="AB118" s="134">
        <f t="shared" si="134"/>
        <v>0</v>
      </c>
      <c r="AC118" s="156">
        <f>+(P118/G118)</f>
        <v>1</v>
      </c>
      <c r="AD118" s="156">
        <f>+V118/H118</f>
        <v>1</v>
      </c>
      <c r="AE118" s="156"/>
      <c r="AF118" s="156">
        <f>+AC118*E118</f>
        <v>0.1</v>
      </c>
      <c r="AG118" s="156">
        <f t="shared" si="145"/>
        <v>0.1</v>
      </c>
      <c r="AH118" s="156">
        <f t="shared" si="146"/>
        <v>0</v>
      </c>
      <c r="AI118" s="156">
        <f>+P118/F118</f>
        <v>0.47899159663865548</v>
      </c>
      <c r="AJ118" s="190">
        <v>1</v>
      </c>
      <c r="AK118" s="190">
        <f t="shared" si="147"/>
        <v>1</v>
      </c>
      <c r="AL118" s="190">
        <f>+AI118*E118</f>
        <v>4.789915966386555E-2</v>
      </c>
      <c r="AM118" s="190">
        <f t="shared" si="148"/>
        <v>0.1</v>
      </c>
      <c r="AN118" s="190">
        <f t="shared" si="149"/>
        <v>0.1</v>
      </c>
      <c r="AO118" s="603" t="s">
        <v>1846</v>
      </c>
      <c r="AP118" s="526" t="s">
        <v>1886</v>
      </c>
      <c r="AQ118" s="526" t="s">
        <v>1990</v>
      </c>
      <c r="AR118" s="526" t="s">
        <v>2010</v>
      </c>
      <c r="AS118" s="526" t="s">
        <v>2108</v>
      </c>
      <c r="AT118" s="688" t="s">
        <v>2140</v>
      </c>
      <c r="AU118" s="522" t="s">
        <v>2199</v>
      </c>
      <c r="AV118" s="522" t="s">
        <v>1887</v>
      </c>
      <c r="AW118" s="522" t="s">
        <v>2294</v>
      </c>
    </row>
    <row r="119" spans="1:49" ht="121.2" customHeight="1" thickBot="1" x14ac:dyDescent="0.4">
      <c r="A119" s="119"/>
      <c r="B119" s="1378" t="s">
        <v>904</v>
      </c>
      <c r="C119" s="1404" t="s">
        <v>1347</v>
      </c>
      <c r="D119" s="191" t="s">
        <v>48</v>
      </c>
      <c r="E119" s="188">
        <v>0.1</v>
      </c>
      <c r="F119" s="186">
        <v>60</v>
      </c>
      <c r="G119" s="134">
        <v>0</v>
      </c>
      <c r="H119" s="134">
        <v>60</v>
      </c>
      <c r="I119" s="134"/>
      <c r="J119" s="139"/>
      <c r="K119" s="139">
        <f t="shared" si="123"/>
        <v>1</v>
      </c>
      <c r="L119" s="139"/>
      <c r="M119" s="139"/>
      <c r="N119" s="139">
        <f t="shared" si="124"/>
        <v>0.1</v>
      </c>
      <c r="O119" s="139"/>
      <c r="P119" s="134"/>
      <c r="Q119" s="496">
        <v>0</v>
      </c>
      <c r="R119" s="496">
        <v>0</v>
      </c>
      <c r="S119" s="496">
        <v>0</v>
      </c>
      <c r="T119" s="496">
        <v>0</v>
      </c>
      <c r="U119" s="496">
        <v>60</v>
      </c>
      <c r="V119" s="134">
        <f t="shared" si="140"/>
        <v>60</v>
      </c>
      <c r="W119" s="168">
        <f t="shared" si="150"/>
        <v>60</v>
      </c>
      <c r="X119" s="134"/>
      <c r="Y119" s="134"/>
      <c r="Z119" s="134"/>
      <c r="AA119" s="134"/>
      <c r="AB119" s="134">
        <f t="shared" si="134"/>
        <v>0</v>
      </c>
      <c r="AC119" s="156"/>
      <c r="AD119" s="156">
        <f>+V119/H119</f>
        <v>1</v>
      </c>
      <c r="AE119" s="156"/>
      <c r="AF119" s="156"/>
      <c r="AG119" s="156">
        <f t="shared" si="145"/>
        <v>0.1</v>
      </c>
      <c r="AH119" s="156">
        <f t="shared" si="146"/>
        <v>0</v>
      </c>
      <c r="AI119" s="156"/>
      <c r="AJ119" s="190">
        <v>1</v>
      </c>
      <c r="AK119" s="190">
        <f t="shared" si="147"/>
        <v>1</v>
      </c>
      <c r="AL119" s="190">
        <f>+AI119*E119</f>
        <v>0</v>
      </c>
      <c r="AM119" s="190">
        <f t="shared" si="148"/>
        <v>0.1</v>
      </c>
      <c r="AN119" s="190">
        <f t="shared" si="149"/>
        <v>0.1</v>
      </c>
      <c r="AO119" s="603" t="s">
        <v>1852</v>
      </c>
      <c r="AP119" s="599" t="s">
        <v>1913</v>
      </c>
      <c r="AQ119" s="628" t="s">
        <v>1990</v>
      </c>
      <c r="AR119" s="526" t="s">
        <v>2010</v>
      </c>
      <c r="AS119" s="526" t="s">
        <v>2108</v>
      </c>
      <c r="AT119" s="688" t="s">
        <v>2140</v>
      </c>
      <c r="AU119" s="522" t="s">
        <v>2199</v>
      </c>
      <c r="AV119" s="522" t="s">
        <v>1887</v>
      </c>
      <c r="AW119" s="522" t="s">
        <v>2294</v>
      </c>
    </row>
    <row r="120" spans="1:49" ht="73.2" customHeight="1" thickBot="1" x14ac:dyDescent="0.4">
      <c r="A120" s="119"/>
      <c r="B120" s="1378" t="s">
        <v>905</v>
      </c>
      <c r="C120" s="1404" t="s">
        <v>1348</v>
      </c>
      <c r="D120" s="191" t="s">
        <v>48</v>
      </c>
      <c r="E120" s="188">
        <v>0.05</v>
      </c>
      <c r="F120" s="186">
        <v>1</v>
      </c>
      <c r="G120" s="134">
        <v>0.5</v>
      </c>
      <c r="H120" s="134">
        <v>0.5</v>
      </c>
      <c r="I120" s="134">
        <v>0.2</v>
      </c>
      <c r="J120" s="139">
        <f t="shared" si="141"/>
        <v>0.5</v>
      </c>
      <c r="K120" s="139">
        <f t="shared" si="123"/>
        <v>0.5</v>
      </c>
      <c r="L120" s="139">
        <f t="shared" si="142"/>
        <v>0.2</v>
      </c>
      <c r="M120" s="139">
        <f t="shared" si="143"/>
        <v>2.5000000000000001E-2</v>
      </c>
      <c r="N120" s="139">
        <f t="shared" si="124"/>
        <v>2.5000000000000001E-2</v>
      </c>
      <c r="O120" s="139"/>
      <c r="P120" s="134">
        <v>0.5</v>
      </c>
      <c r="Q120" s="496">
        <v>0</v>
      </c>
      <c r="R120" s="496">
        <v>0.3</v>
      </c>
      <c r="S120" s="496">
        <v>0</v>
      </c>
      <c r="T120" s="496">
        <v>0</v>
      </c>
      <c r="U120" s="496">
        <v>0</v>
      </c>
      <c r="V120" s="134">
        <f t="shared" si="140"/>
        <v>0.3</v>
      </c>
      <c r="W120" s="168">
        <f t="shared" si="150"/>
        <v>1</v>
      </c>
      <c r="X120" s="496">
        <v>0</v>
      </c>
      <c r="Y120" s="134">
        <v>0.2</v>
      </c>
      <c r="Z120" s="134"/>
      <c r="AA120" s="134"/>
      <c r="AB120" s="134">
        <f t="shared" si="134"/>
        <v>0.2</v>
      </c>
      <c r="AC120" s="156">
        <f>+(P120/G120)</f>
        <v>1</v>
      </c>
      <c r="AD120" s="156">
        <f>+V120/H120</f>
        <v>0.6</v>
      </c>
      <c r="AE120" s="156">
        <f t="shared" si="144"/>
        <v>1</v>
      </c>
      <c r="AF120" s="156">
        <f>+AC120*E120</f>
        <v>0.05</v>
      </c>
      <c r="AG120" s="156">
        <f t="shared" si="145"/>
        <v>0.03</v>
      </c>
      <c r="AH120" s="156">
        <f t="shared" si="146"/>
        <v>0.05</v>
      </c>
      <c r="AI120" s="156">
        <f>+P120/F120</f>
        <v>0.5</v>
      </c>
      <c r="AJ120" s="190">
        <v>0.8</v>
      </c>
      <c r="AK120" s="190">
        <f t="shared" si="147"/>
        <v>1</v>
      </c>
      <c r="AL120" s="190">
        <f>+AI120*E120</f>
        <v>2.5000000000000001E-2</v>
      </c>
      <c r="AM120" s="190">
        <f t="shared" si="148"/>
        <v>4.0000000000000008E-2</v>
      </c>
      <c r="AN120" s="190">
        <f t="shared" si="149"/>
        <v>0.05</v>
      </c>
      <c r="AO120" s="603" t="s">
        <v>1846</v>
      </c>
      <c r="AP120" s="526" t="s">
        <v>1890</v>
      </c>
      <c r="AQ120" s="526" t="s">
        <v>1990</v>
      </c>
      <c r="AR120" s="526" t="s">
        <v>2010</v>
      </c>
      <c r="AS120" s="526" t="s">
        <v>2108</v>
      </c>
      <c r="AT120" s="688" t="s">
        <v>2140</v>
      </c>
      <c r="AU120" s="522" t="s">
        <v>2199</v>
      </c>
      <c r="AV120" s="522" t="s">
        <v>1887</v>
      </c>
      <c r="AW120" s="522" t="s">
        <v>2294</v>
      </c>
    </row>
    <row r="121" spans="1:49" ht="57" customHeight="1" thickBot="1" x14ac:dyDescent="0.4">
      <c r="A121" s="119"/>
      <c r="B121" s="1376" t="s">
        <v>1742</v>
      </c>
      <c r="C121" s="1412"/>
      <c r="D121" s="191"/>
      <c r="E121" s="192">
        <v>0.2</v>
      </c>
      <c r="F121" s="186"/>
      <c r="G121" s="127"/>
      <c r="H121" s="127"/>
      <c r="I121" s="127"/>
      <c r="J121" s="133">
        <f>+AVERAGE(J122:J134)</f>
        <v>0.54700386369463794</v>
      </c>
      <c r="K121" s="133">
        <f>+AVERAGE(K122:K134)</f>
        <v>0.43195311912999895</v>
      </c>
      <c r="L121" s="133">
        <f>+AVERAGE(L122:L134)</f>
        <v>0.34986475303383169</v>
      </c>
      <c r="M121" s="133">
        <f>+M122+M123+M124+M125+M126+M127+M128+M129+M130+M131+M132+M133+M134</f>
        <v>0.30325135229312328</v>
      </c>
      <c r="N121" s="133">
        <f>+N122+N123+N124+N125+N126+N127+N128+N129+N130+N131+N132+N133+N134</f>
        <v>0.39777655956499952</v>
      </c>
      <c r="O121" s="133"/>
      <c r="P121" s="132"/>
      <c r="Q121" s="132"/>
      <c r="R121" s="132"/>
      <c r="S121" s="132"/>
      <c r="T121" s="132"/>
      <c r="U121" s="839"/>
      <c r="V121" s="134"/>
      <c r="W121" s="693"/>
      <c r="X121" s="693"/>
      <c r="Y121" s="693"/>
      <c r="Z121" s="693"/>
      <c r="AA121" s="693"/>
      <c r="AB121" s="1408"/>
      <c r="AC121" s="154">
        <f>+AVERAGE(AC122:AC134)</f>
        <v>0.97282973157946084</v>
      </c>
      <c r="AD121" s="154">
        <f>+AVERAGE(AD122:AD134)</f>
        <v>0.72812464205106042</v>
      </c>
      <c r="AE121" s="154">
        <f>+AVERAGE(AE122:AE134)</f>
        <v>0.37147023130735424</v>
      </c>
      <c r="AF121" s="154">
        <f>+(AF122+AF123+AF124+AF125+AF126+AF127+AF128+AF129+AF130+AF131+AF132+AF133+AF134)*E121</f>
        <v>0.10009808121056228</v>
      </c>
      <c r="AG121" s="154">
        <f>+(AG122+AG123+AG124+AG125+AG126+AG127+AG128+AG129+AG130+AG131+AG132+AG133+AG134)*E121</f>
        <v>6.6249971364084836E-2</v>
      </c>
      <c r="AH121" s="154">
        <f>+(AH122+AH123+AH124+AH125+AH126+AH127+AH128+AH129+AH130+AH131+AH132+AH133+AH134)*E121</f>
        <v>1.8647023130735421E-2</v>
      </c>
      <c r="AI121" s="133">
        <f>+AVERAGE(AI122:AI134)</f>
        <v>0.59622372041307181</v>
      </c>
      <c r="AJ121" s="133">
        <v>0.68896444990423822</v>
      </c>
      <c r="AK121" s="133">
        <f>+AVERAGE(AK122:AK134)</f>
        <v>0.73886539017225916</v>
      </c>
      <c r="AL121" s="183">
        <f>+(AL122+AL123+AL124+AL125+AL126+AL127+AL128+AL129+AL130+AL131+AL132+AL133+AL134)*E121</f>
        <v>6.2055660428915041E-2</v>
      </c>
      <c r="AM121" s="183">
        <f>+(AM122+AM123+AM124+AM125+AM126+AM127+AM128+AM129+AM130+AM131+AM132+AM133+AM134)</f>
        <v>0.57233044744733119</v>
      </c>
      <c r="AN121" s="183">
        <f>+(AN122+AN123+AN124+AN125+AN126+AN127+AN128+AN129+AN130+AN131+AN132+AN133+AN134)</f>
        <v>0.58557596459474259</v>
      </c>
      <c r="AO121" s="770"/>
      <c r="AP121" s="490"/>
      <c r="AQ121" s="490"/>
      <c r="AR121" s="490"/>
      <c r="AS121" s="490"/>
      <c r="AT121" s="984"/>
      <c r="AU121" s="490"/>
      <c r="AV121" s="490"/>
    </row>
    <row r="122" spans="1:49" ht="42.6" customHeight="1" thickBot="1" x14ac:dyDescent="0.4">
      <c r="A122" s="119"/>
      <c r="B122" s="1378" t="s">
        <v>906</v>
      </c>
      <c r="C122" s="1404" t="s">
        <v>1349</v>
      </c>
      <c r="D122" s="184" t="s">
        <v>907</v>
      </c>
      <c r="E122" s="188">
        <v>0.2</v>
      </c>
      <c r="F122" s="186">
        <v>18</v>
      </c>
      <c r="G122" s="134">
        <v>18</v>
      </c>
      <c r="H122" s="134"/>
      <c r="I122" s="134">
        <v>18</v>
      </c>
      <c r="J122" s="139">
        <f t="shared" ref="J122:J134" si="151">+G122/F122</f>
        <v>1</v>
      </c>
      <c r="K122" s="139"/>
      <c r="L122" s="139"/>
      <c r="M122" s="139">
        <f t="shared" ref="M122:M134" si="152">+(G122/F122)*E122</f>
        <v>0.2</v>
      </c>
      <c r="N122" s="139"/>
      <c r="O122" s="139"/>
      <c r="P122" s="134">
        <v>18</v>
      </c>
      <c r="Q122" s="496"/>
      <c r="R122" s="496"/>
      <c r="S122" s="496"/>
      <c r="T122" s="496"/>
      <c r="U122" s="496"/>
      <c r="V122" s="134">
        <f t="shared" si="140"/>
        <v>0</v>
      </c>
      <c r="W122" s="134">
        <f>+V122+P122+AB122</f>
        <v>18</v>
      </c>
      <c r="X122" s="496"/>
      <c r="Y122" s="496">
        <v>0</v>
      </c>
      <c r="Z122" s="134"/>
      <c r="AA122" s="134"/>
      <c r="AB122" s="134">
        <f t="shared" si="134"/>
        <v>0</v>
      </c>
      <c r="AC122" s="156">
        <f>+(P122/G122)</f>
        <v>1</v>
      </c>
      <c r="AD122" s="156"/>
      <c r="AE122" s="156">
        <f t="shared" ref="AE122:AE134" si="153">+AB122/I122</f>
        <v>0</v>
      </c>
      <c r="AF122" s="156">
        <f>+AC122*E122</f>
        <v>0.2</v>
      </c>
      <c r="AG122" s="156"/>
      <c r="AH122" s="156">
        <f t="shared" ref="AH122:AH134" si="154">+AE122*E122</f>
        <v>0</v>
      </c>
      <c r="AI122" s="156">
        <f>+P122/F122</f>
        <v>1</v>
      </c>
      <c r="AJ122" s="190">
        <v>1</v>
      </c>
      <c r="AK122" s="190">
        <f t="shared" ref="AK122:AK134" si="155">+W122/F122</f>
        <v>1</v>
      </c>
      <c r="AL122" s="190">
        <f>+AI122*E122</f>
        <v>0.2</v>
      </c>
      <c r="AM122" s="190">
        <f t="shared" ref="AM122:AM134" si="156">+AJ122*E122</f>
        <v>0.2</v>
      </c>
      <c r="AN122" s="190">
        <f t="shared" ref="AN122:AN134" si="157">+AK122*E122</f>
        <v>0.2</v>
      </c>
      <c r="AO122" s="688" t="s">
        <v>1586</v>
      </c>
      <c r="AP122" s="490"/>
      <c r="AQ122" s="490"/>
      <c r="AR122" s="526" t="s">
        <v>2010</v>
      </c>
      <c r="AS122" s="526" t="s">
        <v>2108</v>
      </c>
      <c r="AT122" s="688" t="s">
        <v>2140</v>
      </c>
      <c r="AU122" s="526" t="s">
        <v>2199</v>
      </c>
      <c r="AV122" s="522" t="s">
        <v>1887</v>
      </c>
    </row>
    <row r="123" spans="1:49" ht="51.6" customHeight="1" thickBot="1" x14ac:dyDescent="0.4">
      <c r="A123" s="119"/>
      <c r="B123" s="1378" t="s">
        <v>908</v>
      </c>
      <c r="C123" s="1404" t="s">
        <v>1350</v>
      </c>
      <c r="D123" s="184" t="s">
        <v>907</v>
      </c>
      <c r="E123" s="188">
        <v>0.2</v>
      </c>
      <c r="F123" s="186">
        <v>1</v>
      </c>
      <c r="G123" s="134">
        <v>0</v>
      </c>
      <c r="H123" s="134">
        <v>1</v>
      </c>
      <c r="I123" s="134">
        <v>0</v>
      </c>
      <c r="J123" s="139"/>
      <c r="K123" s="139">
        <f t="shared" si="123"/>
        <v>1</v>
      </c>
      <c r="L123" s="139"/>
      <c r="M123" s="139"/>
      <c r="N123" s="139">
        <f t="shared" si="124"/>
        <v>0.2</v>
      </c>
      <c r="O123" s="139"/>
      <c r="P123" s="134"/>
      <c r="Q123" s="496">
        <v>0.8</v>
      </c>
      <c r="R123" s="496">
        <v>0.2</v>
      </c>
      <c r="S123" s="496">
        <v>0</v>
      </c>
      <c r="T123" s="496"/>
      <c r="U123" s="496"/>
      <c r="V123" s="168">
        <f t="shared" si="140"/>
        <v>1</v>
      </c>
      <c r="W123" s="134">
        <f t="shared" ref="W123:W132" si="158">+V123+P123+AB123</f>
        <v>2</v>
      </c>
      <c r="X123" s="497">
        <v>0.8</v>
      </c>
      <c r="Y123" s="497">
        <v>0.2</v>
      </c>
      <c r="Z123" s="168"/>
      <c r="AA123" s="168"/>
      <c r="AB123" s="168">
        <f t="shared" si="134"/>
        <v>1</v>
      </c>
      <c r="AC123" s="156"/>
      <c r="AD123" s="156">
        <f>+V123/H123</f>
        <v>1</v>
      </c>
      <c r="AE123" s="156"/>
      <c r="AF123" s="156"/>
      <c r="AG123" s="156">
        <f>+AD123*E123</f>
        <v>0.2</v>
      </c>
      <c r="AH123" s="156">
        <f t="shared" si="154"/>
        <v>0</v>
      </c>
      <c r="AI123" s="156"/>
      <c r="AJ123" s="190">
        <v>1</v>
      </c>
      <c r="AK123" s="190">
        <v>1</v>
      </c>
      <c r="AL123" s="190"/>
      <c r="AM123" s="190">
        <f t="shared" si="156"/>
        <v>0.2</v>
      </c>
      <c r="AN123" s="190">
        <f t="shared" si="157"/>
        <v>0.2</v>
      </c>
      <c r="AO123" s="688" t="s">
        <v>1586</v>
      </c>
      <c r="AP123" s="526" t="s">
        <v>1890</v>
      </c>
      <c r="AQ123" s="526" t="s">
        <v>1990</v>
      </c>
      <c r="AR123" s="526" t="s">
        <v>2010</v>
      </c>
      <c r="AS123" s="526" t="s">
        <v>2108</v>
      </c>
      <c r="AT123" s="688" t="s">
        <v>2140</v>
      </c>
      <c r="AU123" s="526" t="s">
        <v>2199</v>
      </c>
      <c r="AV123" s="522" t="s">
        <v>1887</v>
      </c>
    </row>
    <row r="124" spans="1:49" ht="108.6" customHeight="1" thickBot="1" x14ac:dyDescent="0.4">
      <c r="A124" s="119"/>
      <c r="B124" s="1378" t="s">
        <v>909</v>
      </c>
      <c r="C124" s="1404" t="s">
        <v>1351</v>
      </c>
      <c r="D124" s="184" t="s">
        <v>907</v>
      </c>
      <c r="E124" s="188">
        <v>0.1</v>
      </c>
      <c r="F124" s="186">
        <v>1</v>
      </c>
      <c r="G124" s="134">
        <v>0</v>
      </c>
      <c r="H124" s="134">
        <v>1</v>
      </c>
      <c r="I124" s="134">
        <v>0</v>
      </c>
      <c r="J124" s="139"/>
      <c r="K124" s="139">
        <f t="shared" si="123"/>
        <v>1</v>
      </c>
      <c r="L124" s="139"/>
      <c r="M124" s="139"/>
      <c r="N124" s="139">
        <f t="shared" si="124"/>
        <v>0.1</v>
      </c>
      <c r="O124" s="139"/>
      <c r="P124" s="134"/>
      <c r="Q124" s="496">
        <v>0</v>
      </c>
      <c r="R124" s="496">
        <v>0</v>
      </c>
      <c r="S124" s="496">
        <v>0</v>
      </c>
      <c r="T124" s="496">
        <v>0</v>
      </c>
      <c r="U124" s="195"/>
      <c r="V124" s="134">
        <f t="shared" si="140"/>
        <v>0</v>
      </c>
      <c r="W124" s="134">
        <f t="shared" si="158"/>
        <v>0</v>
      </c>
      <c r="X124" s="496"/>
      <c r="Y124" s="496"/>
      <c r="Z124" s="134"/>
      <c r="AA124" s="134"/>
      <c r="AB124" s="134">
        <f>+X124+Y124+Z124+AA124</f>
        <v>0</v>
      </c>
      <c r="AC124" s="156"/>
      <c r="AD124" s="156">
        <f>+V124/H124</f>
        <v>0</v>
      </c>
      <c r="AE124" s="156"/>
      <c r="AF124" s="156"/>
      <c r="AG124" s="156">
        <f>+AD124*E124</f>
        <v>0</v>
      </c>
      <c r="AH124" s="156">
        <f t="shared" si="154"/>
        <v>0</v>
      </c>
      <c r="AI124" s="156"/>
      <c r="AJ124" s="190">
        <v>0</v>
      </c>
      <c r="AK124" s="190">
        <f t="shared" si="155"/>
        <v>0</v>
      </c>
      <c r="AL124" s="190"/>
      <c r="AM124" s="190">
        <f t="shared" si="156"/>
        <v>0</v>
      </c>
      <c r="AN124" s="190">
        <f t="shared" si="157"/>
        <v>0</v>
      </c>
      <c r="AO124" s="603" t="s">
        <v>1846</v>
      </c>
      <c r="AP124" s="599" t="s">
        <v>1913</v>
      </c>
      <c r="AQ124" s="526" t="s">
        <v>1990</v>
      </c>
      <c r="AR124" s="526" t="s">
        <v>2010</v>
      </c>
      <c r="AS124" s="526" t="s">
        <v>2108</v>
      </c>
      <c r="AT124" s="688" t="s">
        <v>2140</v>
      </c>
      <c r="AU124" s="599" t="s">
        <v>2026</v>
      </c>
      <c r="AV124" s="522" t="s">
        <v>1887</v>
      </c>
    </row>
    <row r="125" spans="1:49" ht="78.599999999999994" customHeight="1" thickBot="1" x14ac:dyDescent="0.4">
      <c r="A125" s="119"/>
      <c r="B125" s="1378" t="s">
        <v>910</v>
      </c>
      <c r="C125" s="1404" t="s">
        <v>1352</v>
      </c>
      <c r="D125" s="184" t="s">
        <v>907</v>
      </c>
      <c r="E125" s="188">
        <v>0.03</v>
      </c>
      <c r="F125" s="186">
        <v>1</v>
      </c>
      <c r="G125" s="134">
        <v>1</v>
      </c>
      <c r="H125" s="134">
        <v>0</v>
      </c>
      <c r="I125" s="134">
        <v>1</v>
      </c>
      <c r="J125" s="139">
        <f t="shared" si="151"/>
        <v>1</v>
      </c>
      <c r="K125" s="139"/>
      <c r="L125" s="139"/>
      <c r="M125" s="139">
        <f t="shared" si="152"/>
        <v>0.03</v>
      </c>
      <c r="N125" s="139"/>
      <c r="O125" s="139"/>
      <c r="P125" s="134">
        <v>1</v>
      </c>
      <c r="Q125" s="496"/>
      <c r="R125" s="496"/>
      <c r="S125" s="496"/>
      <c r="T125" s="496"/>
      <c r="U125" s="496"/>
      <c r="V125" s="134">
        <f t="shared" si="140"/>
        <v>0</v>
      </c>
      <c r="W125" s="134">
        <f t="shared" si="158"/>
        <v>2</v>
      </c>
      <c r="X125" s="496">
        <v>1</v>
      </c>
      <c r="Y125" s="496"/>
      <c r="Z125" s="134"/>
      <c r="AA125" s="134"/>
      <c r="AB125" s="134">
        <f t="shared" si="134"/>
        <v>1</v>
      </c>
      <c r="AC125" s="156">
        <f>+(P125/G125)</f>
        <v>1</v>
      </c>
      <c r="AD125" s="156"/>
      <c r="AE125" s="156">
        <f t="shared" si="153"/>
        <v>1</v>
      </c>
      <c r="AF125" s="156">
        <f>+AC125*E125</f>
        <v>0.03</v>
      </c>
      <c r="AG125" s="156"/>
      <c r="AH125" s="156">
        <f t="shared" si="154"/>
        <v>0.03</v>
      </c>
      <c r="AI125" s="156">
        <f>+P125/F125</f>
        <v>1</v>
      </c>
      <c r="AJ125" s="190">
        <v>1</v>
      </c>
      <c r="AK125" s="190">
        <v>1</v>
      </c>
      <c r="AL125" s="190">
        <f>+AI125*E125</f>
        <v>0.03</v>
      </c>
      <c r="AM125" s="190">
        <f t="shared" si="156"/>
        <v>0.03</v>
      </c>
      <c r="AN125" s="190">
        <f t="shared" si="157"/>
        <v>0.03</v>
      </c>
      <c r="AO125" s="688" t="s">
        <v>1586</v>
      </c>
      <c r="AP125" s="599" t="s">
        <v>1968</v>
      </c>
      <c r="AQ125" s="526" t="s">
        <v>1990</v>
      </c>
      <c r="AR125" s="599" t="s">
        <v>2027</v>
      </c>
      <c r="AS125" s="526" t="s">
        <v>2108</v>
      </c>
      <c r="AT125" s="688" t="s">
        <v>2140</v>
      </c>
      <c r="AU125" s="599" t="s">
        <v>2026</v>
      </c>
      <c r="AV125" s="522" t="s">
        <v>1887</v>
      </c>
    </row>
    <row r="126" spans="1:49" ht="61.8" customHeight="1" thickBot="1" x14ac:dyDescent="0.4">
      <c r="A126" s="119"/>
      <c r="B126" s="1378" t="s">
        <v>911</v>
      </c>
      <c r="C126" s="1404" t="s">
        <v>1353</v>
      </c>
      <c r="D126" s="184" t="s">
        <v>907</v>
      </c>
      <c r="E126" s="188">
        <v>0.1</v>
      </c>
      <c r="F126" s="186">
        <v>482</v>
      </c>
      <c r="G126" s="134">
        <v>0</v>
      </c>
      <c r="H126" s="134">
        <v>0</v>
      </c>
      <c r="I126" s="134">
        <v>300</v>
      </c>
      <c r="J126" s="139"/>
      <c r="K126" s="139">
        <f t="shared" si="123"/>
        <v>0</v>
      </c>
      <c r="L126" s="139">
        <f t="shared" ref="L126:L131" si="159">+I126/F126</f>
        <v>0.62240663900414939</v>
      </c>
      <c r="M126" s="139"/>
      <c r="N126" s="139">
        <f t="shared" si="124"/>
        <v>0</v>
      </c>
      <c r="O126" s="139"/>
      <c r="P126" s="134"/>
      <c r="Q126" s="496"/>
      <c r="R126" s="134"/>
      <c r="S126" s="134"/>
      <c r="T126" s="134"/>
      <c r="U126" s="195"/>
      <c r="V126" s="134">
        <f t="shared" si="140"/>
        <v>0</v>
      </c>
      <c r="W126" s="134">
        <f t="shared" si="158"/>
        <v>0</v>
      </c>
      <c r="X126" s="496">
        <v>0</v>
      </c>
      <c r="Y126" s="496">
        <v>0</v>
      </c>
      <c r="Z126" s="134"/>
      <c r="AA126" s="134"/>
      <c r="AB126" s="134">
        <f t="shared" si="134"/>
        <v>0</v>
      </c>
      <c r="AC126" s="156"/>
      <c r="AD126" s="156"/>
      <c r="AE126" s="156">
        <f t="shared" si="153"/>
        <v>0</v>
      </c>
      <c r="AF126" s="156"/>
      <c r="AG126" s="156"/>
      <c r="AH126" s="156">
        <f>+AE126*E126</f>
        <v>0</v>
      </c>
      <c r="AI126" s="156"/>
      <c r="AJ126" s="190"/>
      <c r="AK126" s="190"/>
      <c r="AL126" s="190"/>
      <c r="AM126" s="190">
        <f t="shared" si="156"/>
        <v>0</v>
      </c>
      <c r="AN126" s="190">
        <f t="shared" si="157"/>
        <v>0</v>
      </c>
      <c r="AO126" s="603" t="s">
        <v>1846</v>
      </c>
      <c r="AP126" s="599" t="s">
        <v>1969</v>
      </c>
      <c r="AQ126" s="490"/>
      <c r="AR126" s="599" t="s">
        <v>2026</v>
      </c>
      <c r="AS126" s="526" t="s">
        <v>2108</v>
      </c>
      <c r="AT126" s="782" t="s">
        <v>2026</v>
      </c>
      <c r="AU126" s="599" t="s">
        <v>2026</v>
      </c>
      <c r="AV126" s="522" t="s">
        <v>1887</v>
      </c>
    </row>
    <row r="127" spans="1:49" ht="68.400000000000006" customHeight="1" thickBot="1" x14ac:dyDescent="0.4">
      <c r="A127" s="119"/>
      <c r="B127" s="1378" t="s">
        <v>912</v>
      </c>
      <c r="C127" s="1404" t="s">
        <v>1354</v>
      </c>
      <c r="D127" s="184" t="s">
        <v>907</v>
      </c>
      <c r="E127" s="188">
        <v>0.03</v>
      </c>
      <c r="F127" s="186">
        <v>1</v>
      </c>
      <c r="G127" s="134">
        <v>0.15</v>
      </c>
      <c r="H127" s="134">
        <v>0.2</v>
      </c>
      <c r="I127" s="134">
        <v>0.3</v>
      </c>
      <c r="J127" s="139">
        <f t="shared" si="151"/>
        <v>0.15</v>
      </c>
      <c r="K127" s="139">
        <f t="shared" si="123"/>
        <v>0.2</v>
      </c>
      <c r="L127" s="139"/>
      <c r="M127" s="139">
        <f t="shared" si="152"/>
        <v>4.4999999999999997E-3</v>
      </c>
      <c r="N127" s="139">
        <f t="shared" si="124"/>
        <v>6.0000000000000001E-3</v>
      </c>
      <c r="O127" s="139"/>
      <c r="P127" s="134">
        <v>0.3</v>
      </c>
      <c r="Q127" s="496">
        <v>0.2</v>
      </c>
      <c r="R127" s="496">
        <v>0.1</v>
      </c>
      <c r="S127" s="496">
        <v>0.5</v>
      </c>
      <c r="T127" s="496">
        <v>0.5</v>
      </c>
      <c r="U127" s="496"/>
      <c r="V127" s="134">
        <f t="shared" si="140"/>
        <v>1.3</v>
      </c>
      <c r="W127" s="134">
        <f t="shared" si="158"/>
        <v>1.6</v>
      </c>
      <c r="X127" s="496">
        <v>0</v>
      </c>
      <c r="Y127" s="496">
        <v>0</v>
      </c>
      <c r="Z127" s="134"/>
      <c r="AA127" s="134"/>
      <c r="AB127" s="134">
        <f t="shared" si="134"/>
        <v>0</v>
      </c>
      <c r="AC127" s="156">
        <v>1</v>
      </c>
      <c r="AD127" s="156">
        <v>1</v>
      </c>
      <c r="AE127" s="156">
        <f t="shared" si="153"/>
        <v>0</v>
      </c>
      <c r="AF127" s="156">
        <f>+AC127*E127</f>
        <v>0.03</v>
      </c>
      <c r="AG127" s="156">
        <f>+AD127*E127</f>
        <v>0.03</v>
      </c>
      <c r="AH127" s="156">
        <f t="shared" si="154"/>
        <v>0</v>
      </c>
      <c r="AI127" s="156">
        <f>+P127/F127</f>
        <v>0.3</v>
      </c>
      <c r="AJ127" s="190">
        <v>1</v>
      </c>
      <c r="AK127" s="190">
        <v>1</v>
      </c>
      <c r="AL127" s="190">
        <f>+AI127*E127</f>
        <v>8.9999999999999993E-3</v>
      </c>
      <c r="AM127" s="190">
        <f t="shared" si="156"/>
        <v>0.03</v>
      </c>
      <c r="AN127" s="190">
        <f>+AK127*E127</f>
        <v>0.03</v>
      </c>
      <c r="AO127" s="603" t="s">
        <v>1846</v>
      </c>
      <c r="AP127" s="526" t="s">
        <v>1890</v>
      </c>
      <c r="AQ127" s="490"/>
      <c r="AR127" s="526" t="s">
        <v>2010</v>
      </c>
      <c r="AS127" s="526" t="s">
        <v>2108</v>
      </c>
      <c r="AT127" s="688" t="s">
        <v>2140</v>
      </c>
      <c r="AU127" s="526" t="s">
        <v>2199</v>
      </c>
      <c r="AV127" s="522" t="s">
        <v>1887</v>
      </c>
    </row>
    <row r="128" spans="1:49" ht="72" customHeight="1" thickBot="1" x14ac:dyDescent="0.4">
      <c r="A128" s="119"/>
      <c r="B128" s="1378" t="s">
        <v>913</v>
      </c>
      <c r="C128" s="1404" t="s">
        <v>1355</v>
      </c>
      <c r="D128" s="184" t="s">
        <v>907</v>
      </c>
      <c r="E128" s="188">
        <v>0.02</v>
      </c>
      <c r="F128" s="186">
        <v>25</v>
      </c>
      <c r="G128" s="134">
        <v>6</v>
      </c>
      <c r="H128" s="134">
        <v>6</v>
      </c>
      <c r="I128" s="134">
        <v>6</v>
      </c>
      <c r="J128" s="139">
        <f t="shared" si="151"/>
        <v>0.24</v>
      </c>
      <c r="K128" s="139">
        <f t="shared" si="123"/>
        <v>0.24</v>
      </c>
      <c r="L128" s="139">
        <f t="shared" si="159"/>
        <v>0.24</v>
      </c>
      <c r="M128" s="139">
        <f t="shared" si="152"/>
        <v>4.7999999999999996E-3</v>
      </c>
      <c r="N128" s="139">
        <f t="shared" si="124"/>
        <v>4.7999999999999996E-3</v>
      </c>
      <c r="O128" s="139"/>
      <c r="P128" s="195">
        <v>12</v>
      </c>
      <c r="Q128" s="496">
        <v>3</v>
      </c>
      <c r="R128" s="496">
        <v>1</v>
      </c>
      <c r="S128" s="496">
        <v>0</v>
      </c>
      <c r="T128" s="496">
        <v>1</v>
      </c>
      <c r="U128" s="496">
        <v>1</v>
      </c>
      <c r="V128" s="134">
        <f t="shared" si="140"/>
        <v>6</v>
      </c>
      <c r="W128" s="134">
        <f>+V128+P128+AB128</f>
        <v>19</v>
      </c>
      <c r="X128" s="496">
        <v>1</v>
      </c>
      <c r="Y128" s="496">
        <v>0</v>
      </c>
      <c r="Z128" s="134"/>
      <c r="AA128" s="134"/>
      <c r="AB128" s="134">
        <f t="shared" si="134"/>
        <v>1</v>
      </c>
      <c r="AC128" s="156">
        <v>1</v>
      </c>
      <c r="AD128" s="156">
        <f>+V128/H128</f>
        <v>1</v>
      </c>
      <c r="AE128" s="156">
        <f t="shared" si="153"/>
        <v>0.16666666666666666</v>
      </c>
      <c r="AF128" s="156">
        <f>+AC128*E128</f>
        <v>0.02</v>
      </c>
      <c r="AG128" s="156">
        <f>+AD128*E128</f>
        <v>0.02</v>
      </c>
      <c r="AH128" s="156">
        <f t="shared" si="154"/>
        <v>3.3333333333333331E-3</v>
      </c>
      <c r="AI128" s="156">
        <f>+P128/F128</f>
        <v>0.48</v>
      </c>
      <c r="AJ128" s="190">
        <v>0.72</v>
      </c>
      <c r="AK128" s="190">
        <f t="shared" si="155"/>
        <v>0.76</v>
      </c>
      <c r="AL128" s="190">
        <f>+AI128*E128</f>
        <v>9.5999999999999992E-3</v>
      </c>
      <c r="AM128" s="190">
        <f t="shared" si="156"/>
        <v>1.44E-2</v>
      </c>
      <c r="AN128" s="190">
        <f t="shared" si="157"/>
        <v>1.52E-2</v>
      </c>
      <c r="AO128" s="603" t="s">
        <v>1846</v>
      </c>
      <c r="AP128" s="599" t="s">
        <v>1967</v>
      </c>
      <c r="AQ128" s="490"/>
      <c r="AR128" s="526" t="s">
        <v>2010</v>
      </c>
      <c r="AS128" s="526" t="s">
        <v>2108</v>
      </c>
      <c r="AT128" s="688" t="s">
        <v>2140</v>
      </c>
      <c r="AU128" s="599" t="s">
        <v>2026</v>
      </c>
      <c r="AV128" s="526" t="s">
        <v>1887</v>
      </c>
    </row>
    <row r="129" spans="1:49" ht="88.2" customHeight="1" thickBot="1" x14ac:dyDescent="0.4">
      <c r="A129" s="119"/>
      <c r="B129" s="1378" t="s">
        <v>914</v>
      </c>
      <c r="C129" s="1404" t="s">
        <v>1356</v>
      </c>
      <c r="D129" s="184" t="s">
        <v>915</v>
      </c>
      <c r="E129" s="188">
        <v>0.02</v>
      </c>
      <c r="F129" s="186">
        <v>3</v>
      </c>
      <c r="G129" s="134">
        <v>0</v>
      </c>
      <c r="H129" s="134">
        <v>1</v>
      </c>
      <c r="I129" s="134">
        <v>1</v>
      </c>
      <c r="J129" s="139"/>
      <c r="K129" s="139">
        <f t="shared" si="123"/>
        <v>0.33333333333333331</v>
      </c>
      <c r="L129" s="139">
        <f t="shared" si="159"/>
        <v>0.33333333333333331</v>
      </c>
      <c r="M129" s="139"/>
      <c r="N129" s="139">
        <f t="shared" si="124"/>
        <v>6.6666666666666662E-3</v>
      </c>
      <c r="O129" s="139"/>
      <c r="P129" s="134"/>
      <c r="Q129" s="496">
        <v>0.3</v>
      </c>
      <c r="R129" s="496">
        <v>0.4</v>
      </c>
      <c r="S129" s="496">
        <v>0</v>
      </c>
      <c r="T129" s="496">
        <v>0</v>
      </c>
      <c r="U129" s="496">
        <v>0.3</v>
      </c>
      <c r="V129" s="134">
        <f t="shared" si="140"/>
        <v>1</v>
      </c>
      <c r="W129" s="134">
        <f>+V129+P129+AB129</f>
        <v>2</v>
      </c>
      <c r="X129" s="496">
        <v>1</v>
      </c>
      <c r="Y129" s="496">
        <v>0</v>
      </c>
      <c r="Z129" s="134"/>
      <c r="AA129" s="134"/>
      <c r="AB129" s="134">
        <f t="shared" si="134"/>
        <v>1</v>
      </c>
      <c r="AC129" s="156"/>
      <c r="AD129" s="156">
        <f>+V129/H129</f>
        <v>1</v>
      </c>
      <c r="AE129" s="156">
        <f t="shared" si="153"/>
        <v>1</v>
      </c>
      <c r="AF129" s="156"/>
      <c r="AG129" s="156">
        <f>+AD129*E129</f>
        <v>0.02</v>
      </c>
      <c r="AH129" s="156">
        <f t="shared" si="154"/>
        <v>0.02</v>
      </c>
      <c r="AI129" s="156"/>
      <c r="AJ129" s="190">
        <v>0.23333333333333331</v>
      </c>
      <c r="AK129" s="190">
        <f t="shared" si="155"/>
        <v>0.66666666666666663</v>
      </c>
      <c r="AL129" s="190"/>
      <c r="AM129" s="190">
        <f t="shared" si="156"/>
        <v>4.6666666666666662E-3</v>
      </c>
      <c r="AN129" s="190">
        <f t="shared" si="157"/>
        <v>1.3333333333333332E-2</v>
      </c>
      <c r="AO129" s="603" t="s">
        <v>1846</v>
      </c>
      <c r="AP129" s="526" t="s">
        <v>1890</v>
      </c>
      <c r="AQ129" s="490"/>
      <c r="AR129" s="526" t="s">
        <v>2010</v>
      </c>
      <c r="AS129" s="526" t="s">
        <v>2108</v>
      </c>
      <c r="AT129" s="782" t="s">
        <v>2026</v>
      </c>
      <c r="AU129" s="526" t="s">
        <v>2199</v>
      </c>
      <c r="AV129" s="526" t="s">
        <v>1887</v>
      </c>
    </row>
    <row r="130" spans="1:49" ht="82.2" customHeight="1" thickBot="1" x14ac:dyDescent="0.4">
      <c r="A130" s="119"/>
      <c r="B130" s="1378" t="s">
        <v>916</v>
      </c>
      <c r="C130" s="1404" t="s">
        <v>1357</v>
      </c>
      <c r="D130" s="184" t="s">
        <v>917</v>
      </c>
      <c r="E130" s="188">
        <v>0.05</v>
      </c>
      <c r="F130" s="186">
        <v>3</v>
      </c>
      <c r="G130" s="134">
        <v>0</v>
      </c>
      <c r="H130" s="134">
        <v>0</v>
      </c>
      <c r="I130" s="134"/>
      <c r="J130" s="139"/>
      <c r="K130" s="139">
        <f t="shared" si="123"/>
        <v>0</v>
      </c>
      <c r="L130" s="139"/>
      <c r="M130" s="139"/>
      <c r="N130" s="139">
        <f t="shared" si="124"/>
        <v>0</v>
      </c>
      <c r="O130" s="139"/>
      <c r="P130" s="134"/>
      <c r="Q130" s="496"/>
      <c r="R130" s="134"/>
      <c r="S130" s="134"/>
      <c r="T130" s="134"/>
      <c r="U130" s="195"/>
      <c r="V130" s="134">
        <f t="shared" si="140"/>
        <v>0</v>
      </c>
      <c r="W130" s="134">
        <f t="shared" si="158"/>
        <v>0</v>
      </c>
      <c r="X130" s="134"/>
      <c r="Y130" s="134"/>
      <c r="Z130" s="134"/>
      <c r="AA130" s="134"/>
      <c r="AB130" s="134">
        <f t="shared" si="134"/>
        <v>0</v>
      </c>
      <c r="AC130" s="156"/>
      <c r="AD130" s="156"/>
      <c r="AE130" s="156"/>
      <c r="AF130" s="156"/>
      <c r="AG130" s="156"/>
      <c r="AH130" s="156">
        <f t="shared" si="154"/>
        <v>0</v>
      </c>
      <c r="AI130" s="156"/>
      <c r="AJ130" s="190"/>
      <c r="AK130" s="190"/>
      <c r="AL130" s="190"/>
      <c r="AM130" s="190">
        <f t="shared" si="156"/>
        <v>0</v>
      </c>
      <c r="AN130" s="190">
        <f t="shared" si="157"/>
        <v>0</v>
      </c>
      <c r="AO130" s="603" t="s">
        <v>1572</v>
      </c>
      <c r="AP130" s="599" t="s">
        <v>1969</v>
      </c>
      <c r="AQ130" s="599" t="s">
        <v>2026</v>
      </c>
      <c r="AR130" s="599" t="s">
        <v>2026</v>
      </c>
      <c r="AS130" s="599" t="s">
        <v>2026</v>
      </c>
      <c r="AT130" s="782" t="s">
        <v>2026</v>
      </c>
      <c r="AU130" s="599" t="s">
        <v>2026</v>
      </c>
      <c r="AV130" s="490"/>
    </row>
    <row r="131" spans="1:49" ht="84" customHeight="1" thickBot="1" x14ac:dyDescent="0.4">
      <c r="A131" s="119"/>
      <c r="B131" s="1378" t="s">
        <v>918</v>
      </c>
      <c r="C131" s="1404" t="s">
        <v>1358</v>
      </c>
      <c r="D131" s="184" t="s">
        <v>917</v>
      </c>
      <c r="E131" s="188">
        <v>0.16</v>
      </c>
      <c r="F131" s="186">
        <v>10</v>
      </c>
      <c r="G131" s="134">
        <v>2</v>
      </c>
      <c r="H131" s="134">
        <v>3</v>
      </c>
      <c r="I131" s="134">
        <v>3</v>
      </c>
      <c r="J131" s="139">
        <f t="shared" si="151"/>
        <v>0.2</v>
      </c>
      <c r="K131" s="139">
        <f t="shared" si="123"/>
        <v>0.3</v>
      </c>
      <c r="L131" s="139">
        <f t="shared" si="159"/>
        <v>0.3</v>
      </c>
      <c r="M131" s="139">
        <f t="shared" si="152"/>
        <v>3.2000000000000001E-2</v>
      </c>
      <c r="N131" s="139">
        <f t="shared" si="124"/>
        <v>4.8000000000000001E-2</v>
      </c>
      <c r="O131" s="139"/>
      <c r="P131" s="134">
        <v>2</v>
      </c>
      <c r="Q131" s="496">
        <v>0</v>
      </c>
      <c r="R131" s="496">
        <v>0</v>
      </c>
      <c r="S131" s="496">
        <v>0</v>
      </c>
      <c r="T131" s="496">
        <v>0</v>
      </c>
      <c r="U131" s="195"/>
      <c r="V131" s="134">
        <f t="shared" si="140"/>
        <v>0</v>
      </c>
      <c r="W131" s="134">
        <f>+V131+P131+AB131</f>
        <v>2</v>
      </c>
      <c r="X131" s="496">
        <v>0</v>
      </c>
      <c r="Y131" s="134"/>
      <c r="Z131" s="134"/>
      <c r="AA131" s="134"/>
      <c r="AB131" s="134">
        <f t="shared" si="134"/>
        <v>0</v>
      </c>
      <c r="AC131" s="156">
        <f>+(P131/G131)</f>
        <v>1</v>
      </c>
      <c r="AD131" s="156">
        <f>+V131/H131</f>
        <v>0</v>
      </c>
      <c r="AE131" s="156">
        <f t="shared" si="153"/>
        <v>0</v>
      </c>
      <c r="AF131" s="156">
        <f>+AC131*E131</f>
        <v>0.16</v>
      </c>
      <c r="AG131" s="156">
        <f>+AD131*E131</f>
        <v>0</v>
      </c>
      <c r="AH131" s="156">
        <f t="shared" si="154"/>
        <v>0</v>
      </c>
      <c r="AI131" s="156">
        <f>+P131/F131</f>
        <v>0.2</v>
      </c>
      <c r="AJ131" s="190">
        <v>0.2</v>
      </c>
      <c r="AK131" s="190">
        <f t="shared" si="155"/>
        <v>0.2</v>
      </c>
      <c r="AL131" s="190">
        <f>+AI131*E131</f>
        <v>3.2000000000000001E-2</v>
      </c>
      <c r="AM131" s="190">
        <f t="shared" si="156"/>
        <v>3.2000000000000001E-2</v>
      </c>
      <c r="AN131" s="190">
        <f t="shared" si="157"/>
        <v>3.2000000000000001E-2</v>
      </c>
      <c r="AO131" s="603" t="s">
        <v>1846</v>
      </c>
      <c r="AP131" s="526" t="s">
        <v>1890</v>
      </c>
      <c r="AQ131" s="526" t="s">
        <v>1990</v>
      </c>
      <c r="AR131" s="526" t="s">
        <v>2010</v>
      </c>
      <c r="AS131" s="526" t="s">
        <v>2108</v>
      </c>
      <c r="AT131" s="688" t="s">
        <v>2140</v>
      </c>
      <c r="AU131" s="526" t="s">
        <v>2199</v>
      </c>
      <c r="AV131" s="526" t="s">
        <v>1887</v>
      </c>
      <c r="AW131" s="526" t="s">
        <v>2294</v>
      </c>
    </row>
    <row r="132" spans="1:49" ht="54" customHeight="1" thickBot="1" x14ac:dyDescent="0.4">
      <c r="A132" s="119"/>
      <c r="B132" s="1378" t="s">
        <v>919</v>
      </c>
      <c r="C132" s="1404" t="s">
        <v>1359</v>
      </c>
      <c r="D132" s="184" t="s">
        <v>907</v>
      </c>
      <c r="E132" s="188">
        <v>0.02</v>
      </c>
      <c r="F132" s="186">
        <v>1</v>
      </c>
      <c r="G132" s="134">
        <v>0</v>
      </c>
      <c r="H132" s="134">
        <v>1</v>
      </c>
      <c r="I132" s="134">
        <v>1</v>
      </c>
      <c r="J132" s="139"/>
      <c r="K132" s="139">
        <f t="shared" si="123"/>
        <v>1</v>
      </c>
      <c r="L132" s="139"/>
      <c r="M132" s="139"/>
      <c r="N132" s="139">
        <f t="shared" si="124"/>
        <v>0.02</v>
      </c>
      <c r="O132" s="139"/>
      <c r="P132" s="134"/>
      <c r="Q132" s="496">
        <v>0.8</v>
      </c>
      <c r="R132" s="496">
        <v>0</v>
      </c>
      <c r="S132" s="496">
        <v>0.2</v>
      </c>
      <c r="T132" s="496">
        <v>0.2</v>
      </c>
      <c r="U132" s="195"/>
      <c r="V132" s="134">
        <f t="shared" si="140"/>
        <v>1.2</v>
      </c>
      <c r="W132" s="134">
        <f t="shared" si="158"/>
        <v>2.2000000000000002</v>
      </c>
      <c r="X132" s="496">
        <v>0.8</v>
      </c>
      <c r="Y132" s="134">
        <v>0.2</v>
      </c>
      <c r="Z132" s="134"/>
      <c r="AA132" s="134"/>
      <c r="AB132" s="134">
        <f t="shared" si="134"/>
        <v>1</v>
      </c>
      <c r="AC132" s="156"/>
      <c r="AD132" s="156">
        <v>1</v>
      </c>
      <c r="AE132" s="156">
        <f t="shared" si="153"/>
        <v>1</v>
      </c>
      <c r="AF132" s="156"/>
      <c r="AG132" s="156">
        <f>+AD132*E132</f>
        <v>0.02</v>
      </c>
      <c r="AH132" s="156">
        <f t="shared" si="154"/>
        <v>0.02</v>
      </c>
      <c r="AI132" s="156"/>
      <c r="AJ132" s="190">
        <v>1</v>
      </c>
      <c r="AK132" s="190">
        <v>1</v>
      </c>
      <c r="AL132" s="190"/>
      <c r="AM132" s="190">
        <f t="shared" si="156"/>
        <v>0.02</v>
      </c>
      <c r="AN132" s="190">
        <f t="shared" si="157"/>
        <v>0.02</v>
      </c>
      <c r="AO132" s="603" t="s">
        <v>1846</v>
      </c>
      <c r="AP132" s="526" t="s">
        <v>1890</v>
      </c>
      <c r="AQ132" s="526" t="s">
        <v>1990</v>
      </c>
      <c r="AR132" s="526" t="s">
        <v>2010</v>
      </c>
      <c r="AS132" s="526" t="s">
        <v>2108</v>
      </c>
      <c r="AT132" s="688" t="s">
        <v>2140</v>
      </c>
      <c r="AU132" s="526" t="s">
        <v>2199</v>
      </c>
      <c r="AV132" s="526" t="s">
        <v>1887</v>
      </c>
    </row>
    <row r="133" spans="1:49" ht="90.6" customHeight="1" thickBot="1" x14ac:dyDescent="0.4">
      <c r="A133" s="119"/>
      <c r="B133" s="1378" t="s">
        <v>920</v>
      </c>
      <c r="C133" s="1404" t="s">
        <v>1360</v>
      </c>
      <c r="D133" s="184" t="s">
        <v>907</v>
      </c>
      <c r="E133" s="188">
        <v>0.02</v>
      </c>
      <c r="F133" s="186">
        <v>1</v>
      </c>
      <c r="G133" s="134">
        <v>1</v>
      </c>
      <c r="H133" s="134">
        <v>0</v>
      </c>
      <c r="I133" s="134">
        <v>1</v>
      </c>
      <c r="J133" s="139">
        <f t="shared" si="151"/>
        <v>1</v>
      </c>
      <c r="K133" s="139"/>
      <c r="L133" s="139"/>
      <c r="M133" s="139">
        <f t="shared" si="152"/>
        <v>0.02</v>
      </c>
      <c r="N133" s="139"/>
      <c r="O133" s="139"/>
      <c r="P133" s="134">
        <v>1</v>
      </c>
      <c r="Q133" s="496">
        <v>1</v>
      </c>
      <c r="R133" s="496">
        <v>1</v>
      </c>
      <c r="S133" s="496">
        <v>0</v>
      </c>
      <c r="T133" s="496">
        <v>0</v>
      </c>
      <c r="U133" s="496">
        <v>0</v>
      </c>
      <c r="V133" s="134">
        <f t="shared" si="140"/>
        <v>2</v>
      </c>
      <c r="W133" s="134">
        <f>+V133+P133+AB133</f>
        <v>3.25</v>
      </c>
      <c r="X133" s="496">
        <v>0.25</v>
      </c>
      <c r="Y133" s="496">
        <v>0</v>
      </c>
      <c r="Z133" s="134"/>
      <c r="AA133" s="134"/>
      <c r="AB133" s="134">
        <f>+X133+Y133+Z133+AA133</f>
        <v>0.25</v>
      </c>
      <c r="AC133" s="156">
        <f>+(P133/G133)</f>
        <v>1</v>
      </c>
      <c r="AD133" s="156"/>
      <c r="AE133" s="156">
        <f t="shared" si="153"/>
        <v>0.25</v>
      </c>
      <c r="AF133" s="156">
        <f>+AC133*E133</f>
        <v>0.02</v>
      </c>
      <c r="AG133" s="156"/>
      <c r="AH133" s="156">
        <f t="shared" si="154"/>
        <v>5.0000000000000001E-3</v>
      </c>
      <c r="AI133" s="156">
        <f>+P133/F133</f>
        <v>1</v>
      </c>
      <c r="AJ133" s="190">
        <v>1</v>
      </c>
      <c r="AK133" s="190">
        <v>1</v>
      </c>
      <c r="AL133" s="190">
        <f>+AI133*E133</f>
        <v>0.02</v>
      </c>
      <c r="AM133" s="190">
        <f t="shared" si="156"/>
        <v>0.02</v>
      </c>
      <c r="AN133" s="190">
        <f t="shared" si="157"/>
        <v>0.02</v>
      </c>
      <c r="AO133" s="688" t="s">
        <v>1586</v>
      </c>
      <c r="AP133" s="599" t="s">
        <v>1968</v>
      </c>
      <c r="AQ133" s="490"/>
      <c r="AR133" s="526" t="s">
        <v>2010</v>
      </c>
      <c r="AS133" s="526" t="s">
        <v>2108</v>
      </c>
      <c r="AT133" s="688" t="s">
        <v>2140</v>
      </c>
      <c r="AU133" s="526" t="s">
        <v>2199</v>
      </c>
      <c r="AV133" s="526" t="s">
        <v>1887</v>
      </c>
    </row>
    <row r="134" spans="1:49" ht="100.95" customHeight="1" thickBot="1" x14ac:dyDescent="0.4">
      <c r="A134" s="119"/>
      <c r="B134" s="1378" t="s">
        <v>921</v>
      </c>
      <c r="C134" s="1404" t="s">
        <v>1361</v>
      </c>
      <c r="D134" s="196" t="s">
        <v>907</v>
      </c>
      <c r="E134" s="197">
        <v>0.05</v>
      </c>
      <c r="F134" s="186">
        <v>137302998</v>
      </c>
      <c r="G134" s="208">
        <v>32819130</v>
      </c>
      <c r="H134" s="208">
        <v>33803704</v>
      </c>
      <c r="I134" s="208">
        <v>34817815</v>
      </c>
      <c r="J134" s="139">
        <f t="shared" si="151"/>
        <v>0.23902704586246543</v>
      </c>
      <c r="K134" s="139">
        <f t="shared" si="123"/>
        <v>0.24619785796665561</v>
      </c>
      <c r="L134" s="139">
        <f>+I134/F134</f>
        <v>0.25358379283167581</v>
      </c>
      <c r="M134" s="139">
        <f t="shared" si="152"/>
        <v>1.1951352293123272E-2</v>
      </c>
      <c r="N134" s="139">
        <f t="shared" si="124"/>
        <v>1.2309892898332781E-2</v>
      </c>
      <c r="O134" s="139"/>
      <c r="P134" s="208">
        <v>26577198</v>
      </c>
      <c r="Q134" s="499">
        <v>7665351</v>
      </c>
      <c r="R134" s="499">
        <v>7029082</v>
      </c>
      <c r="S134" s="499">
        <v>4761706</v>
      </c>
      <c r="T134" s="499">
        <v>4215910</v>
      </c>
      <c r="U134" s="840">
        <v>4215910</v>
      </c>
      <c r="V134" s="208">
        <f>+Q134+R134+S134+T134+U134</f>
        <v>27887959</v>
      </c>
      <c r="W134" s="840">
        <f>+V134+30503658+AB134</f>
        <v>68768567</v>
      </c>
      <c r="X134" s="499">
        <v>5618719</v>
      </c>
      <c r="Y134" s="840">
        <v>4758231</v>
      </c>
      <c r="Z134" s="840"/>
      <c r="AA134" s="840"/>
      <c r="AB134" s="195">
        <f t="shared" si="134"/>
        <v>10376950</v>
      </c>
      <c r="AC134" s="156">
        <f>+(P134/G134)</f>
        <v>0.80980812105622546</v>
      </c>
      <c r="AD134" s="156">
        <f>+V134/H134</f>
        <v>0.82499713640848349</v>
      </c>
      <c r="AE134" s="156">
        <f t="shared" si="153"/>
        <v>0.29803564640687535</v>
      </c>
      <c r="AF134" s="156">
        <f>+AC134*E134</f>
        <v>4.0490406052811276E-2</v>
      </c>
      <c r="AG134" s="156">
        <f>+AD134*E134</f>
        <v>4.1249856820424174E-2</v>
      </c>
      <c r="AH134" s="156">
        <f t="shared" si="154"/>
        <v>1.4901782320343768E-2</v>
      </c>
      <c r="AI134" s="156">
        <f>+P134/F134</f>
        <v>0.19356604289150336</v>
      </c>
      <c r="AJ134" s="190">
        <v>0.42527561561328764</v>
      </c>
      <c r="AK134" s="190">
        <f t="shared" si="155"/>
        <v>0.5008526252281833</v>
      </c>
      <c r="AL134" s="190">
        <f>+AI134*E134</f>
        <v>9.6783021445751693E-3</v>
      </c>
      <c r="AM134" s="190">
        <f t="shared" si="156"/>
        <v>2.1263780780664383E-2</v>
      </c>
      <c r="AN134" s="190">
        <f t="shared" si="157"/>
        <v>2.5042631261409168E-2</v>
      </c>
      <c r="AO134" s="771" t="s">
        <v>1859</v>
      </c>
      <c r="AP134" s="599" t="s">
        <v>1969</v>
      </c>
      <c r="AQ134" s="490"/>
      <c r="AR134" s="599" t="s">
        <v>2028</v>
      </c>
      <c r="AS134" s="599" t="s">
        <v>2026</v>
      </c>
      <c r="AT134" s="782" t="s">
        <v>2026</v>
      </c>
      <c r="AU134" s="599" t="s">
        <v>2026</v>
      </c>
      <c r="AV134" s="490"/>
    </row>
    <row r="135" spans="1:49" s="1031" customFormat="1" ht="93" customHeight="1" thickBot="1" x14ac:dyDescent="0.65">
      <c r="A135" s="1016"/>
      <c r="B135" s="1413" t="s">
        <v>1812</v>
      </c>
      <c r="C135" s="1414"/>
      <c r="D135" s="1017"/>
      <c r="E135" s="1018">
        <v>0.1</v>
      </c>
      <c r="F135" s="1019">
        <f>+E135*AF135</f>
        <v>5.3999446153846158E-2</v>
      </c>
      <c r="G135" s="1020"/>
      <c r="H135" s="1021">
        <f>+E135*AG135</f>
        <v>4.7113079310344835E-2</v>
      </c>
      <c r="I135" s="1021">
        <f>+E135*AH135</f>
        <v>2.0686521428571431E-2</v>
      </c>
      <c r="J135" s="1022">
        <f>+(J136+J140+J144+J150+J159)/4</f>
        <v>0.23930555555555558</v>
      </c>
      <c r="K135" s="1022">
        <f>+(K136+K140+K144+K150+K159)/5</f>
        <v>0.19171428571428567</v>
      </c>
      <c r="L135" s="1022">
        <f>+(L136+L140+L144+L150+L159)/5</f>
        <v>0.30333333333333334</v>
      </c>
      <c r="M135" s="1023">
        <f>+(M136+M140+M144+M150+M159)/4</f>
        <v>0.17302083333333335</v>
      </c>
      <c r="N135" s="1023">
        <f>+(N136+N140+N144+N150+N159)/5</f>
        <v>0.19663333333333333</v>
      </c>
      <c r="O135" s="1023"/>
      <c r="P135" s="1020"/>
      <c r="Q135" s="1020"/>
      <c r="R135" s="1020"/>
      <c r="S135" s="1020"/>
      <c r="T135" s="1020"/>
      <c r="U135" s="1024"/>
      <c r="V135" s="1025"/>
      <c r="W135" s="1020"/>
      <c r="X135" s="1020"/>
      <c r="Y135" s="1020"/>
      <c r="Z135" s="1020"/>
      <c r="AA135" s="1020"/>
      <c r="AB135" s="1020"/>
      <c r="AC135" s="1022">
        <f>+(AC136+AC140+AC144+AC150+AC159)/4</f>
        <v>0.90415128205128203</v>
      </c>
      <c r="AD135" s="1022">
        <f>+(AD136+AD140+AD144+AD150+AD159)/4</f>
        <v>0.75154181034482759</v>
      </c>
      <c r="AE135" s="1022">
        <f>+(AE136+AE140+AE144+AE150+AE159)/4</f>
        <v>0.4542714285714286</v>
      </c>
      <c r="AF135" s="1023">
        <f>+AF136+AF140+AF144+AF150+AF159</f>
        <v>0.53999446153846153</v>
      </c>
      <c r="AG135" s="1023">
        <f>+AG136+AG140+AG144+AG150+AG159</f>
        <v>0.4711307931034483</v>
      </c>
      <c r="AH135" s="1023">
        <f>+AH136+AH140+AH144+AH150+AH159</f>
        <v>0.20686521428571431</v>
      </c>
      <c r="AI135" s="1022">
        <f>(AI136+AI140+AI144+AI150+AI159)/4</f>
        <v>0.22665666666666667</v>
      </c>
      <c r="AJ135" s="1022">
        <v>0.51947152777777772</v>
      </c>
      <c r="AK135" s="1022">
        <f>(AK136+AK140+AK144+AK150+AK159)/4</f>
        <v>0.56005684523809518</v>
      </c>
      <c r="AL135" s="1026">
        <f>+(AL136+AL140+AL144+AL150+AL159)</f>
        <v>0.15220140000000001</v>
      </c>
      <c r="AM135" s="1026">
        <f>+(AM136*E136+AM140*E140+AM144*E144+AM150*E150+AM159*E159)</f>
        <v>0.42935424999999999</v>
      </c>
      <c r="AN135" s="1026">
        <f>+(AN136*E136+AN140*E140+AN144*E144+AN150*E150+AN159*E159)</f>
        <v>0.47665925000000003</v>
      </c>
      <c r="AO135" s="1027"/>
      <c r="AP135" s="1028"/>
      <c r="AQ135" s="1028"/>
      <c r="AR135" s="1028"/>
      <c r="AS135" s="1028"/>
      <c r="AT135" s="1029"/>
      <c r="AU135" s="1030" t="s">
        <v>2199</v>
      </c>
      <c r="AV135" s="1028"/>
    </row>
    <row r="136" spans="1:49" ht="42.75" customHeight="1" thickBot="1" x14ac:dyDescent="0.4">
      <c r="A136" s="119"/>
      <c r="B136" s="1376" t="s">
        <v>1813</v>
      </c>
      <c r="C136" s="1412"/>
      <c r="D136" s="191"/>
      <c r="E136" s="192">
        <v>0.2</v>
      </c>
      <c r="F136" s="186"/>
      <c r="G136" s="127"/>
      <c r="H136" s="127"/>
      <c r="I136" s="127"/>
      <c r="J136" s="133">
        <f>+AVERAGE(J137:J139)</f>
        <v>0.125</v>
      </c>
      <c r="K136" s="133">
        <f>+AVERAGE(K137:K139)</f>
        <v>0.25</v>
      </c>
      <c r="L136" s="133">
        <f>+AVERAGE(L137:L139)</f>
        <v>0.6875</v>
      </c>
      <c r="M136" s="133">
        <f>+M137+M138+M139</f>
        <v>5.6250000000000001E-2</v>
      </c>
      <c r="N136" s="133">
        <f>+N137+N138+N139</f>
        <v>0.36249999999999999</v>
      </c>
      <c r="O136" s="133"/>
      <c r="P136" s="132"/>
      <c r="Q136" s="132"/>
      <c r="R136" s="132"/>
      <c r="S136" s="132"/>
      <c r="T136" s="132"/>
      <c r="U136" s="839"/>
      <c r="V136" s="134"/>
      <c r="W136" s="132"/>
      <c r="X136" s="132"/>
      <c r="Y136" s="132"/>
      <c r="Z136" s="132"/>
      <c r="AA136" s="132"/>
      <c r="AB136" s="132"/>
      <c r="AC136" s="154">
        <f>+AVERAGE(AC137:AC139)</f>
        <v>1</v>
      </c>
      <c r="AD136" s="154">
        <f>+AVERAGE(AD137:AD139)</f>
        <v>0.17065000000000002</v>
      </c>
      <c r="AE136" s="154">
        <f>+AVERAGE(AE137:AE139)</f>
        <v>0.10600000000000001</v>
      </c>
      <c r="AF136" s="154">
        <f>+(AF137+AF138+AF139)*E136</f>
        <v>9.0000000000000011E-2</v>
      </c>
      <c r="AG136" s="154">
        <f>+(AG137+AG138+AG139)*E136</f>
        <v>3.0717000000000008E-2</v>
      </c>
      <c r="AH136" s="154">
        <f>+(AH137+AH138+AH139)*E136</f>
        <v>1.9080000000000003E-2</v>
      </c>
      <c r="AI136" s="133">
        <f>+AVERAGE(AI137:AI139)</f>
        <v>0.185</v>
      </c>
      <c r="AJ136" s="133">
        <v>0.21344166666666667</v>
      </c>
      <c r="AK136" s="133">
        <f>+AJ136+((AK137-AJ137)/3)</f>
        <v>0.23994166666666666</v>
      </c>
      <c r="AL136" s="183">
        <f>+(AL137+AL138+AL139)*E136</f>
        <v>1.6650000000000002E-2</v>
      </c>
      <c r="AM136" s="183">
        <f>+(AM137+AM138+AM139)</f>
        <v>0.12164625000000003</v>
      </c>
      <c r="AN136" s="183">
        <f>+(AN137+AN138+AN139)</f>
        <v>0.15742125000000001</v>
      </c>
      <c r="AO136" s="770"/>
      <c r="AP136" s="490"/>
      <c r="AQ136" s="490"/>
      <c r="AR136" s="490"/>
      <c r="AS136" s="490"/>
      <c r="AT136" s="984"/>
      <c r="AU136" s="490"/>
      <c r="AV136" s="490"/>
    </row>
    <row r="137" spans="1:49" ht="74.400000000000006" customHeight="1" thickBot="1" x14ac:dyDescent="0.4">
      <c r="A137" s="119"/>
      <c r="B137" s="1378" t="s">
        <v>922</v>
      </c>
      <c r="C137" s="1404" t="s">
        <v>1362</v>
      </c>
      <c r="D137" s="191" t="s">
        <v>790</v>
      </c>
      <c r="E137" s="188">
        <v>0.45</v>
      </c>
      <c r="F137" s="186">
        <v>40</v>
      </c>
      <c r="G137" s="134">
        <v>5</v>
      </c>
      <c r="H137" s="134">
        <v>10</v>
      </c>
      <c r="I137" s="134">
        <v>15</v>
      </c>
      <c r="J137" s="139">
        <f>+G137/F137</f>
        <v>0.125</v>
      </c>
      <c r="K137" s="139">
        <f t="shared" ref="K137:K139" si="160">+H137/F137</f>
        <v>0.25</v>
      </c>
      <c r="L137" s="139">
        <f t="shared" ref="L137:L138" si="161">+I137/F137</f>
        <v>0.375</v>
      </c>
      <c r="M137" s="139">
        <f>+(G137/F137)*E137</f>
        <v>5.6250000000000001E-2</v>
      </c>
      <c r="N137" s="139">
        <f t="shared" ref="N137:N139" si="162">+(H137/F137)*E137</f>
        <v>0.1125</v>
      </c>
      <c r="O137" s="139"/>
      <c r="P137" s="134">
        <v>7.4</v>
      </c>
      <c r="Q137" s="496">
        <v>3.0000000000000001E-3</v>
      </c>
      <c r="R137" s="496">
        <v>2.2000000000000002</v>
      </c>
      <c r="S137" s="496">
        <v>1.1000000000000001</v>
      </c>
      <c r="T137" s="496">
        <v>0</v>
      </c>
      <c r="U137" s="195">
        <v>0.11</v>
      </c>
      <c r="V137" s="134">
        <f>+Q137+R137+S137+T137+U137</f>
        <v>3.4130000000000003</v>
      </c>
      <c r="W137" s="134">
        <f>+V137+P137+AB137</f>
        <v>13.993</v>
      </c>
      <c r="X137" s="496">
        <v>0.75</v>
      </c>
      <c r="Y137" s="496">
        <v>2.4300000000000002</v>
      </c>
      <c r="Z137" s="134"/>
      <c r="AA137" s="134"/>
      <c r="AB137" s="134">
        <f t="shared" ref="AB137:AB166" si="163">+X137+Y137+Z137+AA137</f>
        <v>3.18</v>
      </c>
      <c r="AC137" s="139">
        <v>1</v>
      </c>
      <c r="AD137" s="156">
        <f>+V137/H137</f>
        <v>0.34130000000000005</v>
      </c>
      <c r="AE137" s="156">
        <f t="shared" ref="AE137:AE138" si="164">+AB137/I137</f>
        <v>0.21200000000000002</v>
      </c>
      <c r="AF137" s="156">
        <f>+AC137*E137</f>
        <v>0.45</v>
      </c>
      <c r="AG137" s="156">
        <f>+AD137*E137</f>
        <v>0.15358500000000003</v>
      </c>
      <c r="AH137" s="156">
        <f t="shared" ref="AH137:AH139" si="165">+AE137*E137</f>
        <v>9.5400000000000013E-2</v>
      </c>
      <c r="AI137" s="156">
        <f>+P137/F137</f>
        <v>0.185</v>
      </c>
      <c r="AJ137" s="190">
        <v>0.27032500000000004</v>
      </c>
      <c r="AK137" s="190">
        <f t="shared" ref="AK137:AK139" si="166">+W137/F137</f>
        <v>0.349825</v>
      </c>
      <c r="AL137" s="190">
        <f>+AI137*E137</f>
        <v>8.3250000000000005E-2</v>
      </c>
      <c r="AM137" s="187">
        <f>+AJ137*E137</f>
        <v>0.12164625000000003</v>
      </c>
      <c r="AN137" s="187">
        <f t="shared" ref="AN137:AN139" si="167">+AK137*E137</f>
        <v>0.15742125000000001</v>
      </c>
      <c r="AO137" s="603" t="s">
        <v>1846</v>
      </c>
      <c r="AP137" s="490"/>
      <c r="AQ137" s="525" t="s">
        <v>1990</v>
      </c>
      <c r="AR137" s="599" t="s">
        <v>2028</v>
      </c>
      <c r="AS137" s="526" t="s">
        <v>2108</v>
      </c>
      <c r="AT137" s="688" t="s">
        <v>2145</v>
      </c>
      <c r="AU137" s="526" t="s">
        <v>2199</v>
      </c>
      <c r="AV137" s="526" t="s">
        <v>1887</v>
      </c>
      <c r="AW137" s="526" t="s">
        <v>2294</v>
      </c>
    </row>
    <row r="138" spans="1:49" ht="88.2" customHeight="1" thickBot="1" x14ac:dyDescent="0.4">
      <c r="A138" s="119"/>
      <c r="B138" s="1378" t="s">
        <v>923</v>
      </c>
      <c r="C138" s="1404" t="s">
        <v>1363</v>
      </c>
      <c r="D138" s="191" t="s">
        <v>924</v>
      </c>
      <c r="E138" s="188">
        <v>0.5</v>
      </c>
      <c r="F138" s="186">
        <v>140000</v>
      </c>
      <c r="G138" s="134">
        <v>0</v>
      </c>
      <c r="H138" s="134">
        <v>70000</v>
      </c>
      <c r="I138" s="134">
        <v>140000</v>
      </c>
      <c r="J138" s="139"/>
      <c r="K138" s="139">
        <f t="shared" si="160"/>
        <v>0.5</v>
      </c>
      <c r="L138" s="139">
        <f t="shared" si="161"/>
        <v>1</v>
      </c>
      <c r="M138" s="139"/>
      <c r="N138" s="139">
        <f t="shared" si="162"/>
        <v>0.25</v>
      </c>
      <c r="O138" s="139"/>
      <c r="P138" s="134"/>
      <c r="Q138" s="496">
        <v>0</v>
      </c>
      <c r="R138" s="496">
        <v>0</v>
      </c>
      <c r="S138" s="496">
        <v>0</v>
      </c>
      <c r="T138" s="496">
        <v>0</v>
      </c>
      <c r="U138" s="195">
        <v>0</v>
      </c>
      <c r="V138" s="134">
        <f t="shared" si="140"/>
        <v>0</v>
      </c>
      <c r="W138" s="134">
        <f t="shared" ref="W138:W142" si="168">+V138+P138+AB138</f>
        <v>0</v>
      </c>
      <c r="X138" s="496">
        <v>0</v>
      </c>
      <c r="Y138" s="496">
        <v>0</v>
      </c>
      <c r="Z138" s="134"/>
      <c r="AA138" s="134"/>
      <c r="AB138" s="134">
        <f t="shared" si="163"/>
        <v>0</v>
      </c>
      <c r="AC138" s="139"/>
      <c r="AD138" s="156">
        <f>+V138/H138</f>
        <v>0</v>
      </c>
      <c r="AE138" s="156">
        <f t="shared" si="164"/>
        <v>0</v>
      </c>
      <c r="AF138" s="156"/>
      <c r="AG138" s="156">
        <f>+AD138*E138</f>
        <v>0</v>
      </c>
      <c r="AH138" s="156">
        <f t="shared" si="165"/>
        <v>0</v>
      </c>
      <c r="AI138" s="156"/>
      <c r="AJ138" s="190">
        <v>0</v>
      </c>
      <c r="AK138" s="190">
        <f t="shared" si="166"/>
        <v>0</v>
      </c>
      <c r="AL138" s="190"/>
      <c r="AM138" s="187">
        <f>+AJ138*E138</f>
        <v>0</v>
      </c>
      <c r="AN138" s="187">
        <f t="shared" si="167"/>
        <v>0</v>
      </c>
      <c r="AO138" s="771" t="s">
        <v>1570</v>
      </c>
      <c r="AP138" s="599" t="s">
        <v>1913</v>
      </c>
      <c r="AQ138" s="675"/>
      <c r="AR138" s="526" t="s">
        <v>2056</v>
      </c>
      <c r="AS138" s="526" t="s">
        <v>2108</v>
      </c>
      <c r="AT138" s="688" t="s">
        <v>2145</v>
      </c>
      <c r="AU138" s="526" t="s">
        <v>2199</v>
      </c>
      <c r="AV138" s="526" t="s">
        <v>1887</v>
      </c>
      <c r="AW138" s="526" t="s">
        <v>2294</v>
      </c>
    </row>
    <row r="139" spans="1:49" ht="106.95" customHeight="1" thickBot="1" x14ac:dyDescent="0.4">
      <c r="A139" s="119"/>
      <c r="B139" s="1378" t="s">
        <v>925</v>
      </c>
      <c r="C139" s="1404" t="s">
        <v>1364</v>
      </c>
      <c r="D139" s="191" t="s">
        <v>1569</v>
      </c>
      <c r="E139" s="188">
        <v>0.05</v>
      </c>
      <c r="F139" s="186">
        <v>1</v>
      </c>
      <c r="G139" s="134">
        <v>0</v>
      </c>
      <c r="H139" s="134">
        <v>0</v>
      </c>
      <c r="I139" s="134">
        <v>0</v>
      </c>
      <c r="J139" s="139"/>
      <c r="K139" s="139">
        <f t="shared" si="160"/>
        <v>0</v>
      </c>
      <c r="L139" s="139"/>
      <c r="M139" s="139"/>
      <c r="N139" s="139">
        <f t="shared" si="162"/>
        <v>0</v>
      </c>
      <c r="O139" s="139"/>
      <c r="P139" s="134"/>
      <c r="Q139" s="496"/>
      <c r="R139" s="134"/>
      <c r="S139" s="134"/>
      <c r="T139" s="134"/>
      <c r="U139" s="195"/>
      <c r="V139" s="134">
        <f t="shared" si="140"/>
        <v>0</v>
      </c>
      <c r="W139" s="134">
        <f t="shared" si="168"/>
        <v>0</v>
      </c>
      <c r="X139" s="134"/>
      <c r="Y139" s="134"/>
      <c r="Z139" s="134"/>
      <c r="AA139" s="134"/>
      <c r="AB139" s="134">
        <f t="shared" si="163"/>
        <v>0</v>
      </c>
      <c r="AC139" s="139"/>
      <c r="AD139" s="156"/>
      <c r="AE139" s="156"/>
      <c r="AF139" s="156"/>
      <c r="AG139" s="156">
        <f>+AD139*E139</f>
        <v>0</v>
      </c>
      <c r="AH139" s="156">
        <f t="shared" si="165"/>
        <v>0</v>
      </c>
      <c r="AI139" s="156"/>
      <c r="AJ139" s="190"/>
      <c r="AK139" s="190">
        <f t="shared" si="166"/>
        <v>0</v>
      </c>
      <c r="AL139" s="190"/>
      <c r="AM139" s="187">
        <f>+AJ139*E139</f>
        <v>0</v>
      </c>
      <c r="AN139" s="187">
        <f t="shared" si="167"/>
        <v>0</v>
      </c>
      <c r="AO139" s="603" t="s">
        <v>1846</v>
      </c>
      <c r="AP139" s="599" t="s">
        <v>1969</v>
      </c>
      <c r="AQ139" s="490"/>
      <c r="AR139" s="599" t="s">
        <v>2043</v>
      </c>
      <c r="AS139" s="490"/>
      <c r="AT139" s="984"/>
      <c r="AU139" s="490"/>
      <c r="AV139" s="523" t="s">
        <v>1859</v>
      </c>
    </row>
    <row r="140" spans="1:49" ht="57" customHeight="1" thickBot="1" x14ac:dyDescent="0.4">
      <c r="A140" s="119"/>
      <c r="B140" s="1376" t="s">
        <v>1814</v>
      </c>
      <c r="C140" s="1412"/>
      <c r="D140" s="191"/>
      <c r="E140" s="192">
        <v>0.15</v>
      </c>
      <c r="F140" s="186"/>
      <c r="G140" s="127"/>
      <c r="H140" s="127"/>
      <c r="I140" s="127"/>
      <c r="J140" s="133">
        <f>+AVERAGE(J141:J143)</f>
        <v>0.27</v>
      </c>
      <c r="K140" s="133">
        <f>+AVERAGE(K141:K143)</f>
        <v>0.33333333333333331</v>
      </c>
      <c r="L140" s="133"/>
      <c r="M140" s="133">
        <f>+M141+M142+M143</f>
        <v>0.22900000000000001</v>
      </c>
      <c r="N140" s="133">
        <f>+N141+N142+N143</f>
        <v>0.26250000000000001</v>
      </c>
      <c r="O140" s="133"/>
      <c r="P140" s="132"/>
      <c r="Q140" s="132"/>
      <c r="R140" s="132"/>
      <c r="S140" s="132"/>
      <c r="T140" s="132"/>
      <c r="U140" s="839"/>
      <c r="V140" s="134"/>
      <c r="W140" s="134"/>
      <c r="X140" s="132"/>
      <c r="Y140" s="132"/>
      <c r="Z140" s="132"/>
      <c r="AA140" s="132"/>
      <c r="AB140" s="132"/>
      <c r="AC140" s="154">
        <f>+AVERAGE(AC141:AC143)</f>
        <v>0.84660512820512823</v>
      </c>
      <c r="AD140" s="154">
        <f>+AVERAGE(AD141:AD143)</f>
        <v>1</v>
      </c>
      <c r="AE140" s="154">
        <f>+AVERAGE(AE141:AE143)</f>
        <v>0.40608571428571433</v>
      </c>
      <c r="AF140" s="154">
        <f>+(AF141+AF142+AF143)*E140</f>
        <v>0.13619446153846154</v>
      </c>
      <c r="AG140" s="154">
        <f>+(AG141+AG142+AG143)*E140</f>
        <v>0.15</v>
      </c>
      <c r="AH140" s="154">
        <f>+(AH141+AH142+AH143)*E140</f>
        <v>0.11904771428571428</v>
      </c>
      <c r="AI140" s="133">
        <f>+AVERAGE(AI141:AI143)</f>
        <v>0.2016266666666667</v>
      </c>
      <c r="AJ140" s="133">
        <v>1</v>
      </c>
      <c r="AK140" s="133">
        <f>+AVERAGE(AK141:AK143)</f>
        <v>1</v>
      </c>
      <c r="AL140" s="183">
        <f>+(AL141+AL142+AL143)*E140</f>
        <v>3.5951400000000001E-2</v>
      </c>
      <c r="AM140" s="183">
        <f>+(AM141+AM142+AM143)</f>
        <v>1</v>
      </c>
      <c r="AN140" s="183">
        <f>+(AN141+AN142+AN143)</f>
        <v>1</v>
      </c>
      <c r="AO140" s="770"/>
      <c r="AP140" s="490"/>
      <c r="AQ140" s="490"/>
      <c r="AR140" s="490"/>
      <c r="AS140" s="490"/>
      <c r="AT140" s="984"/>
      <c r="AU140" s="490"/>
      <c r="AV140" s="490"/>
    </row>
    <row r="141" spans="1:49" ht="108" customHeight="1" thickBot="1" x14ac:dyDescent="0.4">
      <c r="A141" s="119"/>
      <c r="B141" s="1378" t="s">
        <v>926</v>
      </c>
      <c r="C141" s="1404" t="s">
        <v>1365</v>
      </c>
      <c r="D141" s="191" t="s">
        <v>927</v>
      </c>
      <c r="E141" s="188">
        <v>0.05</v>
      </c>
      <c r="F141" s="186">
        <v>10</v>
      </c>
      <c r="G141" s="134">
        <v>0.3</v>
      </c>
      <c r="H141" s="602">
        <v>5</v>
      </c>
      <c r="I141" s="602">
        <v>4.5</v>
      </c>
      <c r="J141" s="139">
        <f>+G141/F141</f>
        <v>0.03</v>
      </c>
      <c r="K141" s="139">
        <f t="shared" ref="K141:K143" si="169">+H141/F141</f>
        <v>0.5</v>
      </c>
      <c r="L141" s="139"/>
      <c r="M141" s="139">
        <f>+(G141/F141)*E141</f>
        <v>1.5E-3</v>
      </c>
      <c r="N141" s="139">
        <f t="shared" ref="N141:N143" si="170">+(H141/F141)*E141</f>
        <v>2.5000000000000001E-2</v>
      </c>
      <c r="O141" s="139"/>
      <c r="P141" s="134">
        <v>0.3</v>
      </c>
      <c r="Q141" s="496">
        <v>0</v>
      </c>
      <c r="R141" s="496">
        <v>0.57948999999999995</v>
      </c>
      <c r="S141" s="496">
        <v>4</v>
      </c>
      <c r="T141" s="496">
        <v>4.42</v>
      </c>
      <c r="U141" s="496">
        <f>8.62-T141</f>
        <v>4.1999999999999993</v>
      </c>
      <c r="V141" s="168">
        <f t="shared" si="140"/>
        <v>13.199489999999999</v>
      </c>
      <c r="W141" s="168">
        <f>+V141+P141+AB141</f>
        <v>13.49949</v>
      </c>
      <c r="X141" s="497">
        <v>0</v>
      </c>
      <c r="Y141" s="168"/>
      <c r="Z141" s="168"/>
      <c r="AA141" s="168"/>
      <c r="AB141" s="168">
        <f t="shared" si="163"/>
        <v>0</v>
      </c>
      <c r="AC141" s="156">
        <f>+(P141/G141)</f>
        <v>1</v>
      </c>
      <c r="AD141" s="156">
        <v>1</v>
      </c>
      <c r="AE141" s="156">
        <f t="shared" ref="AE141:AE143" si="171">+AB141/I141</f>
        <v>0</v>
      </c>
      <c r="AF141" s="156">
        <f>+AC141*E141</f>
        <v>0.05</v>
      </c>
      <c r="AG141" s="156">
        <f>+AD141*E141</f>
        <v>0.05</v>
      </c>
      <c r="AH141" s="156">
        <f t="shared" ref="AH141:AH143" si="172">+AE141*E141</f>
        <v>0</v>
      </c>
      <c r="AI141" s="156">
        <f>+P141/F141</f>
        <v>0.03</v>
      </c>
      <c r="AJ141" s="190">
        <v>1</v>
      </c>
      <c r="AK141" s="190">
        <v>1</v>
      </c>
      <c r="AL141" s="190">
        <f>+AI141*E141</f>
        <v>1.5E-3</v>
      </c>
      <c r="AM141" s="190">
        <f>+AJ141*E141</f>
        <v>0.05</v>
      </c>
      <c r="AN141" s="190">
        <f t="shared" ref="AN141:AN143" si="173">+AK141*E141</f>
        <v>0.05</v>
      </c>
      <c r="AO141" s="603" t="s">
        <v>1846</v>
      </c>
      <c r="AP141" s="525" t="s">
        <v>1886</v>
      </c>
      <c r="AQ141" s="522" t="s">
        <v>1998</v>
      </c>
      <c r="AR141" s="526" t="s">
        <v>2010</v>
      </c>
      <c r="AS141" s="765" t="s">
        <v>2095</v>
      </c>
      <c r="AT141" s="688" t="s">
        <v>2145</v>
      </c>
      <c r="AU141" s="526" t="s">
        <v>2199</v>
      </c>
      <c r="AV141" s="526" t="s">
        <v>1887</v>
      </c>
    </row>
    <row r="142" spans="1:49" ht="87" customHeight="1" thickBot="1" x14ac:dyDescent="0.4">
      <c r="A142" s="119"/>
      <c r="B142" s="1378" t="s">
        <v>928</v>
      </c>
      <c r="C142" s="1404" t="s">
        <v>1366</v>
      </c>
      <c r="D142" s="191" t="s">
        <v>927</v>
      </c>
      <c r="E142" s="188">
        <v>0.75</v>
      </c>
      <c r="F142" s="186">
        <v>1</v>
      </c>
      <c r="G142" s="134">
        <v>0.13</v>
      </c>
      <c r="H142" s="134">
        <v>0.25</v>
      </c>
      <c r="I142" s="134">
        <f>0.25+0.13</f>
        <v>0.38</v>
      </c>
      <c r="J142" s="139">
        <f>+G142/F142</f>
        <v>0.13</v>
      </c>
      <c r="K142" s="139">
        <f t="shared" si="169"/>
        <v>0.25</v>
      </c>
      <c r="L142" s="139"/>
      <c r="M142" s="139">
        <f>+(G142/F142)*E142</f>
        <v>9.7500000000000003E-2</v>
      </c>
      <c r="N142" s="139">
        <f t="shared" si="170"/>
        <v>0.1875</v>
      </c>
      <c r="O142" s="139"/>
      <c r="P142" s="134">
        <v>0.224</v>
      </c>
      <c r="Q142" s="496">
        <f>0.296-P142</f>
        <v>7.1999999999999981E-2</v>
      </c>
      <c r="R142" s="496">
        <v>0</v>
      </c>
      <c r="S142" s="496">
        <v>0.18</v>
      </c>
      <c r="T142" s="496">
        <v>0.18</v>
      </c>
      <c r="U142" s="496">
        <f>0.27+0.125</f>
        <v>0.39500000000000002</v>
      </c>
      <c r="V142" s="134">
        <f t="shared" si="140"/>
        <v>0.82699999999999996</v>
      </c>
      <c r="W142" s="134">
        <f t="shared" si="168"/>
        <v>1.4510000000000001</v>
      </c>
      <c r="X142" s="496">
        <v>0.4</v>
      </c>
      <c r="Y142" s="496">
        <v>0</v>
      </c>
      <c r="Z142" s="134"/>
      <c r="AA142" s="134"/>
      <c r="AB142" s="134">
        <f t="shared" si="163"/>
        <v>0.4</v>
      </c>
      <c r="AC142" s="156">
        <v>1</v>
      </c>
      <c r="AD142" s="156">
        <v>1</v>
      </c>
      <c r="AE142" s="156">
        <v>1</v>
      </c>
      <c r="AF142" s="156">
        <f>+AC142*E142</f>
        <v>0.75</v>
      </c>
      <c r="AG142" s="156">
        <f>+AD142*E142</f>
        <v>0.75</v>
      </c>
      <c r="AH142" s="156">
        <f t="shared" si="172"/>
        <v>0.75</v>
      </c>
      <c r="AI142" s="156">
        <f>+P142/F142</f>
        <v>0.224</v>
      </c>
      <c r="AJ142" s="190">
        <v>1</v>
      </c>
      <c r="AK142" s="190">
        <v>1</v>
      </c>
      <c r="AL142" s="190">
        <f>+AI142*E142</f>
        <v>0.16800000000000001</v>
      </c>
      <c r="AM142" s="190">
        <f>+AJ142*E142</f>
        <v>0.75</v>
      </c>
      <c r="AN142" s="190">
        <f t="shared" si="173"/>
        <v>0.75</v>
      </c>
      <c r="AO142" s="603" t="s">
        <v>1846</v>
      </c>
      <c r="AP142" s="599" t="s">
        <v>1965</v>
      </c>
      <c r="AQ142" s="599" t="s">
        <v>1997</v>
      </c>
      <c r="AR142" s="599" t="s">
        <v>2043</v>
      </c>
      <c r="AS142" s="599" t="s">
        <v>2131</v>
      </c>
      <c r="AT142" s="688" t="s">
        <v>2145</v>
      </c>
      <c r="AU142" s="599" t="s">
        <v>2226</v>
      </c>
      <c r="AV142" s="526" t="s">
        <v>1887</v>
      </c>
      <c r="AW142" s="526" t="s">
        <v>2294</v>
      </c>
    </row>
    <row r="143" spans="1:49" ht="108.6" customHeight="1" thickBot="1" x14ac:dyDescent="0.4">
      <c r="A143" s="119"/>
      <c r="B143" s="1378" t="s">
        <v>929</v>
      </c>
      <c r="C143" s="1404" t="s">
        <v>1367</v>
      </c>
      <c r="D143" s="209" t="s">
        <v>927</v>
      </c>
      <c r="E143" s="188">
        <v>0.2</v>
      </c>
      <c r="F143" s="186">
        <v>100000</v>
      </c>
      <c r="G143" s="134">
        <f>40000+25000</f>
        <v>65000</v>
      </c>
      <c r="H143" s="134">
        <v>25000</v>
      </c>
      <c r="I143" s="134">
        <f>45000+25000</f>
        <v>70000</v>
      </c>
      <c r="J143" s="139">
        <f>+G143/F143</f>
        <v>0.65</v>
      </c>
      <c r="K143" s="139">
        <f t="shared" si="169"/>
        <v>0.25</v>
      </c>
      <c r="L143" s="139"/>
      <c r="M143" s="139">
        <f>+(G143/F143)*E143</f>
        <v>0.13</v>
      </c>
      <c r="N143" s="139">
        <f t="shared" si="170"/>
        <v>0.05</v>
      </c>
      <c r="O143" s="139"/>
      <c r="P143" s="134">
        <v>35088</v>
      </c>
      <c r="Q143" s="496">
        <v>28873</v>
      </c>
      <c r="R143" s="496">
        <v>694</v>
      </c>
      <c r="S143" s="496">
        <f>6826+112289</f>
        <v>119115</v>
      </c>
      <c r="T143" s="496">
        <v>16799</v>
      </c>
      <c r="U143" s="496">
        <v>3178</v>
      </c>
      <c r="V143" s="134">
        <f t="shared" si="140"/>
        <v>168659</v>
      </c>
      <c r="W143" s="208">
        <f>+V143+P143+19455+28873+AB143</f>
        <v>267353</v>
      </c>
      <c r="X143" s="499">
        <v>2554</v>
      </c>
      <c r="Y143" s="499">
        <v>12724</v>
      </c>
      <c r="Z143" s="208"/>
      <c r="AA143" s="208"/>
      <c r="AB143" s="134">
        <f t="shared" si="163"/>
        <v>15278</v>
      </c>
      <c r="AC143" s="156">
        <f>+(P143/G143)</f>
        <v>0.53981538461538459</v>
      </c>
      <c r="AD143" s="156">
        <v>1</v>
      </c>
      <c r="AE143" s="156">
        <f t="shared" si="171"/>
        <v>0.21825714285714284</v>
      </c>
      <c r="AF143" s="156">
        <f>+AC143*E143</f>
        <v>0.10796307692307693</v>
      </c>
      <c r="AG143" s="156">
        <f>+AD143*E143</f>
        <v>0.2</v>
      </c>
      <c r="AH143" s="156">
        <f t="shared" si="172"/>
        <v>4.365142857142857E-2</v>
      </c>
      <c r="AI143" s="156">
        <f>+P143/F143</f>
        <v>0.35088000000000003</v>
      </c>
      <c r="AJ143" s="190">
        <v>1</v>
      </c>
      <c r="AK143" s="190">
        <v>1</v>
      </c>
      <c r="AL143" s="190">
        <f>+AI143*E143</f>
        <v>7.0176000000000002E-2</v>
      </c>
      <c r="AM143" s="190">
        <f>+AJ143*E143</f>
        <v>0.2</v>
      </c>
      <c r="AN143" s="190">
        <f t="shared" si="173"/>
        <v>0.2</v>
      </c>
      <c r="AO143" s="603" t="s">
        <v>1846</v>
      </c>
      <c r="AP143" s="640" t="s">
        <v>1901</v>
      </c>
      <c r="AQ143" s="490"/>
      <c r="AR143" s="526" t="s">
        <v>2010</v>
      </c>
      <c r="AS143" s="765" t="s">
        <v>2110</v>
      </c>
      <c r="AT143" s="688" t="s">
        <v>2145</v>
      </c>
      <c r="AU143" s="526" t="s">
        <v>2199</v>
      </c>
      <c r="AV143" s="526" t="s">
        <v>1887</v>
      </c>
      <c r="AW143" s="526" t="s">
        <v>2294</v>
      </c>
    </row>
    <row r="144" spans="1:49" ht="121.95" customHeight="1" thickBot="1" x14ac:dyDescent="0.4">
      <c r="A144" s="119"/>
      <c r="B144" s="1376" t="s">
        <v>1745</v>
      </c>
      <c r="C144" s="1412"/>
      <c r="D144" s="191"/>
      <c r="E144" s="192">
        <v>0.25</v>
      </c>
      <c r="F144" s="186"/>
      <c r="G144" s="127"/>
      <c r="H144" s="127"/>
      <c r="I144" s="127"/>
      <c r="J144" s="133">
        <f>+AVERAGE(J145:J149)</f>
        <v>0.42000000000000004</v>
      </c>
      <c r="K144" s="133">
        <f>+AVERAGE(K145:K149)</f>
        <v>0.19</v>
      </c>
      <c r="L144" s="133">
        <f>+AVERAGE(L145:L149)</f>
        <v>0.4</v>
      </c>
      <c r="M144" s="133">
        <f>+M145+M146+M147+M148+M149</f>
        <v>0.30500000000000005</v>
      </c>
      <c r="N144" s="133">
        <f>+N145+N146+N147+N148+N149</f>
        <v>0.11000000000000001</v>
      </c>
      <c r="O144" s="133"/>
      <c r="P144" s="132"/>
      <c r="Q144" s="132"/>
      <c r="R144" s="132"/>
      <c r="S144" s="132"/>
      <c r="T144" s="132"/>
      <c r="U144" s="839"/>
      <c r="V144" s="134"/>
      <c r="W144" s="132"/>
      <c r="X144" s="132"/>
      <c r="Y144" s="132"/>
      <c r="Z144" s="132"/>
      <c r="AA144" s="132"/>
      <c r="AB144" s="132"/>
      <c r="AC144" s="154">
        <f>+AVERAGE(AC145:AC149)</f>
        <v>0.96666666666666667</v>
      </c>
      <c r="AD144" s="154">
        <f>+AVERAGE(AD145:AD149)</f>
        <v>1</v>
      </c>
      <c r="AE144" s="154">
        <f>+AVERAGE(AE145:AE149)</f>
        <v>0.14499999999999999</v>
      </c>
      <c r="AF144" s="154">
        <f>+(AF145+AF146+AF147+AF148+AF149)*E144</f>
        <v>8.2500000000000004E-2</v>
      </c>
      <c r="AG144" s="154">
        <f>+(AG145+AG146+AG147+AG148+AG149)*E144</f>
        <v>8.7500000000000008E-2</v>
      </c>
      <c r="AH144" s="154">
        <f>+(AH145+AH146+AH147+AH148+AH149)*E144</f>
        <v>1.8937499999999999E-2</v>
      </c>
      <c r="AI144" s="133">
        <f>+AVERAGE(AI145:AI149)</f>
        <v>0.4</v>
      </c>
      <c r="AJ144" s="133">
        <v>0.45</v>
      </c>
      <c r="AK144" s="133">
        <f>+AVERAGE(AK145:AK149)</f>
        <v>0.48600000000000004</v>
      </c>
      <c r="AL144" s="183">
        <f>+(AL145+AL146+AL147+AL148+AL149)*E144</f>
        <v>7.1250000000000008E-2</v>
      </c>
      <c r="AM144" s="183">
        <f>+(AM145+AM146+AM147+AM148+AM149)</f>
        <v>0.31250000000000006</v>
      </c>
      <c r="AN144" s="183">
        <f>+(AN145+AN146+AN147+AN148+AN149)</f>
        <v>0.32150000000000006</v>
      </c>
      <c r="AO144" s="775" t="s">
        <v>1860</v>
      </c>
      <c r="AP144" s="490"/>
      <c r="AQ144" s="490"/>
      <c r="AR144" s="490"/>
      <c r="AS144" s="490"/>
      <c r="AT144" s="984"/>
      <c r="AU144" s="490"/>
      <c r="AV144" s="490"/>
    </row>
    <row r="145" spans="1:49" ht="120.6" customHeight="1" thickBot="1" x14ac:dyDescent="0.4">
      <c r="A145" s="119"/>
      <c r="B145" s="1378" t="s">
        <v>930</v>
      </c>
      <c r="C145" s="1404" t="s">
        <v>1368</v>
      </c>
      <c r="D145" s="184" t="s">
        <v>1571</v>
      </c>
      <c r="E145" s="188">
        <v>0.5</v>
      </c>
      <c r="F145" s="186">
        <v>10</v>
      </c>
      <c r="G145" s="134">
        <v>0</v>
      </c>
      <c r="H145" s="134">
        <v>0</v>
      </c>
      <c r="I145" s="134">
        <v>4</v>
      </c>
      <c r="J145" s="139">
        <v>0</v>
      </c>
      <c r="K145" s="139">
        <f t="shared" ref="K145:K149" si="174">+H145/F145</f>
        <v>0</v>
      </c>
      <c r="L145" s="139">
        <f t="shared" ref="L145:L148" si="175">+I145/F145</f>
        <v>0.4</v>
      </c>
      <c r="M145" s="139"/>
      <c r="N145" s="139">
        <f t="shared" ref="N145:N149" si="176">+(H145/F145)*E145</f>
        <v>0</v>
      </c>
      <c r="O145" s="139"/>
      <c r="P145" s="134"/>
      <c r="Q145" s="496"/>
      <c r="R145" s="496"/>
      <c r="S145" s="496"/>
      <c r="T145" s="496"/>
      <c r="U145" s="496"/>
      <c r="V145" s="134">
        <f t="shared" si="140"/>
        <v>0</v>
      </c>
      <c r="W145" s="168">
        <f>+V145+P145+AB145</f>
        <v>0</v>
      </c>
      <c r="X145" s="496">
        <v>0</v>
      </c>
      <c r="Y145" s="496">
        <v>0</v>
      </c>
      <c r="Z145" s="134"/>
      <c r="AA145" s="134"/>
      <c r="AB145" s="134">
        <f t="shared" si="163"/>
        <v>0</v>
      </c>
      <c r="AC145" s="156"/>
      <c r="AD145" s="156"/>
      <c r="AE145" s="156">
        <f t="shared" ref="AE145:AE148" si="177">+AB145/I145</f>
        <v>0</v>
      </c>
      <c r="AF145" s="156"/>
      <c r="AG145" s="156">
        <f>+AD145*E145</f>
        <v>0</v>
      </c>
      <c r="AH145" s="156">
        <f t="shared" ref="AH145:AH149" si="178">+AE145*E145</f>
        <v>0</v>
      </c>
      <c r="AI145" s="156">
        <v>0</v>
      </c>
      <c r="AJ145" s="190">
        <v>0</v>
      </c>
      <c r="AK145" s="190">
        <f t="shared" ref="AK145:AK149" si="179">+W145/F145</f>
        <v>0</v>
      </c>
      <c r="AL145" s="190">
        <v>0</v>
      </c>
      <c r="AM145" s="190">
        <f>+AJ145*E145</f>
        <v>0</v>
      </c>
      <c r="AN145" s="190">
        <f t="shared" ref="AN145:AN149" si="180">+AK145*E145</f>
        <v>0</v>
      </c>
      <c r="AO145" s="603" t="s">
        <v>1846</v>
      </c>
      <c r="AP145" s="525" t="s">
        <v>1886</v>
      </c>
      <c r="AQ145" s="490"/>
      <c r="AR145" s="526" t="s">
        <v>2010</v>
      </c>
      <c r="AS145" s="599" t="s">
        <v>2082</v>
      </c>
      <c r="AT145" s="688" t="s">
        <v>2145</v>
      </c>
      <c r="AU145" s="526" t="s">
        <v>2199</v>
      </c>
      <c r="AV145" s="526" t="s">
        <v>1887</v>
      </c>
      <c r="AW145" s="526" t="s">
        <v>2294</v>
      </c>
    </row>
    <row r="146" spans="1:49" ht="55.2" customHeight="1" thickBot="1" x14ac:dyDescent="0.4">
      <c r="A146" s="119"/>
      <c r="B146" s="1378" t="s">
        <v>931</v>
      </c>
      <c r="C146" s="1404" t="s">
        <v>1369</v>
      </c>
      <c r="D146" s="184" t="s">
        <v>790</v>
      </c>
      <c r="E146" s="188">
        <v>0.1</v>
      </c>
      <c r="F146" s="186">
        <v>1</v>
      </c>
      <c r="G146" s="134">
        <v>1</v>
      </c>
      <c r="H146" s="134">
        <v>0.5</v>
      </c>
      <c r="I146" s="134">
        <v>0</v>
      </c>
      <c r="J146" s="139">
        <f>+G146/F146</f>
        <v>1</v>
      </c>
      <c r="K146" s="139">
        <f t="shared" si="174"/>
        <v>0.5</v>
      </c>
      <c r="L146" s="139"/>
      <c r="M146" s="139">
        <f>+(G146/F146)*E146</f>
        <v>0.1</v>
      </c>
      <c r="N146" s="139">
        <f t="shared" si="176"/>
        <v>0.05</v>
      </c>
      <c r="O146" s="139"/>
      <c r="P146" s="168">
        <v>1</v>
      </c>
      <c r="Q146" s="496">
        <v>0</v>
      </c>
      <c r="R146" s="496">
        <v>0.8</v>
      </c>
      <c r="S146" s="496">
        <v>0.6</v>
      </c>
      <c r="T146" s="496">
        <v>0</v>
      </c>
      <c r="U146" s="496">
        <v>0</v>
      </c>
      <c r="V146" s="134">
        <f t="shared" si="140"/>
        <v>1.4</v>
      </c>
      <c r="W146" s="168">
        <f t="shared" ref="W146:W149" si="181">+V146+P146+AB146</f>
        <v>2.4</v>
      </c>
      <c r="X146" s="496">
        <v>0</v>
      </c>
      <c r="Y146" s="496">
        <v>0</v>
      </c>
      <c r="Z146" s="134"/>
      <c r="AA146" s="134"/>
      <c r="AB146" s="134">
        <f t="shared" si="163"/>
        <v>0</v>
      </c>
      <c r="AC146" s="156">
        <f>+(P146/G146)</f>
        <v>1</v>
      </c>
      <c r="AD146" s="156">
        <v>1</v>
      </c>
      <c r="AE146" s="156"/>
      <c r="AF146" s="156">
        <f>+AC146*E146</f>
        <v>0.1</v>
      </c>
      <c r="AG146" s="156">
        <f>+AD146*E146</f>
        <v>0.1</v>
      </c>
      <c r="AH146" s="156"/>
      <c r="AI146" s="156">
        <f>+P146/F146</f>
        <v>1</v>
      </c>
      <c r="AJ146" s="190">
        <v>1</v>
      </c>
      <c r="AK146" s="190">
        <v>1</v>
      </c>
      <c r="AL146" s="190">
        <f>+AI146*E146</f>
        <v>0.1</v>
      </c>
      <c r="AM146" s="190">
        <f>+AJ146*E146</f>
        <v>0.1</v>
      </c>
      <c r="AN146" s="190">
        <f t="shared" si="180"/>
        <v>0.1</v>
      </c>
      <c r="AO146" s="603" t="s">
        <v>1588</v>
      </c>
      <c r="AP146" s="525" t="s">
        <v>1886</v>
      </c>
      <c r="AQ146" s="525" t="s">
        <v>1990</v>
      </c>
      <c r="AR146" s="526" t="s">
        <v>2010</v>
      </c>
      <c r="AS146" s="526" t="s">
        <v>2108</v>
      </c>
      <c r="AT146" s="688" t="s">
        <v>2145</v>
      </c>
      <c r="AU146" s="526" t="s">
        <v>2199</v>
      </c>
      <c r="AV146" s="526" t="s">
        <v>1887</v>
      </c>
      <c r="AW146" s="526" t="s">
        <v>2294</v>
      </c>
    </row>
    <row r="147" spans="1:49" ht="54.6" customHeight="1" thickBot="1" x14ac:dyDescent="0.4">
      <c r="A147" s="119"/>
      <c r="B147" s="1378" t="s">
        <v>932</v>
      </c>
      <c r="C147" s="1404" t="s">
        <v>1370</v>
      </c>
      <c r="D147" s="184" t="s">
        <v>790</v>
      </c>
      <c r="E147" s="188">
        <v>0.2</v>
      </c>
      <c r="F147" s="186">
        <v>1</v>
      </c>
      <c r="G147" s="134">
        <v>1</v>
      </c>
      <c r="H147" s="134">
        <v>0.25</v>
      </c>
      <c r="I147" s="134">
        <v>1</v>
      </c>
      <c r="J147" s="139">
        <f>+G147/F147</f>
        <v>1</v>
      </c>
      <c r="K147" s="139">
        <f t="shared" si="174"/>
        <v>0.25</v>
      </c>
      <c r="L147" s="139"/>
      <c r="M147" s="139">
        <f>+(G147/F147)*E147</f>
        <v>0.2</v>
      </c>
      <c r="N147" s="139">
        <f t="shared" si="176"/>
        <v>0.05</v>
      </c>
      <c r="O147" s="139"/>
      <c r="P147" s="134">
        <v>0.9</v>
      </c>
      <c r="Q147" s="496">
        <v>0.15</v>
      </c>
      <c r="R147" s="496">
        <v>0.26</v>
      </c>
      <c r="S147" s="496">
        <v>0.16</v>
      </c>
      <c r="T147" s="496">
        <v>0</v>
      </c>
      <c r="U147" s="496">
        <v>0</v>
      </c>
      <c r="V147" s="134">
        <f t="shared" si="140"/>
        <v>0.57000000000000006</v>
      </c>
      <c r="W147" s="168">
        <f t="shared" si="181"/>
        <v>1.83</v>
      </c>
      <c r="X147" s="496">
        <v>0.23</v>
      </c>
      <c r="Y147" s="496">
        <v>0.13</v>
      </c>
      <c r="Z147" s="134"/>
      <c r="AA147" s="134"/>
      <c r="AB147" s="134">
        <f t="shared" si="163"/>
        <v>0.36</v>
      </c>
      <c r="AC147" s="156">
        <f>+(P147/G147)</f>
        <v>0.9</v>
      </c>
      <c r="AD147" s="156">
        <v>1</v>
      </c>
      <c r="AE147" s="156">
        <f t="shared" si="177"/>
        <v>0.36</v>
      </c>
      <c r="AF147" s="156">
        <f>+AC147*E147</f>
        <v>0.18000000000000002</v>
      </c>
      <c r="AG147" s="156">
        <f>+AD147*E147</f>
        <v>0.2</v>
      </c>
      <c r="AH147" s="156">
        <f t="shared" si="178"/>
        <v>7.1999999999999995E-2</v>
      </c>
      <c r="AI147" s="156">
        <f>+P147/F147</f>
        <v>0.9</v>
      </c>
      <c r="AJ147" s="190">
        <v>1</v>
      </c>
      <c r="AK147" s="190">
        <v>1</v>
      </c>
      <c r="AL147" s="190">
        <f>+AI147*E147</f>
        <v>0.18000000000000002</v>
      </c>
      <c r="AM147" s="190">
        <f>+AJ147*E147</f>
        <v>0.2</v>
      </c>
      <c r="AN147" s="190">
        <f t="shared" si="180"/>
        <v>0.2</v>
      </c>
      <c r="AO147" s="603" t="s">
        <v>1846</v>
      </c>
      <c r="AP147" s="525" t="s">
        <v>1886</v>
      </c>
      <c r="AQ147" s="525" t="s">
        <v>1990</v>
      </c>
      <c r="AR147" s="599" t="s">
        <v>2044</v>
      </c>
      <c r="AS147" s="526" t="s">
        <v>2108</v>
      </c>
      <c r="AT147" s="688" t="s">
        <v>2145</v>
      </c>
      <c r="AU147" s="526" t="s">
        <v>2199</v>
      </c>
      <c r="AV147" s="526" t="s">
        <v>1887</v>
      </c>
      <c r="AW147" s="526" t="s">
        <v>2294</v>
      </c>
    </row>
    <row r="148" spans="1:49" ht="78.599999999999994" customHeight="1" thickBot="1" x14ac:dyDescent="0.4">
      <c r="A148" s="119"/>
      <c r="B148" s="1378" t="s">
        <v>933</v>
      </c>
      <c r="C148" s="1404" t="s">
        <v>1371</v>
      </c>
      <c r="D148" s="184" t="s">
        <v>560</v>
      </c>
      <c r="E148" s="188">
        <v>0.05</v>
      </c>
      <c r="F148" s="186">
        <v>1</v>
      </c>
      <c r="G148" s="203">
        <v>0.1</v>
      </c>
      <c r="H148" s="203">
        <v>0.2</v>
      </c>
      <c r="I148" s="203">
        <v>0.4</v>
      </c>
      <c r="J148" s="139">
        <f>+G148/F148</f>
        <v>0.1</v>
      </c>
      <c r="K148" s="139">
        <f t="shared" si="174"/>
        <v>0.2</v>
      </c>
      <c r="L148" s="139">
        <f t="shared" si="175"/>
        <v>0.4</v>
      </c>
      <c r="M148" s="139">
        <f>+(G148/F148)*E148</f>
        <v>5.000000000000001E-3</v>
      </c>
      <c r="N148" s="139">
        <f t="shared" si="176"/>
        <v>1.0000000000000002E-2</v>
      </c>
      <c r="O148" s="139"/>
      <c r="P148" s="210">
        <v>0.1</v>
      </c>
      <c r="Q148" s="500">
        <v>0.02</v>
      </c>
      <c r="R148" s="500">
        <v>0.04</v>
      </c>
      <c r="S148" s="500">
        <v>0.08</v>
      </c>
      <c r="T148" s="500">
        <v>0.01</v>
      </c>
      <c r="U148" s="500">
        <v>0.05</v>
      </c>
      <c r="V148" s="210">
        <f t="shared" si="140"/>
        <v>0.2</v>
      </c>
      <c r="W148" s="168">
        <f>+V148+P148+AB148+0.1</f>
        <v>0.43000000000000005</v>
      </c>
      <c r="X148" s="500">
        <v>0.01</v>
      </c>
      <c r="Y148" s="500">
        <v>0.02</v>
      </c>
      <c r="Z148" s="210"/>
      <c r="AA148" s="210"/>
      <c r="AB148" s="210">
        <f>+X148+Y148+Z148+AA148</f>
        <v>0.03</v>
      </c>
      <c r="AC148" s="156">
        <f>+(P148/G148)</f>
        <v>1</v>
      </c>
      <c r="AD148" s="156">
        <f>+V148/H148</f>
        <v>1</v>
      </c>
      <c r="AE148" s="156">
        <f t="shared" si="177"/>
        <v>7.4999999999999997E-2</v>
      </c>
      <c r="AF148" s="156">
        <f>+AC148*E148</f>
        <v>0.05</v>
      </c>
      <c r="AG148" s="156">
        <f>+AD148*E148</f>
        <v>0.05</v>
      </c>
      <c r="AH148" s="156">
        <f t="shared" si="178"/>
        <v>3.7499999999999999E-3</v>
      </c>
      <c r="AI148" s="156">
        <f>+P148/F148</f>
        <v>0.1</v>
      </c>
      <c r="AJ148" s="190">
        <v>0.25</v>
      </c>
      <c r="AK148" s="190">
        <f t="shared" si="179"/>
        <v>0.43000000000000005</v>
      </c>
      <c r="AL148" s="190">
        <f>+AI148*E148</f>
        <v>5.000000000000001E-3</v>
      </c>
      <c r="AM148" s="190">
        <f>+AJ148*E148</f>
        <v>1.2500000000000001E-2</v>
      </c>
      <c r="AN148" s="190">
        <f t="shared" si="180"/>
        <v>2.1500000000000005E-2</v>
      </c>
      <c r="AO148" s="603" t="s">
        <v>1846</v>
      </c>
      <c r="AP148" s="525" t="s">
        <v>1886</v>
      </c>
      <c r="AQ148" s="525" t="s">
        <v>1990</v>
      </c>
      <c r="AR148" s="526" t="s">
        <v>2010</v>
      </c>
      <c r="AS148" s="765" t="s">
        <v>2090</v>
      </c>
      <c r="AT148" s="688" t="s">
        <v>2145</v>
      </c>
      <c r="AU148" s="526" t="s">
        <v>2199</v>
      </c>
      <c r="AV148" s="526" t="s">
        <v>1887</v>
      </c>
      <c r="AW148" s="526" t="s">
        <v>2294</v>
      </c>
    </row>
    <row r="149" spans="1:49" ht="70.95" customHeight="1" thickBot="1" x14ac:dyDescent="0.4">
      <c r="A149" s="119"/>
      <c r="B149" s="1378" t="s">
        <v>934</v>
      </c>
      <c r="C149" s="1404" t="s">
        <v>1372</v>
      </c>
      <c r="D149" s="184" t="s">
        <v>1536</v>
      </c>
      <c r="E149" s="188">
        <v>0.15</v>
      </c>
      <c r="F149" s="186">
        <v>1</v>
      </c>
      <c r="G149" s="203">
        <v>0</v>
      </c>
      <c r="H149" s="203">
        <v>0</v>
      </c>
      <c r="I149" s="203"/>
      <c r="J149" s="139">
        <v>0</v>
      </c>
      <c r="K149" s="139">
        <f t="shared" si="174"/>
        <v>0</v>
      </c>
      <c r="L149" s="139"/>
      <c r="M149" s="139"/>
      <c r="N149" s="139">
        <f t="shared" si="176"/>
        <v>0</v>
      </c>
      <c r="O149" s="139"/>
      <c r="P149" s="212"/>
      <c r="Q149" s="501"/>
      <c r="R149" s="212"/>
      <c r="S149" s="212"/>
      <c r="T149" s="212"/>
      <c r="U149" s="841"/>
      <c r="V149" s="212">
        <f t="shared" si="140"/>
        <v>0</v>
      </c>
      <c r="W149" s="168">
        <f t="shared" si="181"/>
        <v>0</v>
      </c>
      <c r="X149" s="212"/>
      <c r="Y149" s="212"/>
      <c r="Z149" s="212"/>
      <c r="AA149" s="212"/>
      <c r="AB149" s="212">
        <f t="shared" si="163"/>
        <v>0</v>
      </c>
      <c r="AC149" s="156"/>
      <c r="AD149" s="156"/>
      <c r="AE149" s="156"/>
      <c r="AF149" s="156"/>
      <c r="AG149" s="156">
        <f>+AD149*E149</f>
        <v>0</v>
      </c>
      <c r="AH149" s="156">
        <f t="shared" si="178"/>
        <v>0</v>
      </c>
      <c r="AI149" s="156">
        <v>0</v>
      </c>
      <c r="AJ149" s="190">
        <v>0</v>
      </c>
      <c r="AK149" s="190">
        <f t="shared" si="179"/>
        <v>0</v>
      </c>
      <c r="AL149" s="190"/>
      <c r="AM149" s="190">
        <f>+AJ149*E149</f>
        <v>0</v>
      </c>
      <c r="AN149" s="190">
        <f t="shared" si="180"/>
        <v>0</v>
      </c>
      <c r="AO149" s="603" t="s">
        <v>1846</v>
      </c>
      <c r="AP149" s="599" t="s">
        <v>1969</v>
      </c>
      <c r="AQ149" s="490"/>
      <c r="AR149" s="599" t="s">
        <v>2043</v>
      </c>
      <c r="AS149" s="490"/>
      <c r="AT149" s="984"/>
      <c r="AU149" s="490"/>
      <c r="AV149" s="490"/>
    </row>
    <row r="150" spans="1:49" ht="57" customHeight="1" thickBot="1" x14ac:dyDescent="0.4">
      <c r="A150" s="119"/>
      <c r="B150" s="1376" t="s">
        <v>1746</v>
      </c>
      <c r="C150" s="1412"/>
      <c r="D150" s="191"/>
      <c r="E150" s="192">
        <v>0.3</v>
      </c>
      <c r="F150" s="186"/>
      <c r="G150" s="127"/>
      <c r="H150" s="127"/>
      <c r="I150" s="127"/>
      <c r="J150" s="133">
        <f>+AVERAGE(J151:J158)</f>
        <v>0.14222222222222222</v>
      </c>
      <c r="K150" s="133">
        <f>+AVERAGE(K151:K158)</f>
        <v>0.18523809523809523</v>
      </c>
      <c r="L150" s="133">
        <f>+AVERAGE(L151:L158)</f>
        <v>0.26250000000000001</v>
      </c>
      <c r="M150" s="133">
        <f>+M151+M152+M153+M154+M155+M156+M157+M158</f>
        <v>0.10183333333333333</v>
      </c>
      <c r="N150" s="133">
        <f>+N151+N152+N153+N154+N155+N156+N157+N158</f>
        <v>0.24816666666666667</v>
      </c>
      <c r="O150" s="133"/>
      <c r="P150" s="132"/>
      <c r="Q150" s="132"/>
      <c r="R150" s="132"/>
      <c r="S150" s="132"/>
      <c r="T150" s="132"/>
      <c r="U150" s="839"/>
      <c r="V150" s="134"/>
      <c r="W150" s="132"/>
      <c r="X150" s="132"/>
      <c r="Y150" s="132"/>
      <c r="Z150" s="132"/>
      <c r="AA150" s="132"/>
      <c r="AB150" s="132"/>
      <c r="AC150" s="154">
        <f>+AVERAGE(AC151:AC158)</f>
        <v>0.80333333333333323</v>
      </c>
      <c r="AD150" s="154">
        <f>+AVERAGE(AD151:AD158)</f>
        <v>0.83551724137931027</v>
      </c>
      <c r="AE150" s="154">
        <f>+AVERAGE(AE151:AE158)</f>
        <v>0.39999999999999997</v>
      </c>
      <c r="AF150" s="154">
        <f>+(AF151+AF152+AF153+AF154+AF155+AF156+AF157+AF158)*E150</f>
        <v>0.23130000000000001</v>
      </c>
      <c r="AG150" s="154">
        <f>+(AG151+AG152+AG153+AG154+AG155+AG156+AG157+AG158)*E150</f>
        <v>0.20291379310344829</v>
      </c>
      <c r="AH150" s="154">
        <f>+(AH151+AH152+AH153+AH154+AH155+AH156+AH157+AH158)*E150</f>
        <v>2.7000000000000003E-2</v>
      </c>
      <c r="AI150" s="133">
        <f>+AVERAGE(AI151:AI158)</f>
        <v>0.12000000000000001</v>
      </c>
      <c r="AJ150" s="133">
        <v>0.41444444444444439</v>
      </c>
      <c r="AK150" s="133">
        <f>+AVERAGE(AK151:AK158)</f>
        <v>0.45999999999999996</v>
      </c>
      <c r="AL150" s="183">
        <f>+(AL151+AL152+AL153+AL154+AL155+AL156+AL157)*E150</f>
        <v>2.8350000000000004E-2</v>
      </c>
      <c r="AM150" s="183">
        <f>+(AM151+AM152+AM153+AM154+AM155+AM156+AM157)</f>
        <v>0.58966666666666667</v>
      </c>
      <c r="AN150" s="183">
        <f>+(AN151+AN152+AN153+AN154+AN155+AN156+AN157)</f>
        <v>0.67800000000000005</v>
      </c>
      <c r="AO150" s="770"/>
      <c r="AP150" s="490"/>
      <c r="AQ150" s="490"/>
      <c r="AR150" s="490"/>
      <c r="AS150" s="490"/>
      <c r="AT150" s="984"/>
      <c r="AU150" s="490"/>
      <c r="AV150" s="490"/>
    </row>
    <row r="151" spans="1:49" ht="87.6" customHeight="1" thickBot="1" x14ac:dyDescent="0.4">
      <c r="A151" s="119"/>
      <c r="B151" s="1378" t="s">
        <v>935</v>
      </c>
      <c r="C151" s="1404" t="s">
        <v>1373</v>
      </c>
      <c r="D151" s="213" t="s">
        <v>936</v>
      </c>
      <c r="E151" s="214">
        <v>0.5</v>
      </c>
      <c r="F151" s="186">
        <v>10</v>
      </c>
      <c r="G151" s="134">
        <v>1</v>
      </c>
      <c r="H151" s="134">
        <v>4</v>
      </c>
      <c r="I151" s="134">
        <v>5</v>
      </c>
      <c r="J151" s="139">
        <f t="shared" ref="J151:J157" si="182">+G151/F151</f>
        <v>0.1</v>
      </c>
      <c r="K151" s="139">
        <f t="shared" ref="K151:K158" si="183">+H151/F151</f>
        <v>0.4</v>
      </c>
      <c r="L151" s="139"/>
      <c r="M151" s="139">
        <f t="shared" ref="M151:M157" si="184">+(G151/F151)*E151</f>
        <v>0.05</v>
      </c>
      <c r="N151" s="139">
        <f t="shared" ref="N151:N158" si="185">+(H151/F151)*E151</f>
        <v>0.2</v>
      </c>
      <c r="O151" s="139"/>
      <c r="P151" s="496">
        <v>1</v>
      </c>
      <c r="Q151" s="496">
        <v>0.03</v>
      </c>
      <c r="R151" s="496">
        <v>5</v>
      </c>
      <c r="S151" s="496">
        <v>3.97</v>
      </c>
      <c r="T151" s="496">
        <v>0</v>
      </c>
      <c r="U151" s="496">
        <v>0</v>
      </c>
      <c r="V151" s="134">
        <f t="shared" si="140"/>
        <v>9</v>
      </c>
      <c r="W151" s="134">
        <f>+V151+P151+AB151</f>
        <v>10</v>
      </c>
      <c r="X151" s="496">
        <v>0</v>
      </c>
      <c r="Y151" s="496">
        <v>0</v>
      </c>
      <c r="Z151" s="134"/>
      <c r="AA151" s="134"/>
      <c r="AB151" s="134">
        <f t="shared" si="163"/>
        <v>0</v>
      </c>
      <c r="AC151" s="156">
        <f>+(P151/G151)</f>
        <v>1</v>
      </c>
      <c r="AD151" s="156">
        <v>1</v>
      </c>
      <c r="AE151" s="156">
        <f t="shared" ref="AE151:AE156" si="186">+AB151/I151</f>
        <v>0</v>
      </c>
      <c r="AF151" s="156">
        <f>+AC151*E151</f>
        <v>0.5</v>
      </c>
      <c r="AG151" s="156">
        <f>+AD151*E151</f>
        <v>0.5</v>
      </c>
      <c r="AH151" s="156">
        <f t="shared" ref="AH151:AH157" si="187">+AE151*E151</f>
        <v>0</v>
      </c>
      <c r="AI151" s="156">
        <f>+P151/F151</f>
        <v>0.1</v>
      </c>
      <c r="AJ151" s="190">
        <v>1</v>
      </c>
      <c r="AK151" s="190">
        <f t="shared" ref="AK151:AK157" si="188">+W151/F151</f>
        <v>1</v>
      </c>
      <c r="AL151" s="190">
        <f>+AI151*E151</f>
        <v>0.05</v>
      </c>
      <c r="AM151" s="190">
        <f t="shared" ref="AM151:AM158" si="189">+AJ151*E151</f>
        <v>0.5</v>
      </c>
      <c r="AN151" s="190">
        <f t="shared" ref="AN151:AN158" si="190">+AK151*E151</f>
        <v>0.5</v>
      </c>
      <c r="AO151" s="603" t="s">
        <v>1846</v>
      </c>
      <c r="AP151" s="525" t="s">
        <v>1886</v>
      </c>
      <c r="AQ151" s="525" t="s">
        <v>1990</v>
      </c>
      <c r="AR151" s="526" t="s">
        <v>2010</v>
      </c>
      <c r="AS151" s="526" t="s">
        <v>2108</v>
      </c>
      <c r="AT151" s="688" t="s">
        <v>2145</v>
      </c>
      <c r="AU151" s="526" t="s">
        <v>2199</v>
      </c>
      <c r="AV151" s="526" t="s">
        <v>1887</v>
      </c>
      <c r="AW151" s="526" t="s">
        <v>2294</v>
      </c>
    </row>
    <row r="152" spans="1:49" ht="121.2" customHeight="1" thickBot="1" x14ac:dyDescent="0.4">
      <c r="A152" s="119"/>
      <c r="B152" s="1378" t="s">
        <v>937</v>
      </c>
      <c r="C152" s="1404" t="s">
        <v>1374</v>
      </c>
      <c r="D152" s="184" t="s">
        <v>936</v>
      </c>
      <c r="E152" s="188">
        <v>0.05</v>
      </c>
      <c r="F152" s="186">
        <v>20</v>
      </c>
      <c r="G152" s="134">
        <v>5</v>
      </c>
      <c r="H152" s="134">
        <v>5</v>
      </c>
      <c r="I152" s="134">
        <v>5</v>
      </c>
      <c r="J152" s="139">
        <f t="shared" si="182"/>
        <v>0.25</v>
      </c>
      <c r="K152" s="139">
        <f t="shared" si="183"/>
        <v>0.25</v>
      </c>
      <c r="L152" s="139">
        <f t="shared" ref="L152:L157" si="191">+I152/F152</f>
        <v>0.25</v>
      </c>
      <c r="M152" s="139">
        <f t="shared" si="184"/>
        <v>1.2500000000000001E-2</v>
      </c>
      <c r="N152" s="139">
        <f t="shared" si="185"/>
        <v>1.2500000000000001E-2</v>
      </c>
      <c r="O152" s="139"/>
      <c r="P152" s="496">
        <v>3.6</v>
      </c>
      <c r="Q152" s="496">
        <v>0</v>
      </c>
      <c r="R152" s="496">
        <v>3</v>
      </c>
      <c r="S152" s="496">
        <v>1</v>
      </c>
      <c r="T152" s="496">
        <v>0</v>
      </c>
      <c r="U152" s="195">
        <v>1</v>
      </c>
      <c r="V152" s="134">
        <f t="shared" si="140"/>
        <v>5</v>
      </c>
      <c r="W152" s="134">
        <f t="shared" ref="W152:W155" si="192">+V152+P152+AB152</f>
        <v>16.600000000000001</v>
      </c>
      <c r="X152" s="496">
        <v>1</v>
      </c>
      <c r="Y152" s="134">
        <v>7</v>
      </c>
      <c r="Z152" s="134"/>
      <c r="AA152" s="134"/>
      <c r="AB152" s="134">
        <f t="shared" si="163"/>
        <v>8</v>
      </c>
      <c r="AC152" s="156">
        <f>+(P152/G152)</f>
        <v>0.72</v>
      </c>
      <c r="AD152" s="156">
        <f>+V152/H152</f>
        <v>1</v>
      </c>
      <c r="AE152" s="156">
        <v>1</v>
      </c>
      <c r="AF152" s="156">
        <f>+AC152*E152</f>
        <v>3.5999999999999997E-2</v>
      </c>
      <c r="AG152" s="156">
        <f>+AD152*E152</f>
        <v>0.05</v>
      </c>
      <c r="AH152" s="156">
        <f t="shared" si="187"/>
        <v>0.05</v>
      </c>
      <c r="AI152" s="156">
        <f>+P152/F152</f>
        <v>0.18</v>
      </c>
      <c r="AJ152" s="190">
        <v>0.43</v>
      </c>
      <c r="AK152" s="190">
        <f t="shared" si="188"/>
        <v>0.83000000000000007</v>
      </c>
      <c r="AL152" s="190">
        <f>+AI152*E152</f>
        <v>8.9999999999999993E-3</v>
      </c>
      <c r="AM152" s="190">
        <f t="shared" si="189"/>
        <v>2.1500000000000002E-2</v>
      </c>
      <c r="AN152" s="190">
        <f t="shared" si="190"/>
        <v>4.1500000000000009E-2</v>
      </c>
      <c r="AO152" s="603" t="s">
        <v>1846</v>
      </c>
      <c r="AP152" s="525" t="s">
        <v>1886</v>
      </c>
      <c r="AQ152" s="525" t="s">
        <v>1990</v>
      </c>
      <c r="AR152" s="526" t="s">
        <v>2010</v>
      </c>
      <c r="AS152" s="526" t="s">
        <v>2108</v>
      </c>
      <c r="AT152" s="688" t="s">
        <v>2145</v>
      </c>
      <c r="AU152" s="490"/>
      <c r="AV152" s="526" t="s">
        <v>1887</v>
      </c>
      <c r="AW152" s="526" t="s">
        <v>2294</v>
      </c>
    </row>
    <row r="153" spans="1:49" ht="108" customHeight="1" thickBot="1" x14ac:dyDescent="0.4">
      <c r="A153" s="119"/>
      <c r="B153" s="1378" t="s">
        <v>938</v>
      </c>
      <c r="C153" s="1404" t="s">
        <v>1375</v>
      </c>
      <c r="D153" s="184" t="s">
        <v>790</v>
      </c>
      <c r="E153" s="188">
        <v>0.1</v>
      </c>
      <c r="F153" s="186">
        <v>2</v>
      </c>
      <c r="G153" s="134">
        <v>0.5</v>
      </c>
      <c r="H153" s="134">
        <v>0</v>
      </c>
      <c r="I153" s="134">
        <v>0</v>
      </c>
      <c r="J153" s="139">
        <f t="shared" ref="J153" si="193">+G153/F153</f>
        <v>0.25</v>
      </c>
      <c r="K153" s="139"/>
      <c r="L153" s="139"/>
      <c r="M153" s="139">
        <f t="shared" ref="M153" si="194">+(G153/F153)*E153</f>
        <v>2.5000000000000001E-2</v>
      </c>
      <c r="N153" s="139"/>
      <c r="O153" s="139"/>
      <c r="P153" s="496">
        <v>0.5</v>
      </c>
      <c r="Q153" s="496">
        <v>0</v>
      </c>
      <c r="R153" s="496">
        <v>0</v>
      </c>
      <c r="S153" s="496">
        <v>0</v>
      </c>
      <c r="T153" s="496">
        <v>0</v>
      </c>
      <c r="U153" s="496">
        <v>1</v>
      </c>
      <c r="V153" s="134">
        <f t="shared" si="140"/>
        <v>1</v>
      </c>
      <c r="W153" s="134">
        <f t="shared" si="192"/>
        <v>1.5</v>
      </c>
      <c r="X153" s="496">
        <v>0</v>
      </c>
      <c r="Y153" s="496">
        <v>0</v>
      </c>
      <c r="Z153" s="134"/>
      <c r="AA153" s="134"/>
      <c r="AB153" s="134">
        <f t="shared" si="163"/>
        <v>0</v>
      </c>
      <c r="AC153" s="156">
        <f>+(P153/G153)</f>
        <v>1</v>
      </c>
      <c r="AD153" s="156"/>
      <c r="AE153" s="156"/>
      <c r="AF153" s="156">
        <f>+AC153*E153</f>
        <v>0.1</v>
      </c>
      <c r="AG153" s="156"/>
      <c r="AH153" s="156"/>
      <c r="AI153" s="156">
        <f>+P153/F153</f>
        <v>0.25</v>
      </c>
      <c r="AJ153" s="190">
        <v>0.25</v>
      </c>
      <c r="AK153" s="190">
        <f t="shared" si="188"/>
        <v>0.75</v>
      </c>
      <c r="AL153" s="190">
        <f>+AI153*E153</f>
        <v>2.5000000000000001E-2</v>
      </c>
      <c r="AM153" s="190">
        <f t="shared" si="189"/>
        <v>2.5000000000000001E-2</v>
      </c>
      <c r="AN153" s="190">
        <f t="shared" si="190"/>
        <v>7.5000000000000011E-2</v>
      </c>
      <c r="AO153" s="776"/>
      <c r="AP153" s="525" t="s">
        <v>1886</v>
      </c>
      <c r="AQ153" s="525" t="s">
        <v>1990</v>
      </c>
      <c r="AR153" s="526" t="s">
        <v>2010</v>
      </c>
      <c r="AS153" s="526" t="s">
        <v>2108</v>
      </c>
      <c r="AT153" s="688" t="s">
        <v>2145</v>
      </c>
      <c r="AU153" s="526" t="s">
        <v>2199</v>
      </c>
      <c r="AV153" s="526" t="s">
        <v>1887</v>
      </c>
      <c r="AW153" s="526" t="s">
        <v>2294</v>
      </c>
    </row>
    <row r="154" spans="1:49" ht="78" customHeight="1" thickBot="1" x14ac:dyDescent="0.4">
      <c r="A154" s="119"/>
      <c r="B154" s="1378" t="s">
        <v>939</v>
      </c>
      <c r="C154" s="1404" t="s">
        <v>1376</v>
      </c>
      <c r="D154" s="184" t="s">
        <v>560</v>
      </c>
      <c r="E154" s="188">
        <v>0.05</v>
      </c>
      <c r="F154" s="186">
        <v>1</v>
      </c>
      <c r="G154" s="203">
        <v>0.12</v>
      </c>
      <c r="H154" s="203">
        <v>0.57999999999999996</v>
      </c>
      <c r="I154" s="203">
        <v>0.3</v>
      </c>
      <c r="J154" s="139">
        <f t="shared" si="182"/>
        <v>0.12</v>
      </c>
      <c r="K154" s="139">
        <f t="shared" si="183"/>
        <v>0.57999999999999996</v>
      </c>
      <c r="L154" s="139">
        <f t="shared" si="191"/>
        <v>0.3</v>
      </c>
      <c r="M154" s="139">
        <f t="shared" si="184"/>
        <v>6.0000000000000001E-3</v>
      </c>
      <c r="N154" s="139">
        <f t="shared" si="185"/>
        <v>2.8999999999999998E-2</v>
      </c>
      <c r="O154" s="139"/>
      <c r="P154" s="500">
        <v>0.12</v>
      </c>
      <c r="Q154" s="500">
        <v>7.0000000000000007E-2</v>
      </c>
      <c r="R154" s="500">
        <v>0.15</v>
      </c>
      <c r="S154" s="500">
        <v>0.1</v>
      </c>
      <c r="T154" s="500"/>
      <c r="U154" s="500">
        <v>0.16</v>
      </c>
      <c r="V154" s="210">
        <f t="shared" si="140"/>
        <v>0.48</v>
      </c>
      <c r="W154" s="134">
        <f>+V154+P154+AB154+0.1</f>
        <v>0.82</v>
      </c>
      <c r="X154" s="500">
        <v>0</v>
      </c>
      <c r="Y154" s="500">
        <v>0.12</v>
      </c>
      <c r="Z154" s="210"/>
      <c r="AA154" s="210"/>
      <c r="AB154" s="210">
        <f t="shared" si="163"/>
        <v>0.12</v>
      </c>
      <c r="AC154" s="156">
        <f>+(P154/G154)</f>
        <v>1</v>
      </c>
      <c r="AD154" s="156">
        <f>+V154/H154</f>
        <v>0.82758620689655171</v>
      </c>
      <c r="AE154" s="156">
        <f t="shared" si="186"/>
        <v>0.4</v>
      </c>
      <c r="AF154" s="156">
        <f>+AC154*E154</f>
        <v>0.05</v>
      </c>
      <c r="AG154" s="156">
        <f>+AD154*E154</f>
        <v>4.1379310344827586E-2</v>
      </c>
      <c r="AH154" s="156">
        <f t="shared" si="187"/>
        <v>2.0000000000000004E-2</v>
      </c>
      <c r="AI154" s="156">
        <f>+P154/F154</f>
        <v>0.12</v>
      </c>
      <c r="AJ154" s="190">
        <v>0.6</v>
      </c>
      <c r="AK154" s="190">
        <f t="shared" si="188"/>
        <v>0.82</v>
      </c>
      <c r="AL154" s="190">
        <f>+AI154*E154</f>
        <v>6.0000000000000001E-3</v>
      </c>
      <c r="AM154" s="190">
        <f t="shared" si="189"/>
        <v>0.03</v>
      </c>
      <c r="AN154" s="190">
        <f t="shared" si="190"/>
        <v>4.1000000000000002E-2</v>
      </c>
      <c r="AO154" s="603" t="s">
        <v>1846</v>
      </c>
      <c r="AP154" s="525" t="s">
        <v>1886</v>
      </c>
      <c r="AQ154" s="525" t="s">
        <v>1990</v>
      </c>
      <c r="AR154" s="526" t="s">
        <v>2010</v>
      </c>
      <c r="AS154" s="526" t="s">
        <v>2108</v>
      </c>
      <c r="AT154" s="688" t="s">
        <v>2145</v>
      </c>
      <c r="AU154" s="526" t="s">
        <v>2199</v>
      </c>
      <c r="AV154" s="526" t="s">
        <v>2256</v>
      </c>
      <c r="AW154" s="526" t="s">
        <v>2294</v>
      </c>
    </row>
    <row r="155" spans="1:49" ht="67.2" customHeight="1" thickBot="1" x14ac:dyDescent="0.4">
      <c r="A155" s="119"/>
      <c r="B155" s="1378" t="s">
        <v>940</v>
      </c>
      <c r="C155" s="1404" t="s">
        <v>1377</v>
      </c>
      <c r="D155" s="184" t="s">
        <v>560</v>
      </c>
      <c r="E155" s="188">
        <v>0.1</v>
      </c>
      <c r="F155" s="186">
        <v>1</v>
      </c>
      <c r="G155" s="134">
        <v>0</v>
      </c>
      <c r="H155" s="134">
        <v>0</v>
      </c>
      <c r="I155" s="134">
        <v>0</v>
      </c>
      <c r="J155" s="139"/>
      <c r="K155" s="139">
        <f t="shared" si="183"/>
        <v>0</v>
      </c>
      <c r="L155" s="139"/>
      <c r="M155" s="139"/>
      <c r="N155" s="139">
        <f t="shared" si="185"/>
        <v>0</v>
      </c>
      <c r="O155" s="139"/>
      <c r="P155" s="496"/>
      <c r="Q155" s="496"/>
      <c r="R155" s="496"/>
      <c r="S155" s="496"/>
      <c r="T155" s="496"/>
      <c r="U155" s="496"/>
      <c r="V155" s="134">
        <f t="shared" si="140"/>
        <v>0</v>
      </c>
      <c r="W155" s="134">
        <f t="shared" si="192"/>
        <v>0</v>
      </c>
      <c r="X155" s="496"/>
      <c r="Y155" s="496">
        <v>0</v>
      </c>
      <c r="Z155" s="134"/>
      <c r="AA155" s="134"/>
      <c r="AB155" s="134">
        <f t="shared" si="163"/>
        <v>0</v>
      </c>
      <c r="AC155" s="156"/>
      <c r="AD155" s="156"/>
      <c r="AE155" s="156"/>
      <c r="AF155" s="156"/>
      <c r="AG155" s="156">
        <f>+AD155*E155</f>
        <v>0</v>
      </c>
      <c r="AH155" s="156"/>
      <c r="AI155" s="156"/>
      <c r="AJ155" s="190"/>
      <c r="AK155" s="1409">
        <v>0</v>
      </c>
      <c r="AL155" s="190">
        <v>0</v>
      </c>
      <c r="AM155" s="190">
        <f t="shared" si="189"/>
        <v>0</v>
      </c>
      <c r="AN155" s="190">
        <f t="shared" si="190"/>
        <v>0</v>
      </c>
      <c r="AO155" s="603" t="s">
        <v>1846</v>
      </c>
      <c r="AP155" s="525" t="s">
        <v>1886</v>
      </c>
      <c r="AQ155" s="525" t="s">
        <v>1990</v>
      </c>
      <c r="AR155" s="526" t="s">
        <v>2010</v>
      </c>
      <c r="AS155" s="526" t="s">
        <v>2108</v>
      </c>
      <c r="AT155" s="688" t="s">
        <v>2145</v>
      </c>
      <c r="AU155" s="526" t="s">
        <v>2199</v>
      </c>
      <c r="AV155" s="526" t="s">
        <v>1887</v>
      </c>
      <c r="AW155" s="526" t="s">
        <v>2294</v>
      </c>
    </row>
    <row r="156" spans="1:49" ht="80.400000000000006" customHeight="1" thickBot="1" x14ac:dyDescent="0.4">
      <c r="A156" s="119"/>
      <c r="B156" s="1378" t="s">
        <v>941</v>
      </c>
      <c r="C156" s="1404" t="s">
        <v>1378</v>
      </c>
      <c r="D156" s="184" t="s">
        <v>560</v>
      </c>
      <c r="E156" s="188">
        <v>0.1</v>
      </c>
      <c r="F156" s="186">
        <v>3</v>
      </c>
      <c r="G156" s="203">
        <v>0.1</v>
      </c>
      <c r="H156" s="203">
        <v>0.2</v>
      </c>
      <c r="I156" s="203">
        <v>0.45</v>
      </c>
      <c r="J156" s="139">
        <f t="shared" si="182"/>
        <v>3.3333333333333333E-2</v>
      </c>
      <c r="K156" s="139">
        <f t="shared" si="183"/>
        <v>6.6666666666666666E-2</v>
      </c>
      <c r="L156" s="139">
        <f t="shared" si="191"/>
        <v>0.15</v>
      </c>
      <c r="M156" s="139">
        <f t="shared" si="184"/>
        <v>3.3333333333333335E-3</v>
      </c>
      <c r="N156" s="139">
        <f t="shared" si="185"/>
        <v>6.6666666666666671E-3</v>
      </c>
      <c r="O156" s="139"/>
      <c r="P156" s="696">
        <v>0.06</v>
      </c>
      <c r="Q156" s="500">
        <v>0.05</v>
      </c>
      <c r="R156" s="500">
        <v>0.01</v>
      </c>
      <c r="S156" s="500">
        <v>0.01</v>
      </c>
      <c r="T156" s="500">
        <v>0</v>
      </c>
      <c r="U156" s="500">
        <v>0</v>
      </c>
      <c r="V156" s="210">
        <f t="shared" si="140"/>
        <v>7.0000000000000007E-2</v>
      </c>
      <c r="W156" s="695">
        <f>+V156+P156+0.04+AB156+0.03+0.1</f>
        <v>0.39</v>
      </c>
      <c r="X156" s="696">
        <v>0.05</v>
      </c>
      <c r="Y156" s="696">
        <v>0.04</v>
      </c>
      <c r="Z156" s="695"/>
      <c r="AA156" s="695"/>
      <c r="AB156" s="695">
        <f t="shared" si="163"/>
        <v>0.09</v>
      </c>
      <c r="AC156" s="139">
        <f>+(P156/G156)</f>
        <v>0.6</v>
      </c>
      <c r="AD156" s="156">
        <f>+V156/H156</f>
        <v>0.35000000000000003</v>
      </c>
      <c r="AE156" s="156">
        <f t="shared" si="186"/>
        <v>0.19999999999999998</v>
      </c>
      <c r="AF156" s="139">
        <f>+AC156*E156</f>
        <v>0.06</v>
      </c>
      <c r="AG156" s="139">
        <f>+AD156*E156</f>
        <v>3.5000000000000003E-2</v>
      </c>
      <c r="AH156" s="139">
        <f t="shared" si="187"/>
        <v>0.02</v>
      </c>
      <c r="AI156" s="156">
        <f>+P156/F156</f>
        <v>0.02</v>
      </c>
      <c r="AJ156" s="190">
        <v>5.6666666666666671E-2</v>
      </c>
      <c r="AK156" s="190">
        <f t="shared" si="188"/>
        <v>0.13</v>
      </c>
      <c r="AL156" s="190">
        <f>+AI156*E156</f>
        <v>2E-3</v>
      </c>
      <c r="AM156" s="190">
        <f t="shared" si="189"/>
        <v>5.6666666666666671E-3</v>
      </c>
      <c r="AN156" s="190">
        <f t="shared" si="190"/>
        <v>1.3000000000000001E-2</v>
      </c>
      <c r="AO156" s="603" t="s">
        <v>1846</v>
      </c>
      <c r="AP156" s="525" t="s">
        <v>1886</v>
      </c>
      <c r="AQ156" s="525" t="s">
        <v>1990</v>
      </c>
      <c r="AR156" s="526" t="s">
        <v>2010</v>
      </c>
      <c r="AS156" s="526" t="s">
        <v>2108</v>
      </c>
      <c r="AT156" s="688" t="s">
        <v>2145</v>
      </c>
      <c r="AU156" s="526" t="s">
        <v>2199</v>
      </c>
      <c r="AV156" s="526" t="s">
        <v>2257</v>
      </c>
      <c r="AW156" s="526" t="s">
        <v>2294</v>
      </c>
    </row>
    <row r="157" spans="1:49" ht="103.8" customHeight="1" thickBot="1" x14ac:dyDescent="0.4">
      <c r="A157" s="119"/>
      <c r="B157" s="1378" t="s">
        <v>942</v>
      </c>
      <c r="C157" s="1404" t="s">
        <v>1379</v>
      </c>
      <c r="D157" s="184" t="s">
        <v>560</v>
      </c>
      <c r="E157" s="188">
        <v>0.05</v>
      </c>
      <c r="F157" s="186">
        <v>1</v>
      </c>
      <c r="G157" s="203">
        <v>0.1</v>
      </c>
      <c r="H157" s="1036">
        <v>0</v>
      </c>
      <c r="I157" s="1036">
        <v>0.35</v>
      </c>
      <c r="J157" s="139">
        <f t="shared" si="182"/>
        <v>0.1</v>
      </c>
      <c r="K157" s="139">
        <f t="shared" si="183"/>
        <v>0</v>
      </c>
      <c r="L157" s="139">
        <f t="shared" si="191"/>
        <v>0.35</v>
      </c>
      <c r="M157" s="139">
        <f t="shared" si="184"/>
        <v>5.000000000000001E-3</v>
      </c>
      <c r="N157" s="139">
        <f t="shared" si="185"/>
        <v>0</v>
      </c>
      <c r="O157" s="139"/>
      <c r="P157" s="500">
        <v>0.05</v>
      </c>
      <c r="Q157" s="500"/>
      <c r="R157" s="500"/>
      <c r="S157" s="500"/>
      <c r="T157" s="500"/>
      <c r="U157" s="500">
        <v>0.1</v>
      </c>
      <c r="V157" s="210">
        <f t="shared" si="140"/>
        <v>0.1</v>
      </c>
      <c r="W157" s="210">
        <f>+V157+P157+AB157</f>
        <v>0.15000000000000002</v>
      </c>
      <c r="X157" s="500">
        <v>0</v>
      </c>
      <c r="Y157" s="500">
        <v>0</v>
      </c>
      <c r="Z157" s="210"/>
      <c r="AA157" s="210"/>
      <c r="AB157" s="210">
        <f t="shared" si="163"/>
        <v>0</v>
      </c>
      <c r="AC157" s="139">
        <f>+(P157/G157)</f>
        <v>0.5</v>
      </c>
      <c r="AD157" s="156">
        <v>1</v>
      </c>
      <c r="AE157" s="156"/>
      <c r="AF157" s="139">
        <f>+AC157*E157</f>
        <v>2.5000000000000001E-2</v>
      </c>
      <c r="AG157" s="139">
        <f>+AD157*E157</f>
        <v>0.05</v>
      </c>
      <c r="AH157" s="139">
        <f t="shared" si="187"/>
        <v>0</v>
      </c>
      <c r="AI157" s="156">
        <f>+P157/F157</f>
        <v>0.05</v>
      </c>
      <c r="AJ157" s="190">
        <v>0.15000000000000002</v>
      </c>
      <c r="AK157" s="190">
        <f t="shared" si="188"/>
        <v>0.15000000000000002</v>
      </c>
      <c r="AL157" s="190">
        <f>+AI157*E157</f>
        <v>2.5000000000000005E-3</v>
      </c>
      <c r="AM157" s="190">
        <f t="shared" si="189"/>
        <v>7.5000000000000015E-3</v>
      </c>
      <c r="AN157" s="190">
        <f t="shared" si="190"/>
        <v>7.5000000000000015E-3</v>
      </c>
      <c r="AO157" s="603" t="s">
        <v>1853</v>
      </c>
      <c r="AP157" s="525" t="s">
        <v>1886</v>
      </c>
      <c r="AQ157" s="525" t="s">
        <v>1990</v>
      </c>
      <c r="AR157" s="526" t="s">
        <v>2010</v>
      </c>
      <c r="AS157" s="778" t="s">
        <v>1859</v>
      </c>
      <c r="AT157" s="688" t="s">
        <v>2145</v>
      </c>
      <c r="AU157" s="1037" t="s">
        <v>2207</v>
      </c>
      <c r="AV157" s="526" t="s">
        <v>1887</v>
      </c>
      <c r="AW157" s="526" t="s">
        <v>2294</v>
      </c>
    </row>
    <row r="158" spans="1:49" ht="93.6" customHeight="1" thickBot="1" x14ac:dyDescent="0.4">
      <c r="A158" s="119"/>
      <c r="B158" s="1378" t="s">
        <v>943</v>
      </c>
      <c r="C158" s="1404" t="s">
        <v>1380</v>
      </c>
      <c r="D158" s="184" t="s">
        <v>560</v>
      </c>
      <c r="E158" s="188">
        <v>0.05</v>
      </c>
      <c r="F158" s="186">
        <v>5</v>
      </c>
      <c r="G158" s="134">
        <v>0</v>
      </c>
      <c r="H158" s="134">
        <v>0</v>
      </c>
      <c r="I158" s="134">
        <v>0</v>
      </c>
      <c r="J158" s="139"/>
      <c r="K158" s="139">
        <f t="shared" si="183"/>
        <v>0</v>
      </c>
      <c r="L158" s="139"/>
      <c r="M158" s="139"/>
      <c r="N158" s="139">
        <f t="shared" si="185"/>
        <v>0</v>
      </c>
      <c r="O158" s="139"/>
      <c r="P158" s="496"/>
      <c r="Q158" s="496"/>
      <c r="R158" s="496"/>
      <c r="S158" s="496"/>
      <c r="T158" s="496"/>
      <c r="U158" s="496"/>
      <c r="V158" s="134">
        <f t="shared" si="140"/>
        <v>0</v>
      </c>
      <c r="W158" s="210">
        <f>+V158+P158+AB158</f>
        <v>0</v>
      </c>
      <c r="X158" s="496">
        <v>0</v>
      </c>
      <c r="Y158" s="496">
        <v>0</v>
      </c>
      <c r="Z158" s="134"/>
      <c r="AA158" s="134"/>
      <c r="AB158" s="134">
        <f t="shared" si="163"/>
        <v>0</v>
      </c>
      <c r="AC158" s="139"/>
      <c r="AD158" s="156"/>
      <c r="AE158" s="156"/>
      <c r="AF158" s="139"/>
      <c r="AG158" s="139">
        <f>+AD158*E158</f>
        <v>0</v>
      </c>
      <c r="AH158" s="139"/>
      <c r="AI158" s="156"/>
      <c r="AJ158" s="190"/>
      <c r="AK158" s="1409">
        <v>0</v>
      </c>
      <c r="AL158" s="190">
        <v>0</v>
      </c>
      <c r="AM158" s="190">
        <f t="shared" si="189"/>
        <v>0</v>
      </c>
      <c r="AN158" s="190">
        <f t="shared" si="190"/>
        <v>0</v>
      </c>
      <c r="AO158" s="603" t="s">
        <v>1846</v>
      </c>
      <c r="AP158" s="525" t="s">
        <v>1886</v>
      </c>
      <c r="AQ158" s="525" t="s">
        <v>1990</v>
      </c>
      <c r="AR158" s="526" t="s">
        <v>2010</v>
      </c>
      <c r="AS158" s="526" t="s">
        <v>2108</v>
      </c>
      <c r="AT158" s="688" t="s">
        <v>2145</v>
      </c>
      <c r="AU158" s="526" t="s">
        <v>2199</v>
      </c>
      <c r="AV158" s="526" t="s">
        <v>1887</v>
      </c>
      <c r="AW158" s="526" t="s">
        <v>2294</v>
      </c>
    </row>
    <row r="159" spans="1:49" ht="42.75" customHeight="1" thickBot="1" x14ac:dyDescent="0.4">
      <c r="A159" s="119"/>
      <c r="B159" s="1376" t="s">
        <v>1747</v>
      </c>
      <c r="C159" s="1412"/>
      <c r="D159" s="191"/>
      <c r="E159" s="192">
        <v>0.1</v>
      </c>
      <c r="F159" s="186"/>
      <c r="G159" s="127"/>
      <c r="H159" s="127"/>
      <c r="I159" s="127"/>
      <c r="J159" s="133"/>
      <c r="K159" s="133">
        <f>+AVERAGE(K160:K166)</f>
        <v>0</v>
      </c>
      <c r="L159" s="133">
        <f>+AVERAGE(L160:L166)</f>
        <v>0.16666666666666666</v>
      </c>
      <c r="M159" s="133"/>
      <c r="N159" s="133">
        <f>+N160+N161+N162+N163+N164+N165+N166</f>
        <v>0</v>
      </c>
      <c r="O159" s="133"/>
      <c r="P159" s="132"/>
      <c r="Q159" s="132"/>
      <c r="R159" s="132"/>
      <c r="S159" s="132"/>
      <c r="T159" s="132"/>
      <c r="U159" s="839"/>
      <c r="V159" s="134"/>
      <c r="W159" s="132"/>
      <c r="X159" s="132"/>
      <c r="Y159" s="132"/>
      <c r="Z159" s="132"/>
      <c r="AA159" s="132"/>
      <c r="AB159" s="132"/>
      <c r="AC159" s="154"/>
      <c r="AD159" s="154"/>
      <c r="AE159" s="154">
        <f>+AVERAGE(AE160:AE166)</f>
        <v>0.76</v>
      </c>
      <c r="AF159" s="154"/>
      <c r="AG159" s="154">
        <f>+(AG160+AG161+AG162+AG163+AG164+AG165+AG166)*E159</f>
        <v>0</v>
      </c>
      <c r="AH159" s="154">
        <f>+(AH160+AH161+AH162+AH163+AH164+AH165+AH166)*E159</f>
        <v>2.2800000000000001E-2</v>
      </c>
      <c r="AI159" s="133"/>
      <c r="AJ159" s="183"/>
      <c r="AK159" s="183">
        <f>+AVERAGE(AK160:AK166)</f>
        <v>5.4285714285714284E-2</v>
      </c>
      <c r="AL159" s="183"/>
      <c r="AM159" s="183">
        <f>+(AM160+AM161+AM162+AM163+AM164+AM165+AM166)</f>
        <v>0</v>
      </c>
      <c r="AN159" s="183">
        <f>+(AN160+AN161+AN162+AN163+AN164+AN165+AN166)</f>
        <v>0.11399999999999999</v>
      </c>
      <c r="AO159" s="770"/>
      <c r="AP159" s="490"/>
      <c r="AQ159" s="490"/>
      <c r="AR159" s="490"/>
      <c r="AS159" s="490"/>
      <c r="AT159" s="984"/>
      <c r="AU159" s="490"/>
      <c r="AV159" s="490"/>
    </row>
    <row r="160" spans="1:49" ht="87" customHeight="1" thickBot="1" x14ac:dyDescent="0.4">
      <c r="A160" s="119"/>
      <c r="B160" s="1378" t="s">
        <v>944</v>
      </c>
      <c r="C160" s="1404" t="s">
        <v>1381</v>
      </c>
      <c r="D160" s="184" t="s">
        <v>560</v>
      </c>
      <c r="E160" s="188">
        <v>0.06</v>
      </c>
      <c r="F160" s="186">
        <v>1</v>
      </c>
      <c r="G160" s="134">
        <v>0</v>
      </c>
      <c r="H160" s="134">
        <v>0</v>
      </c>
      <c r="I160" s="134">
        <v>0</v>
      </c>
      <c r="J160" s="139"/>
      <c r="K160" s="139">
        <f t="shared" ref="K160:K166" si="195">+H160/F160</f>
        <v>0</v>
      </c>
      <c r="L160" s="139"/>
      <c r="M160" s="139"/>
      <c r="N160" s="139">
        <f t="shared" ref="N160:N166" si="196">+(H160/F160)*E160</f>
        <v>0</v>
      </c>
      <c r="O160" s="139"/>
      <c r="P160" s="134"/>
      <c r="Q160" s="496"/>
      <c r="R160" s="496"/>
      <c r="S160" s="496"/>
      <c r="T160" s="496"/>
      <c r="U160" s="195"/>
      <c r="V160" s="134">
        <f t="shared" si="140"/>
        <v>0</v>
      </c>
      <c r="W160" s="134">
        <f>+V160+P160+AB160</f>
        <v>0</v>
      </c>
      <c r="X160" s="496"/>
      <c r="Y160" s="134"/>
      <c r="Z160" s="134"/>
      <c r="AA160" s="134"/>
      <c r="AB160" s="134">
        <f t="shared" si="163"/>
        <v>0</v>
      </c>
      <c r="AC160" s="139"/>
      <c r="AD160" s="156"/>
      <c r="AE160" s="156"/>
      <c r="AF160" s="139"/>
      <c r="AG160" s="139">
        <f t="shared" ref="AG160:AG166" si="197">+AD160*E160</f>
        <v>0</v>
      </c>
      <c r="AH160" s="139">
        <f t="shared" ref="AH160:AH166" si="198">+AE160*E160</f>
        <v>0</v>
      </c>
      <c r="AI160" s="156"/>
      <c r="AJ160" s="190"/>
      <c r="AK160" s="1409">
        <f t="shared" ref="AK160:AK166" si="199">+W160/F160</f>
        <v>0</v>
      </c>
      <c r="AL160" s="190"/>
      <c r="AM160" s="190">
        <f t="shared" ref="AM160:AM166" si="200">+AJ160*E160</f>
        <v>0</v>
      </c>
      <c r="AN160" s="190">
        <f t="shared" ref="AN160:AN166" si="201">+AK160*E160</f>
        <v>0</v>
      </c>
      <c r="AO160" s="603" t="s">
        <v>1846</v>
      </c>
      <c r="AP160" s="525" t="s">
        <v>1886</v>
      </c>
      <c r="AQ160" s="525" t="s">
        <v>1990</v>
      </c>
      <c r="AR160" s="526" t="s">
        <v>2010</v>
      </c>
      <c r="AS160" s="526" t="s">
        <v>2108</v>
      </c>
      <c r="AT160" s="688" t="s">
        <v>2145</v>
      </c>
      <c r="AU160" s="526" t="s">
        <v>2199</v>
      </c>
      <c r="AV160" s="526" t="s">
        <v>1887</v>
      </c>
      <c r="AW160" s="526" t="s">
        <v>2294</v>
      </c>
    </row>
    <row r="161" spans="1:49" ht="66" customHeight="1" thickBot="1" x14ac:dyDescent="0.4">
      <c r="A161" s="119"/>
      <c r="B161" s="1378" t="s">
        <v>945</v>
      </c>
      <c r="C161" s="1404" t="s">
        <v>1382</v>
      </c>
      <c r="D161" s="184" t="s">
        <v>560</v>
      </c>
      <c r="E161" s="188">
        <v>0.06</v>
      </c>
      <c r="F161" s="186">
        <v>1</v>
      </c>
      <c r="G161" s="134">
        <v>0</v>
      </c>
      <c r="H161" s="134">
        <v>0</v>
      </c>
      <c r="I161" s="134">
        <v>0</v>
      </c>
      <c r="J161" s="139"/>
      <c r="K161" s="139">
        <f t="shared" si="195"/>
        <v>0</v>
      </c>
      <c r="L161" s="139"/>
      <c r="M161" s="139"/>
      <c r="N161" s="139">
        <f t="shared" si="196"/>
        <v>0</v>
      </c>
      <c r="O161" s="139"/>
      <c r="P161" s="134"/>
      <c r="Q161" s="496"/>
      <c r="R161" s="496"/>
      <c r="S161" s="496"/>
      <c r="T161" s="496"/>
      <c r="U161" s="195"/>
      <c r="V161" s="134">
        <f t="shared" si="140"/>
        <v>0</v>
      </c>
      <c r="W161" s="134">
        <f t="shared" ref="W161:W166" si="202">+V161+P161+AB161</f>
        <v>0</v>
      </c>
      <c r="X161" s="496"/>
      <c r="Y161" s="134"/>
      <c r="Z161" s="134"/>
      <c r="AA161" s="134"/>
      <c r="AB161" s="134">
        <f t="shared" si="163"/>
        <v>0</v>
      </c>
      <c r="AC161" s="139"/>
      <c r="AD161" s="156"/>
      <c r="AE161" s="156"/>
      <c r="AF161" s="139"/>
      <c r="AG161" s="139">
        <f t="shared" si="197"/>
        <v>0</v>
      </c>
      <c r="AH161" s="139">
        <f t="shared" si="198"/>
        <v>0</v>
      </c>
      <c r="AI161" s="156"/>
      <c r="AJ161" s="190"/>
      <c r="AK161" s="1409">
        <f t="shared" si="199"/>
        <v>0</v>
      </c>
      <c r="AL161" s="190"/>
      <c r="AM161" s="190">
        <f t="shared" si="200"/>
        <v>0</v>
      </c>
      <c r="AN161" s="190">
        <f t="shared" si="201"/>
        <v>0</v>
      </c>
      <c r="AO161" s="603" t="s">
        <v>1846</v>
      </c>
      <c r="AP161" s="525" t="s">
        <v>1886</v>
      </c>
      <c r="AQ161" s="525" t="s">
        <v>1990</v>
      </c>
      <c r="AR161" s="526" t="s">
        <v>2010</v>
      </c>
      <c r="AS161" s="526" t="s">
        <v>2108</v>
      </c>
      <c r="AT161" s="688" t="s">
        <v>2145</v>
      </c>
      <c r="AU161" s="526" t="s">
        <v>2199</v>
      </c>
      <c r="AV161" s="526" t="s">
        <v>1887</v>
      </c>
      <c r="AW161" s="526" t="s">
        <v>2294</v>
      </c>
    </row>
    <row r="162" spans="1:49" ht="91.2" customHeight="1" thickBot="1" x14ac:dyDescent="0.4">
      <c r="A162" s="119"/>
      <c r="B162" s="1378" t="s">
        <v>946</v>
      </c>
      <c r="C162" s="1404" t="s">
        <v>1383</v>
      </c>
      <c r="D162" s="184" t="s">
        <v>560</v>
      </c>
      <c r="E162" s="188">
        <v>0.06</v>
      </c>
      <c r="F162" s="186">
        <v>1</v>
      </c>
      <c r="G162" s="134">
        <v>0</v>
      </c>
      <c r="H162" s="134">
        <v>0</v>
      </c>
      <c r="I162" s="134">
        <v>0</v>
      </c>
      <c r="J162" s="139"/>
      <c r="K162" s="139">
        <f t="shared" si="195"/>
        <v>0</v>
      </c>
      <c r="L162" s="139"/>
      <c r="M162" s="139"/>
      <c r="N162" s="139">
        <f t="shared" si="196"/>
        <v>0</v>
      </c>
      <c r="O162" s="139"/>
      <c r="P162" s="134"/>
      <c r="Q162" s="496"/>
      <c r="R162" s="496"/>
      <c r="S162" s="496"/>
      <c r="T162" s="496"/>
      <c r="U162" s="195"/>
      <c r="V162" s="134">
        <f t="shared" si="140"/>
        <v>0</v>
      </c>
      <c r="W162" s="134">
        <f t="shared" si="202"/>
        <v>0</v>
      </c>
      <c r="X162" s="496"/>
      <c r="Y162" s="134"/>
      <c r="Z162" s="134"/>
      <c r="AA162" s="134"/>
      <c r="AB162" s="134">
        <f t="shared" si="163"/>
        <v>0</v>
      </c>
      <c r="AC162" s="139"/>
      <c r="AD162" s="156"/>
      <c r="AE162" s="156"/>
      <c r="AF162" s="139"/>
      <c r="AG162" s="139">
        <f t="shared" si="197"/>
        <v>0</v>
      </c>
      <c r="AH162" s="139">
        <f>+AE162*E162</f>
        <v>0</v>
      </c>
      <c r="AI162" s="156"/>
      <c r="AJ162" s="190"/>
      <c r="AK162" s="1409">
        <f t="shared" si="199"/>
        <v>0</v>
      </c>
      <c r="AL162" s="190"/>
      <c r="AM162" s="190">
        <f t="shared" si="200"/>
        <v>0</v>
      </c>
      <c r="AN162" s="190">
        <f t="shared" si="201"/>
        <v>0</v>
      </c>
      <c r="AO162" s="603" t="s">
        <v>1846</v>
      </c>
      <c r="AP162" s="525" t="s">
        <v>1886</v>
      </c>
      <c r="AQ162" s="525" t="s">
        <v>1990</v>
      </c>
      <c r="AR162" s="526" t="s">
        <v>2010</v>
      </c>
      <c r="AS162" s="526" t="s">
        <v>2108</v>
      </c>
      <c r="AT162" s="688" t="s">
        <v>2145</v>
      </c>
      <c r="AU162" s="526" t="s">
        <v>2199</v>
      </c>
      <c r="AV162" s="526" t="s">
        <v>1887</v>
      </c>
      <c r="AW162" s="526" t="s">
        <v>2294</v>
      </c>
    </row>
    <row r="163" spans="1:49" ht="109.2" customHeight="1" thickBot="1" x14ac:dyDescent="0.4">
      <c r="A163" s="119"/>
      <c r="B163" s="1378" t="s">
        <v>947</v>
      </c>
      <c r="C163" s="1404" t="s">
        <v>1384</v>
      </c>
      <c r="D163" s="184" t="s">
        <v>560</v>
      </c>
      <c r="E163" s="188">
        <v>0.3</v>
      </c>
      <c r="F163" s="186">
        <v>1</v>
      </c>
      <c r="G163" s="134">
        <v>0</v>
      </c>
      <c r="H163" s="134">
        <v>0</v>
      </c>
      <c r="I163" s="134">
        <v>0.5</v>
      </c>
      <c r="J163" s="139"/>
      <c r="K163" s="139">
        <f t="shared" si="195"/>
        <v>0</v>
      </c>
      <c r="L163" s="139">
        <f>+I163/F163</f>
        <v>0.5</v>
      </c>
      <c r="M163" s="139"/>
      <c r="N163" s="139">
        <f t="shared" si="196"/>
        <v>0</v>
      </c>
      <c r="O163" s="139"/>
      <c r="P163" s="134"/>
      <c r="Q163" s="496"/>
      <c r="R163" s="496"/>
      <c r="S163" s="496"/>
      <c r="T163" s="496"/>
      <c r="U163" s="195"/>
      <c r="V163" s="134">
        <f t="shared" si="140"/>
        <v>0</v>
      </c>
      <c r="W163" s="134">
        <f t="shared" si="202"/>
        <v>0.38</v>
      </c>
      <c r="X163" s="500">
        <v>0.2</v>
      </c>
      <c r="Y163" s="134">
        <v>0.18</v>
      </c>
      <c r="Z163" s="134"/>
      <c r="AA163" s="134"/>
      <c r="AB163" s="134">
        <f t="shared" si="163"/>
        <v>0.38</v>
      </c>
      <c r="AC163" s="139"/>
      <c r="AD163" s="156"/>
      <c r="AE163" s="156">
        <f t="shared" ref="AE163" si="203">+AB163/I163</f>
        <v>0.76</v>
      </c>
      <c r="AF163" s="139"/>
      <c r="AG163" s="139">
        <f t="shared" si="197"/>
        <v>0</v>
      </c>
      <c r="AH163" s="139">
        <f t="shared" si="198"/>
        <v>0.22799999999999998</v>
      </c>
      <c r="AI163" s="156"/>
      <c r="AJ163" s="190"/>
      <c r="AK163" s="1409">
        <f t="shared" si="199"/>
        <v>0.38</v>
      </c>
      <c r="AL163" s="190"/>
      <c r="AM163" s="190">
        <f t="shared" si="200"/>
        <v>0</v>
      </c>
      <c r="AN163" s="190">
        <f t="shared" si="201"/>
        <v>0.11399999999999999</v>
      </c>
      <c r="AO163" s="603" t="s">
        <v>1846</v>
      </c>
      <c r="AP163" s="525" t="s">
        <v>1886</v>
      </c>
      <c r="AQ163" s="525" t="s">
        <v>1990</v>
      </c>
      <c r="AR163" s="526" t="s">
        <v>2010</v>
      </c>
      <c r="AS163" s="526" t="s">
        <v>2108</v>
      </c>
      <c r="AT163" s="688" t="s">
        <v>2145</v>
      </c>
      <c r="AU163" s="526" t="s">
        <v>2199</v>
      </c>
      <c r="AV163" s="526" t="s">
        <v>1887</v>
      </c>
      <c r="AW163" s="526" t="s">
        <v>2294</v>
      </c>
    </row>
    <row r="164" spans="1:49" ht="72.599999999999994" customHeight="1" thickBot="1" x14ac:dyDescent="0.4">
      <c r="A164" s="119"/>
      <c r="B164" s="1378" t="s">
        <v>948</v>
      </c>
      <c r="C164" s="1404" t="s">
        <v>1385</v>
      </c>
      <c r="D164" s="184" t="s">
        <v>811</v>
      </c>
      <c r="E164" s="188">
        <v>0.02</v>
      </c>
      <c r="F164" s="186">
        <v>1</v>
      </c>
      <c r="G164" s="134">
        <v>0</v>
      </c>
      <c r="H164" s="134">
        <v>0</v>
      </c>
      <c r="I164" s="134">
        <v>0</v>
      </c>
      <c r="J164" s="139"/>
      <c r="K164" s="139">
        <f t="shared" si="195"/>
        <v>0</v>
      </c>
      <c r="L164" s="139"/>
      <c r="M164" s="139"/>
      <c r="N164" s="139">
        <f t="shared" si="196"/>
        <v>0</v>
      </c>
      <c r="O164" s="139"/>
      <c r="P164" s="134"/>
      <c r="Q164" s="496"/>
      <c r="R164" s="496"/>
      <c r="S164" s="496"/>
      <c r="T164" s="496"/>
      <c r="U164" s="195"/>
      <c r="V164" s="134">
        <f t="shared" si="140"/>
        <v>0</v>
      </c>
      <c r="W164" s="134">
        <f t="shared" si="202"/>
        <v>0</v>
      </c>
      <c r="X164" s="496"/>
      <c r="Y164" s="134"/>
      <c r="Z164" s="134"/>
      <c r="AA164" s="134"/>
      <c r="AB164" s="134">
        <f t="shared" si="163"/>
        <v>0</v>
      </c>
      <c r="AC164" s="139"/>
      <c r="AD164" s="156"/>
      <c r="AE164" s="156"/>
      <c r="AF164" s="139"/>
      <c r="AG164" s="139">
        <f t="shared" si="197"/>
        <v>0</v>
      </c>
      <c r="AH164" s="139">
        <f t="shared" si="198"/>
        <v>0</v>
      </c>
      <c r="AI164" s="156"/>
      <c r="AJ164" s="190"/>
      <c r="AK164" s="1409">
        <f t="shared" si="199"/>
        <v>0</v>
      </c>
      <c r="AL164" s="190"/>
      <c r="AM164" s="190">
        <f t="shared" si="200"/>
        <v>0</v>
      </c>
      <c r="AN164" s="190">
        <f t="shared" si="201"/>
        <v>0</v>
      </c>
      <c r="AO164" s="603" t="s">
        <v>1846</v>
      </c>
      <c r="AP164" s="525" t="s">
        <v>1886</v>
      </c>
      <c r="AQ164" s="525" t="s">
        <v>1990</v>
      </c>
      <c r="AR164" s="526" t="s">
        <v>2010</v>
      </c>
      <c r="AS164" s="526" t="s">
        <v>2108</v>
      </c>
      <c r="AT164" s="688" t="s">
        <v>2145</v>
      </c>
      <c r="AU164" s="526" t="s">
        <v>2199</v>
      </c>
      <c r="AV164" s="526" t="s">
        <v>1887</v>
      </c>
      <c r="AW164" s="526" t="s">
        <v>2294</v>
      </c>
    </row>
    <row r="165" spans="1:49" ht="100.95" customHeight="1" thickBot="1" x14ac:dyDescent="0.4">
      <c r="A165" s="119"/>
      <c r="B165" s="1378" t="s">
        <v>949</v>
      </c>
      <c r="C165" s="1404" t="s">
        <v>1386</v>
      </c>
      <c r="D165" s="184" t="s">
        <v>825</v>
      </c>
      <c r="E165" s="188">
        <v>0.4</v>
      </c>
      <c r="F165" s="186">
        <v>2</v>
      </c>
      <c r="G165" s="134">
        <v>0</v>
      </c>
      <c r="H165" s="134">
        <v>0</v>
      </c>
      <c r="I165" s="134"/>
      <c r="J165" s="139"/>
      <c r="K165" s="139">
        <f t="shared" si="195"/>
        <v>0</v>
      </c>
      <c r="L165" s="139">
        <f t="shared" ref="L165:L166" si="204">+I165/F165</f>
        <v>0</v>
      </c>
      <c r="M165" s="139"/>
      <c r="N165" s="139">
        <f t="shared" si="196"/>
        <v>0</v>
      </c>
      <c r="O165" s="139"/>
      <c r="P165" s="134"/>
      <c r="Q165" s="496"/>
      <c r="R165" s="496"/>
      <c r="S165" s="496"/>
      <c r="T165" s="496"/>
      <c r="U165" s="195"/>
      <c r="V165" s="134">
        <f t="shared" si="140"/>
        <v>0</v>
      </c>
      <c r="W165" s="134">
        <f t="shared" si="202"/>
        <v>0</v>
      </c>
      <c r="X165" s="134"/>
      <c r="Y165" s="134"/>
      <c r="Z165" s="134"/>
      <c r="AA165" s="134"/>
      <c r="AB165" s="134">
        <f t="shared" si="163"/>
        <v>0</v>
      </c>
      <c r="AC165" s="139"/>
      <c r="AD165" s="139"/>
      <c r="AE165" s="139"/>
      <c r="AF165" s="139"/>
      <c r="AG165" s="139">
        <f t="shared" si="197"/>
        <v>0</v>
      </c>
      <c r="AH165" s="139">
        <f t="shared" si="198"/>
        <v>0</v>
      </c>
      <c r="AI165" s="139"/>
      <c r="AJ165" s="187"/>
      <c r="AK165" s="776">
        <f t="shared" si="199"/>
        <v>0</v>
      </c>
      <c r="AL165" s="187"/>
      <c r="AM165" s="187">
        <f t="shared" si="200"/>
        <v>0</v>
      </c>
      <c r="AN165" s="187">
        <f t="shared" si="201"/>
        <v>0</v>
      </c>
      <c r="AO165" s="603" t="s">
        <v>1846</v>
      </c>
      <c r="AP165" s="528" t="s">
        <v>1897</v>
      </c>
      <c r="AQ165" s="490"/>
      <c r="AR165" s="599" t="s">
        <v>2043</v>
      </c>
      <c r="AS165" s="490"/>
      <c r="AT165" s="984"/>
      <c r="AU165" s="526" t="s">
        <v>2199</v>
      </c>
      <c r="AV165" s="1057" t="s">
        <v>1859</v>
      </c>
    </row>
    <row r="166" spans="1:49" ht="127.2" customHeight="1" thickBot="1" x14ac:dyDescent="0.4">
      <c r="A166" s="119"/>
      <c r="B166" s="1378" t="s">
        <v>950</v>
      </c>
      <c r="C166" s="1404" t="s">
        <v>1387</v>
      </c>
      <c r="D166" s="184" t="s">
        <v>1981</v>
      </c>
      <c r="E166" s="188">
        <v>0.1</v>
      </c>
      <c r="F166" s="186">
        <v>4</v>
      </c>
      <c r="G166" s="134">
        <v>0</v>
      </c>
      <c r="H166" s="134">
        <v>0</v>
      </c>
      <c r="I166" s="134"/>
      <c r="J166" s="139"/>
      <c r="K166" s="139">
        <f t="shared" si="195"/>
        <v>0</v>
      </c>
      <c r="L166" s="139">
        <f t="shared" si="204"/>
        <v>0</v>
      </c>
      <c r="M166" s="139"/>
      <c r="N166" s="139">
        <f t="shared" si="196"/>
        <v>0</v>
      </c>
      <c r="O166" s="139"/>
      <c r="P166" s="134"/>
      <c r="Q166" s="496"/>
      <c r="R166" s="496"/>
      <c r="S166" s="496"/>
      <c r="T166" s="496"/>
      <c r="U166" s="195"/>
      <c r="V166" s="134">
        <f t="shared" si="140"/>
        <v>0</v>
      </c>
      <c r="W166" s="134">
        <f t="shared" si="202"/>
        <v>0</v>
      </c>
      <c r="X166" s="134"/>
      <c r="Y166" s="134"/>
      <c r="Z166" s="134"/>
      <c r="AA166" s="134"/>
      <c r="AB166" s="134">
        <f t="shared" si="163"/>
        <v>0</v>
      </c>
      <c r="AC166" s="139"/>
      <c r="AD166" s="139"/>
      <c r="AE166" s="139"/>
      <c r="AF166" s="139"/>
      <c r="AG166" s="139">
        <f t="shared" si="197"/>
        <v>0</v>
      </c>
      <c r="AH166" s="139">
        <f t="shared" si="198"/>
        <v>0</v>
      </c>
      <c r="AI166" s="139"/>
      <c r="AJ166" s="187"/>
      <c r="AK166" s="776">
        <f t="shared" si="199"/>
        <v>0</v>
      </c>
      <c r="AL166" s="187"/>
      <c r="AM166" s="187">
        <f t="shared" si="200"/>
        <v>0</v>
      </c>
      <c r="AN166" s="187">
        <f t="shared" si="201"/>
        <v>0</v>
      </c>
      <c r="AO166" s="603" t="s">
        <v>1846</v>
      </c>
      <c r="AP166" s="528" t="s">
        <v>1897</v>
      </c>
      <c r="AQ166" s="490"/>
      <c r="AR166" s="599" t="s">
        <v>2043</v>
      </c>
      <c r="AS166" s="490"/>
      <c r="AT166" s="984"/>
      <c r="AU166" s="526" t="s">
        <v>2199</v>
      </c>
      <c r="AV166" s="1057" t="s">
        <v>1859</v>
      </c>
    </row>
    <row r="167" spans="1:49" ht="78" customHeight="1" thickBot="1" x14ac:dyDescent="0.4">
      <c r="A167" s="119"/>
      <c r="B167" s="1374" t="s">
        <v>1815</v>
      </c>
      <c r="C167" s="1412"/>
      <c r="D167" s="191"/>
      <c r="E167" s="194">
        <v>0.05</v>
      </c>
      <c r="F167" s="122">
        <f>+E167*AF167</f>
        <v>0</v>
      </c>
      <c r="G167" s="127"/>
      <c r="H167" s="123">
        <f>+E167*AG167</f>
        <v>4.5000000000000015E-4</v>
      </c>
      <c r="I167" s="123">
        <f>+E167*AH167</f>
        <v>2.2727272727272733E-4</v>
      </c>
      <c r="J167" s="125"/>
      <c r="K167" s="125">
        <f>+(K168)/1</f>
        <v>0.16666666666666666</v>
      </c>
      <c r="L167" s="125">
        <f>+(L168)/1</f>
        <v>0.18333333333333335</v>
      </c>
      <c r="M167" s="126"/>
      <c r="N167" s="126">
        <f>+(N168)/1</f>
        <v>0</v>
      </c>
      <c r="O167" s="126"/>
      <c r="P167" s="127"/>
      <c r="Q167" s="127"/>
      <c r="R167" s="127"/>
      <c r="S167" s="127"/>
      <c r="T167" s="127"/>
      <c r="U167" s="176"/>
      <c r="V167" s="819"/>
      <c r="W167" s="127"/>
      <c r="X167" s="127"/>
      <c r="Y167" s="127"/>
      <c r="Z167" s="127"/>
      <c r="AA167" s="127"/>
      <c r="AB167" s="127"/>
      <c r="AC167" s="125"/>
      <c r="AD167" s="125">
        <f>+AD168</f>
        <v>0.90000000000000013</v>
      </c>
      <c r="AE167" s="125">
        <f>+AE168</f>
        <v>0.45454545454545453</v>
      </c>
      <c r="AF167" s="126"/>
      <c r="AG167" s="126">
        <f>+(AG168)*E167</f>
        <v>9.0000000000000028E-3</v>
      </c>
      <c r="AH167" s="126">
        <f>+(AH168)*E167</f>
        <v>4.5454545454545461E-3</v>
      </c>
      <c r="AI167" s="125"/>
      <c r="AJ167" s="487">
        <v>0.14850000000000002</v>
      </c>
      <c r="AK167" s="487">
        <f>+AK168</f>
        <v>0.23100000000000004</v>
      </c>
      <c r="AL167" s="181"/>
      <c r="AM167" s="181">
        <f>+AM168*E167</f>
        <v>4.5000000000000014E-3</v>
      </c>
      <c r="AN167" s="181">
        <f>+AN168*E167</f>
        <v>7.000000000000001E-3</v>
      </c>
      <c r="AO167" s="769"/>
      <c r="AP167" s="490"/>
      <c r="AQ167" s="490"/>
      <c r="AR167" s="490"/>
      <c r="AS167" s="490"/>
      <c r="AT167" s="984"/>
      <c r="AU167" s="490"/>
      <c r="AV167" s="490"/>
    </row>
    <row r="168" spans="1:49" ht="58.8" customHeight="1" thickBot="1" x14ac:dyDescent="0.4">
      <c r="A168" s="119"/>
      <c r="B168" s="1376" t="s">
        <v>1748</v>
      </c>
      <c r="C168" s="1412"/>
      <c r="D168" s="191"/>
      <c r="E168" s="192">
        <v>1</v>
      </c>
      <c r="F168" s="186"/>
      <c r="G168" s="127"/>
      <c r="H168" s="127"/>
      <c r="I168" s="127"/>
      <c r="J168" s="133"/>
      <c r="K168" s="133">
        <f>+AVERAGE(K169:K171)</f>
        <v>0.16666666666666666</v>
      </c>
      <c r="L168" s="133">
        <f>+AVERAGE(L169:L171)</f>
        <v>0.18333333333333335</v>
      </c>
      <c r="M168" s="133"/>
      <c r="N168" s="133">
        <f>+N169+N170+N171</f>
        <v>0</v>
      </c>
      <c r="O168" s="133"/>
      <c r="P168" s="132"/>
      <c r="Q168" s="132"/>
      <c r="R168" s="132"/>
      <c r="S168" s="132"/>
      <c r="T168" s="132"/>
      <c r="U168" s="839"/>
      <c r="V168" s="134"/>
      <c r="W168" s="132"/>
      <c r="X168" s="132"/>
      <c r="Y168" s="132"/>
      <c r="Z168" s="132"/>
      <c r="AA168" s="132"/>
      <c r="AB168" s="132"/>
      <c r="AC168" s="135"/>
      <c r="AD168" s="154">
        <f>+AVERAGE(AD169:AD171)</f>
        <v>0.90000000000000013</v>
      </c>
      <c r="AE168" s="154">
        <f>+AVERAGE(AE169:AE171)</f>
        <v>0.45454545454545453</v>
      </c>
      <c r="AF168" s="154"/>
      <c r="AG168" s="154">
        <f>+(AG169+AG170+AG171)*E168</f>
        <v>0.18000000000000005</v>
      </c>
      <c r="AH168" s="154">
        <f>+(AH169+AH170+AH171)*E168</f>
        <v>9.0909090909090912E-2</v>
      </c>
      <c r="AI168" s="133"/>
      <c r="AJ168" s="183">
        <v>0.14850000000000002</v>
      </c>
      <c r="AK168" s="183">
        <f>+AK169*0.33+AK170*0.33+AK171*0.33</f>
        <v>0.23100000000000004</v>
      </c>
      <c r="AL168" s="183"/>
      <c r="AM168" s="183">
        <f>+(AM169+AM170+AM171)</f>
        <v>9.0000000000000024E-2</v>
      </c>
      <c r="AN168" s="183">
        <f>+(AN169+AN170+AN171)</f>
        <v>0.14000000000000001</v>
      </c>
      <c r="AO168" s="770"/>
      <c r="AP168" s="490"/>
      <c r="AQ168" s="490"/>
      <c r="AR168" s="490"/>
      <c r="AS168" s="490"/>
      <c r="AT168" s="984"/>
      <c r="AU168" s="490"/>
      <c r="AV168" s="490"/>
    </row>
    <row r="169" spans="1:49" ht="79.8" customHeight="1" thickBot="1" x14ac:dyDescent="0.4">
      <c r="A169" s="119"/>
      <c r="B169" s="1378" t="s">
        <v>951</v>
      </c>
      <c r="C169" s="1404" t="s">
        <v>1388</v>
      </c>
      <c r="D169" s="184" t="s">
        <v>560</v>
      </c>
      <c r="E169" s="188">
        <v>0.2</v>
      </c>
      <c r="F169" s="186">
        <v>1</v>
      </c>
      <c r="G169" s="134">
        <v>0</v>
      </c>
      <c r="H169" s="134">
        <v>0.5</v>
      </c>
      <c r="I169" s="134">
        <v>0.55000000000000004</v>
      </c>
      <c r="J169" s="139"/>
      <c r="K169" s="139">
        <f t="shared" ref="K169:K170" si="205">+H169/F169</f>
        <v>0.5</v>
      </c>
      <c r="L169" s="139">
        <f t="shared" ref="L169:L171" si="206">+I169/F169</f>
        <v>0.55000000000000004</v>
      </c>
      <c r="M169" s="139"/>
      <c r="N169" s="139"/>
      <c r="O169" s="139"/>
      <c r="P169" s="139"/>
      <c r="Q169" s="502"/>
      <c r="R169" s="496">
        <v>0.1</v>
      </c>
      <c r="S169" s="496">
        <v>0.1</v>
      </c>
      <c r="T169" s="496">
        <v>0.1</v>
      </c>
      <c r="U169" s="496">
        <v>0.15</v>
      </c>
      <c r="V169" s="168">
        <f t="shared" si="140"/>
        <v>0.45000000000000007</v>
      </c>
      <c r="W169" s="168">
        <f>+V169+P169+AB169</f>
        <v>0.70000000000000007</v>
      </c>
      <c r="X169" s="497">
        <v>0.05</v>
      </c>
      <c r="Y169" s="497">
        <v>0.2</v>
      </c>
      <c r="Z169" s="168"/>
      <c r="AA169" s="168"/>
      <c r="AB169" s="602">
        <f t="shared" ref="AB169:AB171" si="207">+X169+Y169+Z169+AA169</f>
        <v>0.25</v>
      </c>
      <c r="AC169" s="139"/>
      <c r="AD169" s="156">
        <f>+V169/H169</f>
        <v>0.90000000000000013</v>
      </c>
      <c r="AE169" s="156">
        <f t="shared" ref="AE169" si="208">+AB169/I169</f>
        <v>0.45454545454545453</v>
      </c>
      <c r="AF169" s="139"/>
      <c r="AG169" s="139">
        <f>+AD169*E169</f>
        <v>0.18000000000000005</v>
      </c>
      <c r="AH169" s="139">
        <f t="shared" ref="AH169:AH171" si="209">+AE169*E169</f>
        <v>9.0909090909090912E-2</v>
      </c>
      <c r="AI169" s="156"/>
      <c r="AJ169" s="156">
        <v>0.45000000000000007</v>
      </c>
      <c r="AK169" s="190">
        <f t="shared" ref="AK169:AK171" si="210">+W169/F169</f>
        <v>0.70000000000000007</v>
      </c>
      <c r="AL169" s="190"/>
      <c r="AM169" s="190">
        <f>+AJ169*E169</f>
        <v>9.0000000000000024E-2</v>
      </c>
      <c r="AN169" s="190">
        <f t="shared" ref="AN169:AN171" si="211">+AK169*E169</f>
        <v>0.14000000000000001</v>
      </c>
      <c r="AO169" s="603" t="s">
        <v>1846</v>
      </c>
      <c r="AP169" s="525" t="s">
        <v>1886</v>
      </c>
      <c r="AQ169" s="490"/>
      <c r="AR169" s="526" t="s">
        <v>2010</v>
      </c>
      <c r="AS169" s="526" t="s">
        <v>2091</v>
      </c>
      <c r="AT169" s="989"/>
      <c r="AU169" s="526" t="s">
        <v>2199</v>
      </c>
      <c r="AV169" s="526" t="s">
        <v>1887</v>
      </c>
      <c r="AW169" s="526" t="s">
        <v>2294</v>
      </c>
    </row>
    <row r="170" spans="1:49" ht="79.8" customHeight="1" thickBot="1" x14ac:dyDescent="0.4">
      <c r="A170" s="119"/>
      <c r="B170" s="1378" t="s">
        <v>952</v>
      </c>
      <c r="C170" s="1404" t="s">
        <v>1389</v>
      </c>
      <c r="D170" s="184" t="s">
        <v>953</v>
      </c>
      <c r="E170" s="188">
        <v>0.2</v>
      </c>
      <c r="F170" s="186">
        <v>1</v>
      </c>
      <c r="G170" s="134">
        <v>0</v>
      </c>
      <c r="H170" s="134">
        <v>0</v>
      </c>
      <c r="I170" s="134">
        <v>0</v>
      </c>
      <c r="J170" s="139"/>
      <c r="K170" s="139">
        <f t="shared" si="205"/>
        <v>0</v>
      </c>
      <c r="L170" s="139">
        <f t="shared" si="206"/>
        <v>0</v>
      </c>
      <c r="M170" s="139"/>
      <c r="N170" s="139"/>
      <c r="O170" s="139"/>
      <c r="P170" s="139"/>
      <c r="Q170" s="502"/>
      <c r="R170" s="502"/>
      <c r="S170" s="502"/>
      <c r="T170" s="502"/>
      <c r="U170" s="502"/>
      <c r="V170" s="981">
        <f t="shared" si="140"/>
        <v>0</v>
      </c>
      <c r="W170" s="602">
        <f t="shared" ref="W170:W171" si="212">+V170+P170+AB170</f>
        <v>0</v>
      </c>
      <c r="X170" s="502"/>
      <c r="Y170" s="502"/>
      <c r="Z170" s="139"/>
      <c r="AA170" s="139"/>
      <c r="AB170" s="602">
        <f t="shared" si="207"/>
        <v>0</v>
      </c>
      <c r="AC170" s="139"/>
      <c r="AD170" s="156"/>
      <c r="AE170" s="156"/>
      <c r="AF170" s="139"/>
      <c r="AG170" s="139">
        <f>+AD170*E170</f>
        <v>0</v>
      </c>
      <c r="AH170" s="139"/>
      <c r="AI170" s="156"/>
      <c r="AJ170" s="190"/>
      <c r="AK170" s="190">
        <f t="shared" si="210"/>
        <v>0</v>
      </c>
      <c r="AL170" s="190"/>
      <c r="AM170" s="190">
        <f>+AJ170*E170</f>
        <v>0</v>
      </c>
      <c r="AN170" s="190">
        <f t="shared" si="211"/>
        <v>0</v>
      </c>
      <c r="AO170" s="603" t="s">
        <v>1846</v>
      </c>
      <c r="AP170" s="525" t="s">
        <v>1886</v>
      </c>
      <c r="AQ170" s="490"/>
      <c r="AR170" s="526" t="s">
        <v>2010</v>
      </c>
      <c r="AS170" s="526" t="s">
        <v>2108</v>
      </c>
      <c r="AT170" s="989"/>
      <c r="AU170" s="526" t="s">
        <v>2199</v>
      </c>
      <c r="AV170" s="526" t="s">
        <v>1887</v>
      </c>
      <c r="AW170" s="526" t="s">
        <v>2294</v>
      </c>
    </row>
    <row r="171" spans="1:49" ht="90" customHeight="1" thickBot="1" x14ac:dyDescent="0.4">
      <c r="A171" s="119"/>
      <c r="B171" s="1378" t="s">
        <v>954</v>
      </c>
      <c r="C171" s="1404" t="s">
        <v>1390</v>
      </c>
      <c r="D171" s="199" t="s">
        <v>1866</v>
      </c>
      <c r="E171" s="686">
        <v>0.6</v>
      </c>
      <c r="F171" s="186">
        <v>1</v>
      </c>
      <c r="G171" s="134">
        <v>0</v>
      </c>
      <c r="H171" s="134">
        <v>0</v>
      </c>
      <c r="I171" s="134"/>
      <c r="J171" s="139"/>
      <c r="K171" s="139">
        <f>+H171/F171</f>
        <v>0</v>
      </c>
      <c r="L171" s="139">
        <f t="shared" si="206"/>
        <v>0</v>
      </c>
      <c r="M171" s="139"/>
      <c r="N171" s="139"/>
      <c r="O171" s="139"/>
      <c r="P171" s="134"/>
      <c r="Q171" s="496"/>
      <c r="R171" s="134"/>
      <c r="S171" s="134"/>
      <c r="T171" s="134"/>
      <c r="U171" s="195"/>
      <c r="V171" s="134">
        <f t="shared" ref="V171" si="213">+Q171+R171+S171+T171+U171</f>
        <v>0</v>
      </c>
      <c r="W171" s="602">
        <f t="shared" si="212"/>
        <v>0</v>
      </c>
      <c r="X171" s="134"/>
      <c r="Y171" s="134"/>
      <c r="Z171" s="134"/>
      <c r="AA171" s="134"/>
      <c r="AB171" s="602">
        <f t="shared" si="207"/>
        <v>0</v>
      </c>
      <c r="AC171" s="139"/>
      <c r="AD171" s="139"/>
      <c r="AE171" s="139"/>
      <c r="AF171" s="139"/>
      <c r="AG171" s="139"/>
      <c r="AH171" s="139">
        <f t="shared" si="209"/>
        <v>0</v>
      </c>
      <c r="AI171" s="139"/>
      <c r="AJ171" s="139"/>
      <c r="AK171" s="139">
        <f t="shared" si="210"/>
        <v>0</v>
      </c>
      <c r="AL171" s="139"/>
      <c r="AM171" s="139">
        <f>+AJ171*E171</f>
        <v>0</v>
      </c>
      <c r="AN171" s="139">
        <f t="shared" si="211"/>
        <v>0</v>
      </c>
      <c r="AO171" s="773" t="s">
        <v>1573</v>
      </c>
      <c r="AP171" s="599" t="s">
        <v>1969</v>
      </c>
      <c r="AQ171" s="490"/>
      <c r="AR171" s="528" t="s">
        <v>2033</v>
      </c>
      <c r="AS171" s="490"/>
      <c r="AT171" s="989"/>
      <c r="AU171" s="490"/>
      <c r="AV171" s="1057" t="s">
        <v>1859</v>
      </c>
    </row>
    <row r="172" spans="1:49" ht="15.75" customHeight="1" thickBot="1" x14ac:dyDescent="0.4">
      <c r="A172" s="115"/>
      <c r="B172" s="842"/>
      <c r="C172" s="842"/>
      <c r="D172" s="171"/>
      <c r="E172" s="171"/>
      <c r="F172" s="171"/>
      <c r="G172" s="171"/>
      <c r="H172" s="171"/>
      <c r="I172" s="171"/>
      <c r="J172" s="171"/>
      <c r="K172" s="171"/>
      <c r="L172" s="171"/>
      <c r="M172" s="171"/>
      <c r="N172" s="171"/>
      <c r="O172" s="171"/>
      <c r="P172" s="171"/>
      <c r="Q172" s="171"/>
      <c r="R172" s="171"/>
      <c r="S172" s="171"/>
      <c r="T172" s="171"/>
      <c r="U172" s="842"/>
      <c r="V172" s="171"/>
      <c r="W172" s="171"/>
      <c r="X172" s="171"/>
      <c r="Y172" s="171"/>
      <c r="Z172" s="171"/>
      <c r="AA172" s="171"/>
      <c r="AB172" s="171"/>
      <c r="AC172" s="171"/>
      <c r="AD172" s="171"/>
      <c r="AE172" s="171"/>
      <c r="AF172" s="171"/>
      <c r="AG172" s="171"/>
      <c r="AH172" s="171"/>
      <c r="AI172" s="171"/>
      <c r="AJ172" s="215"/>
      <c r="AK172" s="215"/>
      <c r="AL172" s="215"/>
      <c r="AM172" s="215"/>
      <c r="AN172" s="215"/>
      <c r="AO172" s="215"/>
    </row>
    <row r="173" spans="1:49" ht="15.75" customHeight="1" thickBot="1" x14ac:dyDescent="0.4">
      <c r="A173" s="115"/>
      <c r="B173" s="1387"/>
      <c r="C173" s="1387"/>
      <c r="D173" s="115"/>
      <c r="E173" s="115"/>
      <c r="F173" s="115"/>
      <c r="G173" s="115"/>
      <c r="H173" s="115"/>
      <c r="I173" s="115"/>
      <c r="J173" s="115"/>
      <c r="K173" s="115"/>
      <c r="L173" s="115"/>
      <c r="M173" s="115"/>
      <c r="N173" s="115"/>
      <c r="O173" s="115"/>
      <c r="P173" s="115"/>
      <c r="Q173" s="115"/>
      <c r="R173" s="115"/>
      <c r="S173" s="115"/>
      <c r="T173" s="115"/>
      <c r="U173" s="115"/>
      <c r="V173" s="115"/>
      <c r="W173" s="115"/>
      <c r="X173" s="115"/>
      <c r="Y173" s="115"/>
      <c r="Z173" s="115"/>
      <c r="AA173" s="115"/>
      <c r="AB173" s="115"/>
      <c r="AC173" s="115"/>
      <c r="AD173" s="115"/>
      <c r="AE173" s="115"/>
      <c r="AF173" s="115"/>
      <c r="AG173" s="115"/>
      <c r="AH173" s="115"/>
      <c r="AI173" s="115"/>
      <c r="AJ173" s="119"/>
      <c r="AK173" s="119"/>
      <c r="AL173" s="119"/>
      <c r="AM173" s="119"/>
      <c r="AN173" s="119"/>
      <c r="AO173" s="119"/>
    </row>
    <row r="174" spans="1:49" ht="15.75" customHeight="1" thickBot="1" x14ac:dyDescent="0.4">
      <c r="A174" s="115"/>
      <c r="B174" s="1387"/>
      <c r="C174" s="1387"/>
      <c r="D174" s="115"/>
      <c r="E174" s="115"/>
      <c r="F174" s="115"/>
      <c r="G174" s="115"/>
      <c r="H174" s="115"/>
      <c r="I174" s="115"/>
      <c r="J174" s="115"/>
      <c r="K174" s="115"/>
      <c r="L174" s="115"/>
      <c r="M174" s="115"/>
      <c r="N174" s="115"/>
      <c r="O174" s="115"/>
      <c r="P174" s="115"/>
      <c r="Q174" s="115"/>
      <c r="R174" s="115"/>
      <c r="S174" s="115"/>
      <c r="T174" s="115"/>
      <c r="U174" s="115"/>
      <c r="V174" s="115"/>
      <c r="W174" s="115"/>
      <c r="X174" s="115"/>
      <c r="Y174" s="115"/>
      <c r="Z174" s="115"/>
      <c r="AA174" s="115"/>
      <c r="AB174" s="115"/>
      <c r="AC174" s="115"/>
      <c r="AD174" s="115"/>
      <c r="AE174" s="115"/>
      <c r="AF174" s="115"/>
      <c r="AG174" s="115"/>
      <c r="AH174" s="115"/>
      <c r="AI174" s="115"/>
      <c r="AJ174" s="119"/>
      <c r="AK174" s="119"/>
      <c r="AL174" s="119"/>
      <c r="AM174" s="119"/>
      <c r="AN174" s="119"/>
      <c r="AO174" s="119"/>
    </row>
    <row r="175" spans="1:49" ht="15.75" customHeight="1" thickBot="1" x14ac:dyDescent="0.4">
      <c r="A175" s="115"/>
      <c r="B175" s="1387"/>
      <c r="C175" s="1387"/>
      <c r="D175" s="115"/>
      <c r="E175" s="115"/>
      <c r="F175" s="115"/>
      <c r="G175" s="115"/>
      <c r="H175" s="115"/>
      <c r="I175" s="115"/>
      <c r="J175" s="115"/>
      <c r="K175" s="115"/>
      <c r="L175" s="115"/>
      <c r="M175" s="115"/>
      <c r="N175" s="115"/>
      <c r="O175" s="115"/>
      <c r="P175" s="115"/>
      <c r="Q175" s="115"/>
      <c r="R175" s="115"/>
      <c r="S175" s="115"/>
      <c r="T175" s="115"/>
      <c r="U175" s="115"/>
      <c r="V175" s="115"/>
      <c r="W175" s="115"/>
      <c r="X175" s="115"/>
      <c r="Y175" s="115"/>
      <c r="Z175" s="115"/>
      <c r="AA175" s="115"/>
      <c r="AB175" s="115"/>
      <c r="AC175" s="115"/>
      <c r="AD175" s="115"/>
      <c r="AE175" s="115"/>
      <c r="AF175" s="115"/>
      <c r="AG175" s="115"/>
      <c r="AH175" s="115"/>
      <c r="AI175" s="115"/>
      <c r="AJ175" s="119"/>
      <c r="AK175" s="119"/>
      <c r="AL175" s="119"/>
      <c r="AM175" s="119"/>
      <c r="AN175" s="119"/>
      <c r="AO175" s="119"/>
    </row>
    <row r="176" spans="1:49" ht="15.75" customHeight="1" thickBot="1" x14ac:dyDescent="0.4">
      <c r="A176" s="115"/>
      <c r="B176" s="1387"/>
      <c r="C176" s="1387"/>
      <c r="D176" s="115"/>
      <c r="E176" s="115"/>
      <c r="F176" s="115"/>
      <c r="G176" s="115"/>
      <c r="H176" s="115"/>
      <c r="I176" s="115"/>
      <c r="J176" s="115"/>
      <c r="K176" s="115"/>
      <c r="L176" s="115"/>
      <c r="M176" s="115"/>
      <c r="N176" s="115"/>
      <c r="O176" s="115"/>
      <c r="P176" s="115"/>
      <c r="Q176" s="115"/>
      <c r="R176" s="115"/>
      <c r="S176" s="115"/>
      <c r="T176" s="115"/>
      <c r="U176" s="115"/>
      <c r="V176" s="115"/>
      <c r="W176" s="115"/>
      <c r="X176" s="115"/>
      <c r="Y176" s="115"/>
      <c r="Z176" s="115"/>
      <c r="AA176" s="115"/>
      <c r="AB176" s="115"/>
      <c r="AC176" s="115"/>
      <c r="AD176" s="115"/>
      <c r="AE176" s="115"/>
      <c r="AF176" s="115"/>
      <c r="AG176" s="115"/>
      <c r="AH176" s="115"/>
      <c r="AI176" s="115"/>
      <c r="AJ176" s="119"/>
      <c r="AK176" s="119"/>
      <c r="AL176" s="119"/>
      <c r="AM176" s="119"/>
      <c r="AN176" s="119"/>
      <c r="AO176" s="119"/>
    </row>
    <row r="177" spans="1:41" ht="15.75" customHeight="1" thickBot="1" x14ac:dyDescent="0.4">
      <c r="A177" s="115"/>
      <c r="B177" s="1387"/>
      <c r="C177" s="1387"/>
      <c r="D177" s="115"/>
      <c r="E177" s="115"/>
      <c r="F177" s="115"/>
      <c r="G177" s="115"/>
      <c r="H177" s="115"/>
      <c r="I177" s="115"/>
      <c r="J177" s="115"/>
      <c r="K177" s="115"/>
      <c r="L177" s="115"/>
      <c r="M177" s="115"/>
      <c r="N177" s="115"/>
      <c r="O177" s="115"/>
      <c r="P177" s="115"/>
      <c r="Q177" s="115"/>
      <c r="R177" s="115"/>
      <c r="S177" s="115"/>
      <c r="T177" s="115"/>
      <c r="U177" s="115"/>
      <c r="V177" s="115"/>
      <c r="W177" s="115"/>
      <c r="X177" s="115"/>
      <c r="Y177" s="115"/>
      <c r="Z177" s="115"/>
      <c r="AA177" s="115"/>
      <c r="AB177" s="115"/>
      <c r="AC177" s="115"/>
      <c r="AD177" s="115"/>
      <c r="AE177" s="115"/>
      <c r="AF177" s="115"/>
      <c r="AG177" s="115"/>
      <c r="AH177" s="115"/>
      <c r="AI177" s="115"/>
      <c r="AJ177" s="119"/>
      <c r="AK177" s="119"/>
      <c r="AL177" s="119"/>
      <c r="AM177" s="119"/>
      <c r="AN177" s="119"/>
      <c r="AO177" s="119"/>
    </row>
    <row r="178" spans="1:41" ht="15.75" customHeight="1" thickBot="1" x14ac:dyDescent="0.4">
      <c r="A178" s="115"/>
      <c r="B178" s="1387"/>
      <c r="C178" s="1387"/>
      <c r="D178" s="115"/>
      <c r="E178" s="115"/>
      <c r="F178" s="115"/>
      <c r="G178" s="115"/>
      <c r="H178" s="115"/>
      <c r="I178" s="115"/>
      <c r="J178" s="115"/>
      <c r="K178" s="115"/>
      <c r="L178" s="115"/>
      <c r="M178" s="115"/>
      <c r="N178" s="115"/>
      <c r="O178" s="115"/>
      <c r="P178" s="115"/>
      <c r="Q178" s="115"/>
      <c r="R178" s="115"/>
      <c r="S178" s="115"/>
      <c r="T178" s="115"/>
      <c r="U178" s="115"/>
      <c r="V178" s="115"/>
      <c r="W178" s="115"/>
      <c r="X178" s="115"/>
      <c r="Y178" s="115"/>
      <c r="Z178" s="115"/>
      <c r="AA178" s="115"/>
      <c r="AB178" s="115"/>
      <c r="AC178" s="115"/>
      <c r="AD178" s="115"/>
      <c r="AE178" s="115"/>
      <c r="AF178" s="115"/>
      <c r="AG178" s="115"/>
      <c r="AH178" s="115"/>
      <c r="AI178" s="115"/>
      <c r="AJ178" s="119"/>
      <c r="AK178" s="119"/>
      <c r="AL178" s="119"/>
      <c r="AM178" s="119"/>
      <c r="AN178" s="119"/>
      <c r="AO178" s="119"/>
    </row>
    <row r="179" spans="1:41" ht="15.75" customHeight="1" thickBot="1" x14ac:dyDescent="0.4">
      <c r="A179" s="115"/>
      <c r="B179" s="1387"/>
      <c r="C179" s="1387"/>
      <c r="D179" s="115"/>
      <c r="E179" s="115"/>
      <c r="F179" s="115"/>
      <c r="G179" s="115"/>
      <c r="H179" s="115"/>
      <c r="I179" s="115"/>
      <c r="J179" s="115"/>
      <c r="K179" s="115"/>
      <c r="L179" s="115"/>
      <c r="M179" s="115"/>
      <c r="N179" s="115"/>
      <c r="O179" s="115"/>
      <c r="P179" s="115"/>
      <c r="Q179" s="115"/>
      <c r="R179" s="115"/>
      <c r="S179" s="115"/>
      <c r="T179" s="115"/>
      <c r="U179" s="115"/>
      <c r="V179" s="115"/>
      <c r="W179" s="115"/>
      <c r="X179" s="115"/>
      <c r="Y179" s="115"/>
      <c r="Z179" s="115"/>
      <c r="AA179" s="115"/>
      <c r="AB179" s="115"/>
      <c r="AC179" s="115"/>
      <c r="AD179" s="115"/>
      <c r="AE179" s="115"/>
      <c r="AF179" s="115"/>
      <c r="AG179" s="115"/>
      <c r="AH179" s="115"/>
      <c r="AI179" s="115"/>
      <c r="AJ179" s="119"/>
      <c r="AK179" s="119"/>
      <c r="AL179" s="119"/>
      <c r="AM179" s="119"/>
      <c r="AN179" s="119"/>
      <c r="AO179" s="119"/>
    </row>
    <row r="180" spans="1:41" ht="15.75" customHeight="1" thickBot="1" x14ac:dyDescent="0.4">
      <c r="A180" s="115"/>
      <c r="B180" s="1387"/>
      <c r="C180" s="1387"/>
      <c r="D180" s="115"/>
      <c r="E180" s="115"/>
      <c r="F180" s="115"/>
      <c r="G180" s="115"/>
      <c r="H180" s="115"/>
      <c r="I180" s="115"/>
      <c r="J180" s="115"/>
      <c r="K180" s="115"/>
      <c r="L180" s="115"/>
      <c r="M180" s="115"/>
      <c r="N180" s="115"/>
      <c r="O180" s="115"/>
      <c r="P180" s="115"/>
      <c r="Q180" s="115"/>
      <c r="R180" s="115"/>
      <c r="S180" s="115"/>
      <c r="T180" s="115"/>
      <c r="U180" s="115"/>
      <c r="V180" s="115"/>
      <c r="W180" s="115"/>
      <c r="X180" s="115"/>
      <c r="Y180" s="115"/>
      <c r="Z180" s="115"/>
      <c r="AA180" s="115"/>
      <c r="AB180" s="115"/>
      <c r="AC180" s="115"/>
      <c r="AD180" s="115"/>
      <c r="AE180" s="115"/>
      <c r="AF180" s="115"/>
      <c r="AG180" s="115"/>
      <c r="AH180" s="115"/>
      <c r="AI180" s="115"/>
      <c r="AJ180" s="119"/>
      <c r="AK180" s="119"/>
      <c r="AL180" s="119"/>
      <c r="AM180" s="119"/>
      <c r="AN180" s="119"/>
      <c r="AO180" s="119"/>
    </row>
    <row r="181" spans="1:41" ht="15.75" customHeight="1" thickBot="1" x14ac:dyDescent="0.4">
      <c r="A181" s="115"/>
      <c r="B181" s="1387"/>
      <c r="C181" s="1387"/>
      <c r="D181" s="115"/>
      <c r="E181" s="115"/>
      <c r="F181" s="115"/>
      <c r="G181" s="115"/>
      <c r="H181" s="115"/>
      <c r="I181" s="115"/>
      <c r="J181" s="115"/>
      <c r="K181" s="115"/>
      <c r="L181" s="115"/>
      <c r="M181" s="115"/>
      <c r="N181" s="115"/>
      <c r="O181" s="115"/>
      <c r="P181" s="115"/>
      <c r="Q181" s="115"/>
      <c r="R181" s="115"/>
      <c r="S181" s="115"/>
      <c r="T181" s="115"/>
      <c r="U181" s="115"/>
      <c r="V181" s="115"/>
      <c r="W181" s="115"/>
      <c r="X181" s="115"/>
      <c r="Y181" s="115"/>
      <c r="Z181" s="115"/>
      <c r="AA181" s="115"/>
      <c r="AB181" s="115"/>
      <c r="AC181" s="115"/>
      <c r="AD181" s="115"/>
      <c r="AE181" s="115"/>
      <c r="AF181" s="115"/>
      <c r="AG181" s="115"/>
      <c r="AH181" s="115"/>
      <c r="AI181" s="115"/>
      <c r="AJ181" s="119"/>
      <c r="AK181" s="119"/>
      <c r="AL181" s="119"/>
      <c r="AM181" s="119"/>
      <c r="AN181" s="119"/>
      <c r="AO181" s="119"/>
    </row>
    <row r="182" spans="1:41" ht="15.75" customHeight="1" thickBot="1" x14ac:dyDescent="0.4">
      <c r="A182" s="115"/>
      <c r="B182" s="1387"/>
      <c r="C182" s="1387"/>
      <c r="D182" s="115"/>
      <c r="E182" s="115"/>
      <c r="F182" s="115"/>
      <c r="G182" s="115"/>
      <c r="H182" s="115"/>
      <c r="I182" s="115"/>
      <c r="J182" s="115"/>
      <c r="K182" s="115"/>
      <c r="L182" s="115"/>
      <c r="M182" s="115"/>
      <c r="N182" s="115"/>
      <c r="O182" s="115"/>
      <c r="P182" s="115"/>
      <c r="Q182" s="115"/>
      <c r="R182" s="115"/>
      <c r="S182" s="115"/>
      <c r="T182" s="115"/>
      <c r="U182" s="115"/>
      <c r="V182" s="115"/>
      <c r="W182" s="115"/>
      <c r="X182" s="115"/>
      <c r="Y182" s="115"/>
      <c r="Z182" s="115"/>
      <c r="AA182" s="115"/>
      <c r="AB182" s="115"/>
      <c r="AC182" s="115"/>
      <c r="AD182" s="115"/>
      <c r="AE182" s="115"/>
      <c r="AF182" s="115"/>
      <c r="AG182" s="115"/>
      <c r="AH182" s="115"/>
      <c r="AI182" s="115"/>
      <c r="AJ182" s="119"/>
      <c r="AK182" s="119"/>
      <c r="AL182" s="119"/>
      <c r="AM182" s="119"/>
      <c r="AN182" s="119"/>
      <c r="AO182" s="119"/>
    </row>
    <row r="183" spans="1:41" ht="15.75" customHeight="1" thickBot="1" x14ac:dyDescent="0.4">
      <c r="A183" s="115"/>
      <c r="B183" s="1387"/>
      <c r="C183" s="1387"/>
      <c r="D183" s="115"/>
      <c r="E183" s="115"/>
      <c r="F183" s="115"/>
      <c r="G183" s="115"/>
      <c r="H183" s="115"/>
      <c r="I183" s="115"/>
      <c r="J183" s="115"/>
      <c r="K183" s="115"/>
      <c r="L183" s="115"/>
      <c r="M183" s="115"/>
      <c r="N183" s="115"/>
      <c r="O183" s="115"/>
      <c r="P183" s="115"/>
      <c r="Q183" s="115"/>
      <c r="R183" s="115"/>
      <c r="S183" s="115"/>
      <c r="T183" s="115"/>
      <c r="U183" s="115"/>
      <c r="V183" s="115"/>
      <c r="W183" s="115"/>
      <c r="X183" s="115"/>
      <c r="Y183" s="115"/>
      <c r="Z183" s="115"/>
      <c r="AA183" s="115"/>
      <c r="AB183" s="115"/>
      <c r="AC183" s="115"/>
      <c r="AD183" s="115"/>
      <c r="AE183" s="115"/>
      <c r="AF183" s="115"/>
      <c r="AG183" s="115"/>
      <c r="AH183" s="115"/>
      <c r="AI183" s="115"/>
      <c r="AJ183" s="119"/>
      <c r="AK183" s="119"/>
      <c r="AL183" s="119"/>
      <c r="AM183" s="119"/>
      <c r="AN183" s="119"/>
      <c r="AO183" s="119"/>
    </row>
    <row r="184" spans="1:41" ht="15.75" customHeight="1" thickBot="1" x14ac:dyDescent="0.4">
      <c r="A184" s="115"/>
      <c r="B184" s="1387"/>
      <c r="C184" s="1387"/>
      <c r="D184" s="115"/>
      <c r="E184" s="115"/>
      <c r="F184" s="115"/>
      <c r="G184" s="115"/>
      <c r="H184" s="115"/>
      <c r="I184" s="115"/>
      <c r="J184" s="115"/>
      <c r="K184" s="115"/>
      <c r="L184" s="115"/>
      <c r="M184" s="115"/>
      <c r="N184" s="115"/>
      <c r="O184" s="115"/>
      <c r="P184" s="115"/>
      <c r="Q184" s="115"/>
      <c r="R184" s="115"/>
      <c r="S184" s="115"/>
      <c r="T184" s="115"/>
      <c r="U184" s="115"/>
      <c r="V184" s="115"/>
      <c r="W184" s="115"/>
      <c r="X184" s="115"/>
      <c r="Y184" s="115"/>
      <c r="Z184" s="115"/>
      <c r="AA184" s="115"/>
      <c r="AB184" s="115"/>
      <c r="AC184" s="115"/>
      <c r="AD184" s="115"/>
      <c r="AE184" s="115"/>
      <c r="AF184" s="115"/>
      <c r="AG184" s="115"/>
      <c r="AH184" s="115"/>
      <c r="AI184" s="115"/>
      <c r="AJ184" s="119"/>
      <c r="AK184" s="119"/>
      <c r="AL184" s="119"/>
      <c r="AM184" s="119"/>
      <c r="AN184" s="119"/>
      <c r="AO184" s="119"/>
    </row>
    <row r="185" spans="1:41" ht="15.75" customHeight="1" thickBot="1" x14ac:dyDescent="0.4">
      <c r="A185" s="115"/>
      <c r="B185" s="1387"/>
      <c r="C185" s="1387"/>
      <c r="D185" s="115"/>
      <c r="E185" s="115"/>
      <c r="F185" s="115"/>
      <c r="G185" s="115"/>
      <c r="H185" s="115"/>
      <c r="I185" s="115"/>
      <c r="J185" s="115"/>
      <c r="K185" s="115"/>
      <c r="L185" s="115"/>
      <c r="M185" s="115"/>
      <c r="N185" s="115"/>
      <c r="O185" s="115"/>
      <c r="P185" s="115"/>
      <c r="Q185" s="115"/>
      <c r="R185" s="115"/>
      <c r="S185" s="115"/>
      <c r="T185" s="115"/>
      <c r="U185" s="115"/>
      <c r="V185" s="115"/>
      <c r="W185" s="115"/>
      <c r="X185" s="115"/>
      <c r="Y185" s="115"/>
      <c r="Z185" s="115"/>
      <c r="AA185" s="115"/>
      <c r="AB185" s="115"/>
      <c r="AC185" s="115"/>
      <c r="AD185" s="115"/>
      <c r="AE185" s="115"/>
      <c r="AF185" s="115"/>
      <c r="AG185" s="115"/>
      <c r="AH185" s="115"/>
      <c r="AI185" s="115"/>
      <c r="AJ185" s="119"/>
      <c r="AK185" s="119"/>
      <c r="AL185" s="119"/>
      <c r="AM185" s="119"/>
      <c r="AN185" s="119"/>
      <c r="AO185" s="119"/>
    </row>
    <row r="186" spans="1:41" ht="15.75" customHeight="1" thickBot="1" x14ac:dyDescent="0.4">
      <c r="A186" s="115"/>
      <c r="B186" s="1387"/>
      <c r="C186" s="1387"/>
      <c r="D186" s="115"/>
      <c r="E186" s="115"/>
      <c r="F186" s="115"/>
      <c r="G186" s="115"/>
      <c r="H186" s="115"/>
      <c r="I186" s="115"/>
      <c r="J186" s="115"/>
      <c r="K186" s="115"/>
      <c r="L186" s="115"/>
      <c r="M186" s="115"/>
      <c r="N186" s="115"/>
      <c r="O186" s="115"/>
      <c r="P186" s="115"/>
      <c r="Q186" s="115"/>
      <c r="R186" s="115"/>
      <c r="S186" s="115"/>
      <c r="T186" s="115"/>
      <c r="U186" s="115"/>
      <c r="V186" s="115"/>
      <c r="W186" s="115"/>
      <c r="X186" s="115"/>
      <c r="Y186" s="115"/>
      <c r="Z186" s="115"/>
      <c r="AA186" s="115"/>
      <c r="AB186" s="115"/>
      <c r="AC186" s="115"/>
      <c r="AD186" s="115"/>
      <c r="AE186" s="115"/>
      <c r="AF186" s="115"/>
      <c r="AG186" s="115"/>
      <c r="AH186" s="115"/>
      <c r="AI186" s="115"/>
      <c r="AJ186" s="119"/>
      <c r="AK186" s="119"/>
      <c r="AL186" s="119"/>
      <c r="AM186" s="119"/>
      <c r="AN186" s="119"/>
      <c r="AO186" s="119"/>
    </row>
    <row r="187" spans="1:41" ht="15.75" customHeight="1" thickBot="1" x14ac:dyDescent="0.4">
      <c r="A187" s="115"/>
      <c r="B187" s="1387"/>
      <c r="C187" s="1387"/>
      <c r="D187" s="115"/>
      <c r="E187" s="115"/>
      <c r="F187" s="115"/>
      <c r="G187" s="115"/>
      <c r="H187" s="115"/>
      <c r="I187" s="115"/>
      <c r="J187" s="115"/>
      <c r="K187" s="115"/>
      <c r="L187" s="115"/>
      <c r="M187" s="115"/>
      <c r="N187" s="115"/>
      <c r="O187" s="115"/>
      <c r="P187" s="115"/>
      <c r="Q187" s="115"/>
      <c r="R187" s="115"/>
      <c r="S187" s="115"/>
      <c r="T187" s="115"/>
      <c r="U187" s="115"/>
      <c r="V187" s="115"/>
      <c r="W187" s="115"/>
      <c r="X187" s="115"/>
      <c r="Y187" s="115"/>
      <c r="Z187" s="115"/>
      <c r="AA187" s="115"/>
      <c r="AB187" s="115"/>
      <c r="AC187" s="115"/>
      <c r="AD187" s="115"/>
      <c r="AE187" s="115"/>
      <c r="AF187" s="115"/>
      <c r="AG187" s="115"/>
      <c r="AH187" s="115"/>
      <c r="AI187" s="115"/>
      <c r="AJ187" s="119"/>
      <c r="AK187" s="119"/>
      <c r="AL187" s="119"/>
      <c r="AM187" s="119"/>
      <c r="AN187" s="119"/>
      <c r="AO187" s="119"/>
    </row>
    <row r="188" spans="1:41" ht="15.75" customHeight="1" thickBot="1" x14ac:dyDescent="0.4">
      <c r="A188" s="115"/>
      <c r="B188" s="1387"/>
      <c r="C188" s="1387"/>
      <c r="D188" s="115"/>
      <c r="E188" s="115"/>
      <c r="F188" s="115"/>
      <c r="G188" s="115"/>
      <c r="H188" s="115"/>
      <c r="I188" s="115"/>
      <c r="J188" s="115"/>
      <c r="K188" s="115"/>
      <c r="L188" s="115"/>
      <c r="M188" s="115"/>
      <c r="N188" s="115"/>
      <c r="O188" s="115"/>
      <c r="P188" s="115"/>
      <c r="Q188" s="115"/>
      <c r="R188" s="115"/>
      <c r="S188" s="115"/>
      <c r="T188" s="115"/>
      <c r="U188" s="115"/>
      <c r="V188" s="115"/>
      <c r="W188" s="115"/>
      <c r="X188" s="115"/>
      <c r="Y188" s="115"/>
      <c r="Z188" s="115"/>
      <c r="AA188" s="115"/>
      <c r="AB188" s="115"/>
      <c r="AC188" s="115"/>
      <c r="AD188" s="115"/>
      <c r="AE188" s="115"/>
      <c r="AF188" s="115"/>
      <c r="AG188" s="115"/>
      <c r="AH188" s="115"/>
      <c r="AI188" s="115"/>
      <c r="AJ188" s="119"/>
      <c r="AK188" s="119"/>
      <c r="AL188" s="119"/>
      <c r="AM188" s="119"/>
      <c r="AN188" s="119"/>
      <c r="AO188" s="119"/>
    </row>
    <row r="189" spans="1:41" ht="15.75" customHeight="1" thickBot="1" x14ac:dyDescent="0.4">
      <c r="A189" s="115"/>
      <c r="B189" s="1387"/>
      <c r="C189" s="1387"/>
      <c r="D189" s="115"/>
      <c r="E189" s="115"/>
      <c r="F189" s="115"/>
      <c r="G189" s="115"/>
      <c r="H189" s="115"/>
      <c r="I189" s="115"/>
      <c r="J189" s="115"/>
      <c r="K189" s="115"/>
      <c r="L189" s="115"/>
      <c r="M189" s="115"/>
      <c r="N189" s="115"/>
      <c r="O189" s="115"/>
      <c r="P189" s="115"/>
      <c r="Q189" s="115"/>
      <c r="R189" s="115"/>
      <c r="S189" s="115"/>
      <c r="T189" s="115"/>
      <c r="U189" s="115"/>
      <c r="V189" s="115"/>
      <c r="W189" s="115"/>
      <c r="X189" s="115"/>
      <c r="Y189" s="115"/>
      <c r="Z189" s="115"/>
      <c r="AA189" s="115"/>
      <c r="AB189" s="115"/>
      <c r="AC189" s="115"/>
      <c r="AD189" s="115"/>
      <c r="AE189" s="115"/>
      <c r="AF189" s="115"/>
      <c r="AG189" s="115"/>
      <c r="AH189" s="115"/>
      <c r="AI189" s="115"/>
      <c r="AJ189" s="119"/>
      <c r="AK189" s="119"/>
      <c r="AL189" s="119"/>
      <c r="AM189" s="119"/>
      <c r="AN189" s="119"/>
      <c r="AO189" s="119"/>
    </row>
    <row r="190" spans="1:41" ht="15.75" customHeight="1" thickBot="1" x14ac:dyDescent="0.4">
      <c r="A190" s="115"/>
      <c r="B190" s="1387"/>
      <c r="C190" s="1387"/>
      <c r="D190" s="115"/>
      <c r="E190" s="115"/>
      <c r="F190" s="115"/>
      <c r="G190" s="115"/>
      <c r="H190" s="115"/>
      <c r="I190" s="115"/>
      <c r="J190" s="115"/>
      <c r="K190" s="115"/>
      <c r="L190" s="115"/>
      <c r="M190" s="115"/>
      <c r="N190" s="115"/>
      <c r="O190" s="115"/>
      <c r="P190" s="115"/>
      <c r="Q190" s="115"/>
      <c r="R190" s="115"/>
      <c r="S190" s="115"/>
      <c r="T190" s="115"/>
      <c r="U190" s="115"/>
      <c r="V190" s="115"/>
      <c r="W190" s="115"/>
      <c r="X190" s="115"/>
      <c r="Y190" s="115"/>
      <c r="Z190" s="115"/>
      <c r="AA190" s="115"/>
      <c r="AB190" s="115"/>
      <c r="AC190" s="115"/>
      <c r="AD190" s="115"/>
      <c r="AE190" s="115"/>
      <c r="AF190" s="115"/>
      <c r="AG190" s="115"/>
      <c r="AH190" s="115"/>
      <c r="AI190" s="115"/>
      <c r="AJ190" s="119"/>
      <c r="AK190" s="119"/>
      <c r="AL190" s="119"/>
      <c r="AM190" s="119"/>
      <c r="AN190" s="119"/>
      <c r="AO190" s="119"/>
    </row>
    <row r="191" spans="1:41" ht="15.75" customHeight="1" thickBot="1" x14ac:dyDescent="0.4">
      <c r="A191" s="115"/>
      <c r="B191" s="1387"/>
      <c r="C191" s="1387"/>
      <c r="D191" s="115"/>
      <c r="E191" s="115"/>
      <c r="F191" s="115"/>
      <c r="G191" s="115"/>
      <c r="H191" s="115"/>
      <c r="I191" s="115"/>
      <c r="J191" s="115"/>
      <c r="K191" s="115"/>
      <c r="L191" s="115"/>
      <c r="M191" s="115"/>
      <c r="N191" s="115"/>
      <c r="O191" s="115"/>
      <c r="P191" s="115"/>
      <c r="Q191" s="115"/>
      <c r="R191" s="115"/>
      <c r="S191" s="115"/>
      <c r="T191" s="115"/>
      <c r="U191" s="115"/>
      <c r="V191" s="115"/>
      <c r="W191" s="115"/>
      <c r="X191" s="115"/>
      <c r="Y191" s="115"/>
      <c r="Z191" s="115"/>
      <c r="AA191" s="115"/>
      <c r="AB191" s="115"/>
      <c r="AC191" s="115"/>
      <c r="AD191" s="115"/>
      <c r="AE191" s="115"/>
      <c r="AF191" s="115"/>
      <c r="AG191" s="115"/>
      <c r="AH191" s="115"/>
      <c r="AI191" s="115"/>
      <c r="AJ191" s="119"/>
      <c r="AK191" s="119"/>
      <c r="AL191" s="119"/>
      <c r="AM191" s="119"/>
      <c r="AN191" s="119"/>
      <c r="AO191" s="119"/>
    </row>
    <row r="192" spans="1:41" ht="15.75" customHeight="1" thickBot="1" x14ac:dyDescent="0.4">
      <c r="A192" s="115"/>
      <c r="B192" s="1387"/>
      <c r="C192" s="1387"/>
      <c r="D192" s="115"/>
      <c r="E192" s="115"/>
      <c r="F192" s="115"/>
      <c r="G192" s="115"/>
      <c r="H192" s="115"/>
      <c r="I192" s="115"/>
      <c r="J192" s="115"/>
      <c r="K192" s="115"/>
      <c r="L192" s="115"/>
      <c r="M192" s="115"/>
      <c r="N192" s="115"/>
      <c r="O192" s="115"/>
      <c r="P192" s="115"/>
      <c r="Q192" s="115"/>
      <c r="R192" s="115"/>
      <c r="S192" s="115"/>
      <c r="T192" s="115"/>
      <c r="U192" s="115"/>
      <c r="V192" s="115"/>
      <c r="W192" s="115"/>
      <c r="X192" s="115"/>
      <c r="Y192" s="115"/>
      <c r="Z192" s="115"/>
      <c r="AA192" s="115"/>
      <c r="AB192" s="115"/>
      <c r="AC192" s="115"/>
      <c r="AD192" s="115"/>
      <c r="AE192" s="115"/>
      <c r="AF192" s="115"/>
      <c r="AG192" s="115"/>
      <c r="AH192" s="115"/>
      <c r="AI192" s="115"/>
      <c r="AJ192" s="119"/>
      <c r="AK192" s="119"/>
      <c r="AL192" s="119"/>
      <c r="AM192" s="119"/>
      <c r="AN192" s="119"/>
      <c r="AO192" s="119"/>
    </row>
    <row r="193" spans="1:41" ht="15.75" customHeight="1" thickBot="1" x14ac:dyDescent="0.4">
      <c r="A193" s="115"/>
      <c r="B193" s="1387"/>
      <c r="C193" s="1387"/>
      <c r="D193" s="115"/>
      <c r="E193" s="115"/>
      <c r="F193" s="115"/>
      <c r="G193" s="115"/>
      <c r="H193" s="115"/>
      <c r="I193" s="115"/>
      <c r="J193" s="115"/>
      <c r="K193" s="115"/>
      <c r="L193" s="115"/>
      <c r="M193" s="115"/>
      <c r="N193" s="115"/>
      <c r="O193" s="115"/>
      <c r="P193" s="115"/>
      <c r="Q193" s="115"/>
      <c r="R193" s="115"/>
      <c r="S193" s="115"/>
      <c r="T193" s="115"/>
      <c r="U193" s="115"/>
      <c r="V193" s="115"/>
      <c r="W193" s="115"/>
      <c r="X193" s="115"/>
      <c r="Y193" s="115"/>
      <c r="Z193" s="115"/>
      <c r="AA193" s="115"/>
      <c r="AB193" s="115"/>
      <c r="AC193" s="115"/>
      <c r="AD193" s="115"/>
      <c r="AE193" s="115"/>
      <c r="AF193" s="115"/>
      <c r="AG193" s="115"/>
      <c r="AH193" s="115"/>
      <c r="AI193" s="115"/>
      <c r="AJ193" s="119"/>
      <c r="AK193" s="119"/>
      <c r="AL193" s="119"/>
      <c r="AM193" s="119"/>
      <c r="AN193" s="119"/>
      <c r="AO193" s="119"/>
    </row>
    <row r="194" spans="1:41" ht="15.75" customHeight="1" thickBot="1" x14ac:dyDescent="0.4">
      <c r="A194" s="115"/>
      <c r="B194" s="1387"/>
      <c r="C194" s="1387"/>
      <c r="D194" s="115"/>
      <c r="E194" s="115"/>
      <c r="F194" s="115"/>
      <c r="G194" s="115"/>
      <c r="H194" s="115"/>
      <c r="I194" s="115"/>
      <c r="J194" s="115"/>
      <c r="K194" s="115"/>
      <c r="L194" s="115"/>
      <c r="M194" s="115"/>
      <c r="N194" s="115"/>
      <c r="O194" s="115"/>
      <c r="P194" s="115"/>
      <c r="Q194" s="115"/>
      <c r="R194" s="115"/>
      <c r="S194" s="115"/>
      <c r="T194" s="115"/>
      <c r="U194" s="115"/>
      <c r="V194" s="115"/>
      <c r="W194" s="115"/>
      <c r="X194" s="115"/>
      <c r="Y194" s="115"/>
      <c r="Z194" s="115"/>
      <c r="AA194" s="115"/>
      <c r="AB194" s="115"/>
      <c r="AC194" s="115"/>
      <c r="AD194" s="115"/>
      <c r="AE194" s="115"/>
      <c r="AF194" s="115"/>
      <c r="AG194" s="115"/>
      <c r="AH194" s="115"/>
      <c r="AI194" s="115"/>
      <c r="AJ194" s="119"/>
      <c r="AK194" s="119"/>
      <c r="AL194" s="119"/>
      <c r="AM194" s="119"/>
      <c r="AN194" s="119"/>
      <c r="AO194" s="119"/>
    </row>
    <row r="195" spans="1:41" ht="15.75" customHeight="1" thickBot="1" x14ac:dyDescent="0.4">
      <c r="A195" s="115"/>
      <c r="B195" s="1387"/>
      <c r="C195" s="1387"/>
      <c r="D195" s="115"/>
      <c r="E195" s="115"/>
      <c r="F195" s="115"/>
      <c r="G195" s="115"/>
      <c r="H195" s="115"/>
      <c r="I195" s="115"/>
      <c r="J195" s="115"/>
      <c r="K195" s="115"/>
      <c r="L195" s="115"/>
      <c r="M195" s="115"/>
      <c r="N195" s="115"/>
      <c r="O195" s="115"/>
      <c r="P195" s="115"/>
      <c r="Q195" s="115"/>
      <c r="R195" s="115"/>
      <c r="S195" s="115"/>
      <c r="T195" s="115"/>
      <c r="U195" s="115"/>
      <c r="V195" s="115"/>
      <c r="W195" s="115"/>
      <c r="X195" s="115"/>
      <c r="Y195" s="115"/>
      <c r="Z195" s="115"/>
      <c r="AA195" s="115"/>
      <c r="AB195" s="115"/>
      <c r="AC195" s="115"/>
      <c r="AD195" s="115"/>
      <c r="AE195" s="115"/>
      <c r="AF195" s="115"/>
      <c r="AG195" s="115"/>
      <c r="AH195" s="115"/>
      <c r="AI195" s="115"/>
      <c r="AJ195" s="119"/>
      <c r="AK195" s="119"/>
      <c r="AL195" s="119"/>
      <c r="AM195" s="119"/>
      <c r="AN195" s="119"/>
      <c r="AO195" s="119"/>
    </row>
    <row r="196" spans="1:41" ht="15.75" customHeight="1" thickBot="1" x14ac:dyDescent="0.4">
      <c r="A196" s="115"/>
      <c r="B196" s="1387"/>
      <c r="C196" s="1387"/>
      <c r="D196" s="115"/>
      <c r="E196" s="115"/>
      <c r="F196" s="115"/>
      <c r="G196" s="115"/>
      <c r="H196" s="115"/>
      <c r="I196" s="115"/>
      <c r="J196" s="115"/>
      <c r="K196" s="115"/>
      <c r="L196" s="115"/>
      <c r="M196" s="115"/>
      <c r="N196" s="115"/>
      <c r="O196" s="115"/>
      <c r="P196" s="115"/>
      <c r="Q196" s="115"/>
      <c r="R196" s="115"/>
      <c r="S196" s="115"/>
      <c r="T196" s="115"/>
      <c r="U196" s="115"/>
      <c r="V196" s="115"/>
      <c r="W196" s="115"/>
      <c r="X196" s="115"/>
      <c r="Y196" s="115"/>
      <c r="Z196" s="115"/>
      <c r="AA196" s="115"/>
      <c r="AB196" s="115"/>
      <c r="AC196" s="115"/>
      <c r="AD196" s="115"/>
      <c r="AE196" s="115"/>
      <c r="AF196" s="115"/>
      <c r="AG196" s="115"/>
      <c r="AH196" s="115"/>
      <c r="AI196" s="115"/>
      <c r="AJ196" s="119"/>
      <c r="AK196" s="119"/>
      <c r="AL196" s="119"/>
      <c r="AM196" s="119"/>
      <c r="AN196" s="119"/>
      <c r="AO196" s="119"/>
    </row>
    <row r="197" spans="1:41" ht="15.75" customHeight="1" thickBot="1" x14ac:dyDescent="0.4">
      <c r="A197" s="115"/>
      <c r="B197" s="1387"/>
      <c r="C197" s="1387"/>
      <c r="D197" s="115"/>
      <c r="E197" s="115"/>
      <c r="F197" s="115"/>
      <c r="G197" s="115"/>
      <c r="H197" s="115"/>
      <c r="I197" s="115"/>
      <c r="J197" s="115"/>
      <c r="K197" s="115"/>
      <c r="L197" s="115"/>
      <c r="M197" s="115"/>
      <c r="N197" s="115"/>
      <c r="O197" s="115"/>
      <c r="P197" s="115"/>
      <c r="Q197" s="115"/>
      <c r="R197" s="115"/>
      <c r="S197" s="115"/>
      <c r="T197" s="115"/>
      <c r="U197" s="115"/>
      <c r="V197" s="115"/>
      <c r="W197" s="115"/>
      <c r="X197" s="115"/>
      <c r="Y197" s="115"/>
      <c r="Z197" s="115"/>
      <c r="AA197" s="115"/>
      <c r="AB197" s="115"/>
      <c r="AC197" s="115"/>
      <c r="AD197" s="115"/>
      <c r="AE197" s="115"/>
      <c r="AF197" s="115"/>
      <c r="AG197" s="115"/>
      <c r="AH197" s="115"/>
      <c r="AI197" s="115"/>
      <c r="AJ197" s="119"/>
      <c r="AK197" s="119"/>
      <c r="AL197" s="119"/>
      <c r="AM197" s="119"/>
      <c r="AN197" s="119"/>
      <c r="AO197" s="119"/>
    </row>
    <row r="198" spans="1:41" ht="15.75" customHeight="1" thickBot="1" x14ac:dyDescent="0.4">
      <c r="A198" s="115"/>
      <c r="B198" s="1387"/>
      <c r="C198" s="1387"/>
      <c r="D198" s="115"/>
      <c r="E198" s="115"/>
      <c r="F198" s="115"/>
      <c r="G198" s="115"/>
      <c r="H198" s="115"/>
      <c r="I198" s="115"/>
      <c r="J198" s="115"/>
      <c r="K198" s="115"/>
      <c r="L198" s="115"/>
      <c r="M198" s="115"/>
      <c r="N198" s="115"/>
      <c r="O198" s="115"/>
      <c r="P198" s="115"/>
      <c r="Q198" s="115"/>
      <c r="R198" s="115"/>
      <c r="S198" s="115"/>
      <c r="T198" s="115"/>
      <c r="U198" s="115"/>
      <c r="V198" s="115"/>
      <c r="W198" s="115"/>
      <c r="X198" s="115"/>
      <c r="Y198" s="115"/>
      <c r="Z198" s="115"/>
      <c r="AA198" s="115"/>
      <c r="AB198" s="115"/>
      <c r="AC198" s="115"/>
      <c r="AD198" s="115"/>
      <c r="AE198" s="115"/>
      <c r="AF198" s="115"/>
      <c r="AG198" s="115"/>
      <c r="AH198" s="115"/>
      <c r="AI198" s="115"/>
      <c r="AJ198" s="119"/>
      <c r="AK198" s="119"/>
      <c r="AL198" s="119"/>
      <c r="AM198" s="119"/>
      <c r="AN198" s="119"/>
      <c r="AO198" s="119"/>
    </row>
    <row r="199" spans="1:41" ht="15.75" customHeight="1" thickBot="1" x14ac:dyDescent="0.4">
      <c r="A199" s="115"/>
      <c r="B199" s="1387"/>
      <c r="C199" s="1387"/>
      <c r="D199" s="115"/>
      <c r="E199" s="115"/>
      <c r="F199" s="115"/>
      <c r="G199" s="115"/>
      <c r="H199" s="115"/>
      <c r="I199" s="115"/>
      <c r="J199" s="115"/>
      <c r="K199" s="115"/>
      <c r="L199" s="115"/>
      <c r="M199" s="115"/>
      <c r="N199" s="115"/>
      <c r="O199" s="115"/>
      <c r="P199" s="115"/>
      <c r="Q199" s="115"/>
      <c r="R199" s="115"/>
      <c r="S199" s="115"/>
      <c r="T199" s="115"/>
      <c r="U199" s="115"/>
      <c r="V199" s="115"/>
      <c r="W199" s="115"/>
      <c r="X199" s="115"/>
      <c r="Y199" s="115"/>
      <c r="Z199" s="115"/>
      <c r="AA199" s="115"/>
      <c r="AB199" s="115"/>
      <c r="AC199" s="115"/>
      <c r="AD199" s="115"/>
      <c r="AE199" s="115"/>
      <c r="AF199" s="115"/>
      <c r="AG199" s="115"/>
      <c r="AH199" s="115"/>
      <c r="AI199" s="115"/>
      <c r="AJ199" s="119"/>
      <c r="AK199" s="119"/>
      <c r="AL199" s="119"/>
      <c r="AM199" s="119"/>
      <c r="AN199" s="119"/>
      <c r="AO199" s="119"/>
    </row>
    <row r="200" spans="1:41" ht="15.75" customHeight="1" thickBot="1" x14ac:dyDescent="0.4">
      <c r="A200" s="115"/>
      <c r="B200" s="1387"/>
      <c r="C200" s="1387"/>
      <c r="D200" s="115"/>
      <c r="E200" s="115"/>
      <c r="F200" s="115"/>
      <c r="G200" s="115"/>
      <c r="H200" s="115"/>
      <c r="I200" s="115"/>
      <c r="J200" s="115"/>
      <c r="K200" s="115"/>
      <c r="L200" s="115"/>
      <c r="M200" s="115"/>
      <c r="N200" s="115"/>
      <c r="O200" s="115"/>
      <c r="P200" s="115"/>
      <c r="Q200" s="115"/>
      <c r="R200" s="115"/>
      <c r="S200" s="115"/>
      <c r="T200" s="115"/>
      <c r="U200" s="115"/>
      <c r="V200" s="115"/>
      <c r="W200" s="115"/>
      <c r="X200" s="115"/>
      <c r="Y200" s="115"/>
      <c r="Z200" s="115"/>
      <c r="AA200" s="115"/>
      <c r="AB200" s="115"/>
      <c r="AC200" s="115"/>
      <c r="AD200" s="115"/>
      <c r="AE200" s="115"/>
      <c r="AF200" s="115"/>
      <c r="AG200" s="115"/>
      <c r="AH200" s="115"/>
      <c r="AI200" s="115"/>
      <c r="AJ200" s="119"/>
      <c r="AK200" s="119"/>
      <c r="AL200" s="119"/>
      <c r="AM200" s="119"/>
      <c r="AN200" s="119"/>
      <c r="AO200" s="119"/>
    </row>
    <row r="201" spans="1:41" ht="15.75" customHeight="1" thickBot="1" x14ac:dyDescent="0.4">
      <c r="A201" s="115"/>
      <c r="B201" s="1387"/>
      <c r="C201" s="1387"/>
      <c r="D201" s="115"/>
      <c r="E201" s="115"/>
      <c r="F201" s="115"/>
      <c r="G201" s="115"/>
      <c r="H201" s="115"/>
      <c r="I201" s="115"/>
      <c r="J201" s="115"/>
      <c r="K201" s="115"/>
      <c r="L201" s="115"/>
      <c r="M201" s="115"/>
      <c r="N201" s="115"/>
      <c r="O201" s="115"/>
      <c r="P201" s="115"/>
      <c r="Q201" s="115"/>
      <c r="R201" s="115"/>
      <c r="S201" s="115"/>
      <c r="T201" s="115"/>
      <c r="U201" s="115"/>
      <c r="V201" s="115"/>
      <c r="W201" s="115"/>
      <c r="X201" s="115"/>
      <c r="Y201" s="115"/>
      <c r="Z201" s="115"/>
      <c r="AA201" s="115"/>
      <c r="AB201" s="115"/>
      <c r="AC201" s="115"/>
      <c r="AD201" s="115"/>
      <c r="AE201" s="115"/>
      <c r="AF201" s="115"/>
      <c r="AG201" s="115"/>
      <c r="AH201" s="115"/>
      <c r="AI201" s="115"/>
      <c r="AJ201" s="119"/>
      <c r="AK201" s="119"/>
      <c r="AL201" s="119"/>
      <c r="AM201" s="119"/>
      <c r="AN201" s="119"/>
      <c r="AO201" s="119"/>
    </row>
    <row r="202" spans="1:41" ht="15.75" customHeight="1" thickBot="1" x14ac:dyDescent="0.4">
      <c r="A202" s="115"/>
      <c r="B202" s="1387"/>
      <c r="C202" s="1387"/>
      <c r="D202" s="115"/>
      <c r="E202" s="115"/>
      <c r="F202" s="115"/>
      <c r="G202" s="115"/>
      <c r="H202" s="115"/>
      <c r="I202" s="115"/>
      <c r="J202" s="115"/>
      <c r="K202" s="115"/>
      <c r="L202" s="115"/>
      <c r="M202" s="115"/>
      <c r="N202" s="115"/>
      <c r="O202" s="115"/>
      <c r="P202" s="115"/>
      <c r="Q202" s="115"/>
      <c r="R202" s="115"/>
      <c r="S202" s="115"/>
      <c r="T202" s="115"/>
      <c r="U202" s="115"/>
      <c r="V202" s="115"/>
      <c r="W202" s="115"/>
      <c r="X202" s="115"/>
      <c r="Y202" s="115"/>
      <c r="Z202" s="115"/>
      <c r="AA202" s="115"/>
      <c r="AB202" s="115"/>
      <c r="AC202" s="115"/>
      <c r="AD202" s="115"/>
      <c r="AE202" s="115"/>
      <c r="AF202" s="115"/>
      <c r="AG202" s="115"/>
      <c r="AH202" s="115"/>
      <c r="AI202" s="115"/>
      <c r="AJ202" s="119"/>
      <c r="AK202" s="119"/>
      <c r="AL202" s="119"/>
      <c r="AM202" s="119"/>
      <c r="AN202" s="119"/>
      <c r="AO202" s="119"/>
    </row>
    <row r="203" spans="1:41" ht="15.75" customHeight="1" thickBot="1" x14ac:dyDescent="0.4">
      <c r="A203" s="115"/>
      <c r="B203" s="1387"/>
      <c r="C203" s="1387"/>
      <c r="D203" s="115"/>
      <c r="E203" s="115"/>
      <c r="F203" s="115"/>
      <c r="G203" s="115"/>
      <c r="H203" s="115"/>
      <c r="I203" s="115"/>
      <c r="J203" s="115"/>
      <c r="K203" s="115"/>
      <c r="L203" s="115"/>
      <c r="M203" s="115"/>
      <c r="N203" s="115"/>
      <c r="O203" s="115"/>
      <c r="P203" s="115"/>
      <c r="Q203" s="115"/>
      <c r="R203" s="115"/>
      <c r="S203" s="115"/>
      <c r="T203" s="115"/>
      <c r="U203" s="115"/>
      <c r="V203" s="115"/>
      <c r="W203" s="115"/>
      <c r="X203" s="115"/>
      <c r="Y203" s="115"/>
      <c r="Z203" s="115"/>
      <c r="AA203" s="115"/>
      <c r="AB203" s="115"/>
      <c r="AC203" s="115"/>
      <c r="AD203" s="115"/>
      <c r="AE203" s="115"/>
      <c r="AF203" s="115"/>
      <c r="AG203" s="115"/>
      <c r="AH203" s="115"/>
      <c r="AI203" s="115"/>
      <c r="AJ203" s="119"/>
      <c r="AK203" s="119"/>
      <c r="AL203" s="119"/>
      <c r="AM203" s="119"/>
      <c r="AN203" s="119"/>
      <c r="AO203" s="119"/>
    </row>
    <row r="204" spans="1:41" ht="15.75" customHeight="1" thickBot="1" x14ac:dyDescent="0.4">
      <c r="A204" s="115"/>
      <c r="B204" s="1387"/>
      <c r="C204" s="1387"/>
      <c r="D204" s="115"/>
      <c r="E204" s="115"/>
      <c r="F204" s="115"/>
      <c r="G204" s="115"/>
      <c r="H204" s="115"/>
      <c r="I204" s="115"/>
      <c r="J204" s="115"/>
      <c r="K204" s="115"/>
      <c r="L204" s="115"/>
      <c r="M204" s="115"/>
      <c r="N204" s="115"/>
      <c r="O204" s="115"/>
      <c r="P204" s="115"/>
      <c r="Q204" s="115"/>
      <c r="R204" s="115"/>
      <c r="S204" s="115"/>
      <c r="T204" s="115"/>
      <c r="U204" s="115"/>
      <c r="V204" s="115"/>
      <c r="W204" s="115"/>
      <c r="X204" s="115"/>
      <c r="Y204" s="115"/>
      <c r="Z204" s="115"/>
      <c r="AA204" s="115"/>
      <c r="AB204" s="115"/>
      <c r="AC204" s="115"/>
      <c r="AD204" s="115"/>
      <c r="AE204" s="115"/>
      <c r="AF204" s="115"/>
      <c r="AG204" s="115"/>
      <c r="AH204" s="115"/>
      <c r="AI204" s="115"/>
      <c r="AJ204" s="119"/>
      <c r="AK204" s="119"/>
      <c r="AL204" s="119"/>
      <c r="AM204" s="119"/>
      <c r="AN204" s="119"/>
      <c r="AO204" s="119"/>
    </row>
    <row r="205" spans="1:41" ht="15.75" customHeight="1" thickBot="1" x14ac:dyDescent="0.4">
      <c r="A205" s="115"/>
      <c r="B205" s="1387"/>
      <c r="C205" s="1387"/>
      <c r="D205" s="115"/>
      <c r="E205" s="115"/>
      <c r="F205" s="115"/>
      <c r="G205" s="115"/>
      <c r="H205" s="115"/>
      <c r="I205" s="115"/>
      <c r="J205" s="115"/>
      <c r="K205" s="115"/>
      <c r="L205" s="115"/>
      <c r="M205" s="115"/>
      <c r="N205" s="115"/>
      <c r="O205" s="115"/>
      <c r="P205" s="115"/>
      <c r="Q205" s="115"/>
      <c r="R205" s="115"/>
      <c r="S205" s="115"/>
      <c r="T205" s="115"/>
      <c r="U205" s="115"/>
      <c r="V205" s="115"/>
      <c r="W205" s="115"/>
      <c r="X205" s="115"/>
      <c r="Y205" s="115"/>
      <c r="Z205" s="115"/>
      <c r="AA205" s="115"/>
      <c r="AB205" s="115"/>
      <c r="AC205" s="115"/>
      <c r="AD205" s="115"/>
      <c r="AE205" s="115"/>
      <c r="AF205" s="115"/>
      <c r="AG205" s="115"/>
      <c r="AH205" s="115"/>
      <c r="AI205" s="115"/>
      <c r="AJ205" s="119"/>
      <c r="AK205" s="119"/>
      <c r="AL205" s="119"/>
      <c r="AM205" s="119"/>
      <c r="AN205" s="119"/>
      <c r="AO205" s="119"/>
    </row>
    <row r="206" spans="1:41" ht="15.75" customHeight="1" thickBot="1" x14ac:dyDescent="0.4">
      <c r="A206" s="115"/>
      <c r="B206" s="1387"/>
      <c r="C206" s="1387"/>
      <c r="D206" s="115"/>
      <c r="E206" s="115"/>
      <c r="F206" s="115"/>
      <c r="G206" s="115"/>
      <c r="H206" s="115"/>
      <c r="I206" s="115"/>
      <c r="J206" s="115"/>
      <c r="K206" s="115"/>
      <c r="L206" s="115"/>
      <c r="M206" s="115"/>
      <c r="N206" s="115"/>
      <c r="O206" s="115"/>
      <c r="P206" s="115"/>
      <c r="Q206" s="115"/>
      <c r="R206" s="115"/>
      <c r="S206" s="115"/>
      <c r="T206" s="115"/>
      <c r="U206" s="115"/>
      <c r="V206" s="115"/>
      <c r="W206" s="115"/>
      <c r="X206" s="115"/>
      <c r="Y206" s="115"/>
      <c r="Z206" s="115"/>
      <c r="AA206" s="115"/>
      <c r="AB206" s="115"/>
      <c r="AC206" s="115"/>
      <c r="AD206" s="115"/>
      <c r="AE206" s="115"/>
      <c r="AF206" s="115"/>
      <c r="AG206" s="115"/>
      <c r="AH206" s="115"/>
      <c r="AI206" s="115"/>
      <c r="AJ206" s="119"/>
      <c r="AK206" s="119"/>
      <c r="AL206" s="119"/>
      <c r="AM206" s="119"/>
      <c r="AN206" s="119"/>
      <c r="AO206" s="119"/>
    </row>
    <row r="207" spans="1:41" ht="15.75" customHeight="1" thickBot="1" x14ac:dyDescent="0.4">
      <c r="A207" s="115"/>
      <c r="B207" s="1387"/>
      <c r="C207" s="1387"/>
      <c r="D207" s="115"/>
      <c r="E207" s="115"/>
      <c r="F207" s="115"/>
      <c r="G207" s="115"/>
      <c r="H207" s="115"/>
      <c r="I207" s="115"/>
      <c r="J207" s="115"/>
      <c r="K207" s="115"/>
      <c r="L207" s="115"/>
      <c r="M207" s="115"/>
      <c r="N207" s="115"/>
      <c r="O207" s="115"/>
      <c r="P207" s="115"/>
      <c r="Q207" s="115"/>
      <c r="R207" s="115"/>
      <c r="S207" s="115"/>
      <c r="T207" s="115"/>
      <c r="U207" s="115"/>
      <c r="V207" s="115"/>
      <c r="W207" s="115"/>
      <c r="X207" s="115"/>
      <c r="Y207" s="115"/>
      <c r="Z207" s="115"/>
      <c r="AA207" s="115"/>
      <c r="AB207" s="115"/>
      <c r="AC207" s="115"/>
      <c r="AD207" s="115"/>
      <c r="AE207" s="115"/>
      <c r="AF207" s="115"/>
      <c r="AG207" s="115"/>
      <c r="AH207" s="115"/>
      <c r="AI207" s="115"/>
      <c r="AJ207" s="119"/>
      <c r="AK207" s="119"/>
      <c r="AL207" s="119"/>
      <c r="AM207" s="119"/>
      <c r="AN207" s="119"/>
      <c r="AO207" s="119"/>
    </row>
    <row r="208" spans="1:41" ht="15.75" customHeight="1" thickBot="1" x14ac:dyDescent="0.4">
      <c r="A208" s="115"/>
      <c r="B208" s="1387"/>
      <c r="C208" s="1387"/>
      <c r="D208" s="115"/>
      <c r="E208" s="115"/>
      <c r="F208" s="115"/>
      <c r="G208" s="115"/>
      <c r="H208" s="115"/>
      <c r="I208" s="115"/>
      <c r="J208" s="115"/>
      <c r="K208" s="115"/>
      <c r="L208" s="115"/>
      <c r="M208" s="115"/>
      <c r="N208" s="115"/>
      <c r="O208" s="115"/>
      <c r="P208" s="115"/>
      <c r="Q208" s="115"/>
      <c r="R208" s="115"/>
      <c r="S208" s="115"/>
      <c r="T208" s="115"/>
      <c r="U208" s="115"/>
      <c r="V208" s="115"/>
      <c r="W208" s="115"/>
      <c r="X208" s="115"/>
      <c r="Y208" s="115"/>
      <c r="Z208" s="115"/>
      <c r="AA208" s="115"/>
      <c r="AB208" s="115"/>
      <c r="AC208" s="115"/>
      <c r="AD208" s="115"/>
      <c r="AE208" s="115"/>
      <c r="AF208" s="115"/>
      <c r="AG208" s="115"/>
      <c r="AH208" s="115"/>
      <c r="AI208" s="115"/>
      <c r="AJ208" s="119"/>
      <c r="AK208" s="119"/>
      <c r="AL208" s="119"/>
      <c r="AM208" s="119"/>
      <c r="AN208" s="119"/>
      <c r="AO208" s="119"/>
    </row>
    <row r="209" spans="1:41" ht="15.75" customHeight="1" thickBot="1" x14ac:dyDescent="0.4">
      <c r="A209" s="115"/>
      <c r="B209" s="1387"/>
      <c r="C209" s="1387"/>
      <c r="D209" s="115"/>
      <c r="E209" s="115"/>
      <c r="F209" s="115"/>
      <c r="G209" s="115"/>
      <c r="H209" s="115"/>
      <c r="I209" s="115"/>
      <c r="J209" s="115"/>
      <c r="K209" s="115"/>
      <c r="L209" s="115"/>
      <c r="M209" s="115"/>
      <c r="N209" s="115"/>
      <c r="O209" s="115"/>
      <c r="P209" s="115"/>
      <c r="Q209" s="115"/>
      <c r="R209" s="115"/>
      <c r="S209" s="115"/>
      <c r="T209" s="115"/>
      <c r="U209" s="115"/>
      <c r="V209" s="115"/>
      <c r="W209" s="115"/>
      <c r="X209" s="115"/>
      <c r="Y209" s="115"/>
      <c r="Z209" s="115"/>
      <c r="AA209" s="115"/>
      <c r="AB209" s="115"/>
      <c r="AC209" s="115"/>
      <c r="AD209" s="115"/>
      <c r="AE209" s="115"/>
      <c r="AF209" s="115"/>
      <c r="AG209" s="115"/>
      <c r="AH209" s="115"/>
      <c r="AI209" s="115"/>
      <c r="AJ209" s="119"/>
      <c r="AK209" s="119"/>
      <c r="AL209" s="119"/>
      <c r="AM209" s="119"/>
      <c r="AN209" s="119"/>
      <c r="AO209" s="119"/>
    </row>
    <row r="210" spans="1:41" ht="15.75" customHeight="1" thickBot="1" x14ac:dyDescent="0.4">
      <c r="A210" s="115"/>
      <c r="B210" s="1387"/>
      <c r="C210" s="1387"/>
      <c r="D210" s="115"/>
      <c r="E210" s="115"/>
      <c r="F210" s="115"/>
      <c r="G210" s="115"/>
      <c r="H210" s="115"/>
      <c r="I210" s="115"/>
      <c r="J210" s="115"/>
      <c r="K210" s="115"/>
      <c r="L210" s="115"/>
      <c r="M210" s="115"/>
      <c r="N210" s="115"/>
      <c r="O210" s="115"/>
      <c r="P210" s="115"/>
      <c r="Q210" s="115"/>
      <c r="R210" s="115"/>
      <c r="S210" s="115"/>
      <c r="T210" s="115"/>
      <c r="U210" s="115"/>
      <c r="V210" s="115"/>
      <c r="W210" s="115"/>
      <c r="X210" s="115"/>
      <c r="Y210" s="115"/>
      <c r="Z210" s="115"/>
      <c r="AA210" s="115"/>
      <c r="AB210" s="115"/>
      <c r="AC210" s="115"/>
      <c r="AD210" s="115"/>
      <c r="AE210" s="115"/>
      <c r="AF210" s="115"/>
      <c r="AG210" s="115"/>
      <c r="AH210" s="115"/>
      <c r="AI210" s="115"/>
      <c r="AJ210" s="119"/>
      <c r="AK210" s="119"/>
      <c r="AL210" s="119"/>
      <c r="AM210" s="119"/>
      <c r="AN210" s="119"/>
      <c r="AO210" s="119"/>
    </row>
    <row r="211" spans="1:41" ht="15.75" customHeight="1" thickBot="1" x14ac:dyDescent="0.4">
      <c r="A211" s="115"/>
      <c r="B211" s="1387"/>
      <c r="C211" s="1387"/>
      <c r="D211" s="115"/>
      <c r="E211" s="115"/>
      <c r="F211" s="115"/>
      <c r="G211" s="115"/>
      <c r="H211" s="115"/>
      <c r="I211" s="115"/>
      <c r="J211" s="115"/>
      <c r="K211" s="115"/>
      <c r="L211" s="115"/>
      <c r="M211" s="115"/>
      <c r="N211" s="115"/>
      <c r="O211" s="115"/>
      <c r="P211" s="115"/>
      <c r="Q211" s="115"/>
      <c r="R211" s="115"/>
      <c r="S211" s="115"/>
      <c r="T211" s="115"/>
      <c r="U211" s="115"/>
      <c r="V211" s="115"/>
      <c r="W211" s="115"/>
      <c r="X211" s="115"/>
      <c r="Y211" s="115"/>
      <c r="Z211" s="115"/>
      <c r="AA211" s="115"/>
      <c r="AB211" s="115"/>
      <c r="AC211" s="115"/>
      <c r="AD211" s="115"/>
      <c r="AE211" s="115"/>
      <c r="AF211" s="115"/>
      <c r="AG211" s="115"/>
      <c r="AH211" s="115"/>
      <c r="AI211" s="115"/>
      <c r="AJ211" s="119"/>
      <c r="AK211" s="119"/>
      <c r="AL211" s="119"/>
      <c r="AM211" s="119"/>
      <c r="AN211" s="119"/>
      <c r="AO211" s="119"/>
    </row>
    <row r="212" spans="1:41" ht="15.75" customHeight="1" thickBot="1" x14ac:dyDescent="0.4">
      <c r="A212" s="115"/>
      <c r="B212" s="1387"/>
      <c r="C212" s="1387"/>
      <c r="D212" s="115"/>
      <c r="E212" s="115"/>
      <c r="F212" s="115"/>
      <c r="G212" s="115"/>
      <c r="H212" s="115"/>
      <c r="I212" s="115"/>
      <c r="J212" s="115"/>
      <c r="K212" s="115"/>
      <c r="L212" s="115"/>
      <c r="M212" s="115"/>
      <c r="N212" s="115"/>
      <c r="O212" s="115"/>
      <c r="P212" s="115"/>
      <c r="Q212" s="115"/>
      <c r="R212" s="115"/>
      <c r="S212" s="115"/>
      <c r="T212" s="115"/>
      <c r="U212" s="115"/>
      <c r="V212" s="115"/>
      <c r="W212" s="115"/>
      <c r="X212" s="115"/>
      <c r="Y212" s="115"/>
      <c r="Z212" s="115"/>
      <c r="AA212" s="115"/>
      <c r="AB212" s="115"/>
      <c r="AC212" s="115"/>
      <c r="AD212" s="115"/>
      <c r="AE212" s="115"/>
      <c r="AF212" s="115"/>
      <c r="AG212" s="115"/>
      <c r="AH212" s="115"/>
      <c r="AI212" s="115"/>
      <c r="AJ212" s="119"/>
      <c r="AK212" s="119"/>
      <c r="AL212" s="119"/>
      <c r="AM212" s="119"/>
      <c r="AN212" s="119"/>
      <c r="AO212" s="119"/>
    </row>
    <row r="213" spans="1:41" ht="15.75" customHeight="1" thickBot="1" x14ac:dyDescent="0.4">
      <c r="A213" s="115"/>
      <c r="B213" s="1387"/>
      <c r="C213" s="1387"/>
      <c r="D213" s="115"/>
      <c r="E213" s="115"/>
      <c r="F213" s="115"/>
      <c r="G213" s="115"/>
      <c r="H213" s="115"/>
      <c r="I213" s="115"/>
      <c r="J213" s="115"/>
      <c r="K213" s="115"/>
      <c r="L213" s="115"/>
      <c r="M213" s="115"/>
      <c r="N213" s="115"/>
      <c r="O213" s="115"/>
      <c r="P213" s="115"/>
      <c r="Q213" s="115"/>
      <c r="R213" s="115"/>
      <c r="S213" s="115"/>
      <c r="T213" s="115"/>
      <c r="U213" s="115"/>
      <c r="V213" s="115"/>
      <c r="W213" s="115"/>
      <c r="X213" s="115"/>
      <c r="Y213" s="115"/>
      <c r="Z213" s="115"/>
      <c r="AA213" s="115"/>
      <c r="AB213" s="115"/>
      <c r="AC213" s="115"/>
      <c r="AD213" s="115"/>
      <c r="AE213" s="115"/>
      <c r="AF213" s="115"/>
      <c r="AG213" s="115"/>
      <c r="AH213" s="115"/>
      <c r="AI213" s="115"/>
      <c r="AJ213" s="119"/>
      <c r="AK213" s="119"/>
      <c r="AL213" s="119"/>
      <c r="AM213" s="119"/>
      <c r="AN213" s="119"/>
      <c r="AO213" s="119"/>
    </row>
    <row r="214" spans="1:41" ht="15.75" customHeight="1" thickBot="1" x14ac:dyDescent="0.4">
      <c r="A214" s="115"/>
      <c r="B214" s="1387"/>
      <c r="C214" s="1387"/>
      <c r="D214" s="115"/>
      <c r="E214" s="115"/>
      <c r="F214" s="115"/>
      <c r="G214" s="115"/>
      <c r="H214" s="115"/>
      <c r="I214" s="115"/>
      <c r="J214" s="115"/>
      <c r="K214" s="115"/>
      <c r="L214" s="115"/>
      <c r="M214" s="115"/>
      <c r="N214" s="115"/>
      <c r="O214" s="115"/>
      <c r="P214" s="115"/>
      <c r="Q214" s="115"/>
      <c r="R214" s="115"/>
      <c r="S214" s="115"/>
      <c r="T214" s="115"/>
      <c r="U214" s="115"/>
      <c r="V214" s="115"/>
      <c r="W214" s="115"/>
      <c r="X214" s="115"/>
      <c r="Y214" s="115"/>
      <c r="Z214" s="115"/>
      <c r="AA214" s="115"/>
      <c r="AB214" s="115"/>
      <c r="AC214" s="115"/>
      <c r="AD214" s="115"/>
      <c r="AE214" s="115"/>
      <c r="AF214" s="115"/>
      <c r="AG214" s="115"/>
      <c r="AH214" s="115"/>
      <c r="AI214" s="115"/>
      <c r="AJ214" s="119"/>
      <c r="AK214" s="119"/>
      <c r="AL214" s="119"/>
      <c r="AM214" s="119"/>
      <c r="AN214" s="119"/>
      <c r="AO214" s="119"/>
    </row>
    <row r="215" spans="1:41" ht="15.75" customHeight="1" thickBot="1" x14ac:dyDescent="0.4">
      <c r="A215" s="115"/>
      <c r="B215" s="1387"/>
      <c r="C215" s="1387"/>
      <c r="D215" s="115"/>
      <c r="E215" s="115"/>
      <c r="F215" s="115"/>
      <c r="G215" s="115"/>
      <c r="H215" s="115"/>
      <c r="I215" s="115"/>
      <c r="J215" s="115"/>
      <c r="K215" s="115"/>
      <c r="L215" s="115"/>
      <c r="M215" s="115"/>
      <c r="N215" s="115"/>
      <c r="O215" s="115"/>
      <c r="P215" s="115"/>
      <c r="Q215" s="115"/>
      <c r="R215" s="115"/>
      <c r="S215" s="115"/>
      <c r="T215" s="115"/>
      <c r="U215" s="115"/>
      <c r="V215" s="115"/>
      <c r="W215" s="115"/>
      <c r="X215" s="115"/>
      <c r="Y215" s="115"/>
      <c r="Z215" s="115"/>
      <c r="AA215" s="115"/>
      <c r="AB215" s="115"/>
      <c r="AC215" s="115"/>
      <c r="AD215" s="115"/>
      <c r="AE215" s="115"/>
      <c r="AF215" s="115"/>
      <c r="AG215" s="115"/>
      <c r="AH215" s="115"/>
      <c r="AI215" s="115"/>
      <c r="AJ215" s="119"/>
      <c r="AK215" s="119"/>
      <c r="AL215" s="119"/>
      <c r="AM215" s="119"/>
      <c r="AN215" s="119"/>
      <c r="AO215" s="119"/>
    </row>
    <row r="216" spans="1:41" ht="15.75" customHeight="1" thickBot="1" x14ac:dyDescent="0.4">
      <c r="A216" s="115"/>
      <c r="B216" s="1387"/>
      <c r="C216" s="1387"/>
      <c r="D216" s="115"/>
      <c r="E216" s="115"/>
      <c r="F216" s="115"/>
      <c r="G216" s="115"/>
      <c r="H216" s="115"/>
      <c r="I216" s="115"/>
      <c r="J216" s="115"/>
      <c r="K216" s="115"/>
      <c r="L216" s="115"/>
      <c r="M216" s="115"/>
      <c r="N216" s="115"/>
      <c r="O216" s="115"/>
      <c r="P216" s="115"/>
      <c r="Q216" s="115"/>
      <c r="R216" s="115"/>
      <c r="S216" s="115"/>
      <c r="T216" s="115"/>
      <c r="U216" s="115"/>
      <c r="V216" s="115"/>
      <c r="W216" s="115"/>
      <c r="X216" s="115"/>
      <c r="Y216" s="115"/>
      <c r="Z216" s="115"/>
      <c r="AA216" s="115"/>
      <c r="AB216" s="115"/>
      <c r="AC216" s="115"/>
      <c r="AD216" s="115"/>
      <c r="AE216" s="115"/>
      <c r="AF216" s="115"/>
      <c r="AG216" s="115"/>
      <c r="AH216" s="115"/>
      <c r="AI216" s="115"/>
      <c r="AJ216" s="119"/>
      <c r="AK216" s="119"/>
      <c r="AL216" s="119"/>
      <c r="AM216" s="119"/>
      <c r="AN216" s="119"/>
      <c r="AO216" s="119"/>
    </row>
    <row r="217" spans="1:41" ht="15.75" customHeight="1" thickBot="1" x14ac:dyDescent="0.4">
      <c r="A217" s="115"/>
      <c r="B217" s="1387"/>
      <c r="C217" s="1387"/>
      <c r="D217" s="115"/>
      <c r="E217" s="115"/>
      <c r="F217" s="115"/>
      <c r="G217" s="115"/>
      <c r="H217" s="115"/>
      <c r="I217" s="115"/>
      <c r="J217" s="115"/>
      <c r="K217" s="115"/>
      <c r="L217" s="115"/>
      <c r="M217" s="115"/>
      <c r="N217" s="115"/>
      <c r="O217" s="115"/>
      <c r="P217" s="115"/>
      <c r="Q217" s="115"/>
      <c r="R217" s="115"/>
      <c r="S217" s="115"/>
      <c r="T217" s="115"/>
      <c r="U217" s="115"/>
      <c r="V217" s="115"/>
      <c r="W217" s="115"/>
      <c r="X217" s="115"/>
      <c r="Y217" s="115"/>
      <c r="Z217" s="115"/>
      <c r="AA217" s="115"/>
      <c r="AB217" s="115"/>
      <c r="AC217" s="115"/>
      <c r="AD217" s="115"/>
      <c r="AE217" s="115"/>
      <c r="AF217" s="115"/>
      <c r="AG217" s="115"/>
      <c r="AH217" s="115"/>
      <c r="AI217" s="115"/>
      <c r="AJ217" s="119"/>
      <c r="AK217" s="119"/>
      <c r="AL217" s="119"/>
      <c r="AM217" s="561"/>
      <c r="AN217" s="561"/>
      <c r="AO217" s="176"/>
    </row>
    <row r="218" spans="1:41" ht="15.75" customHeight="1" thickBot="1" x14ac:dyDescent="0.4">
      <c r="A218" s="115"/>
      <c r="B218" s="1387"/>
      <c r="C218" s="1387"/>
      <c r="D218" s="115"/>
      <c r="E218" s="115"/>
      <c r="F218" s="115"/>
      <c r="G218" s="115"/>
      <c r="H218" s="115"/>
      <c r="I218" s="115"/>
      <c r="J218" s="115"/>
      <c r="K218" s="115"/>
      <c r="L218" s="115"/>
      <c r="M218" s="115"/>
      <c r="N218" s="115"/>
      <c r="O218" s="115"/>
      <c r="P218" s="115"/>
      <c r="Q218" s="115"/>
      <c r="R218" s="115"/>
      <c r="S218" s="115"/>
      <c r="T218" s="115"/>
      <c r="U218" s="115"/>
      <c r="V218" s="115"/>
      <c r="W218" s="115"/>
      <c r="X218" s="115"/>
      <c r="Y218" s="115"/>
      <c r="Z218" s="115"/>
      <c r="AA218" s="115"/>
      <c r="AB218" s="115"/>
      <c r="AC218" s="115"/>
      <c r="AD218" s="115"/>
      <c r="AE218" s="115"/>
      <c r="AF218" s="115"/>
      <c r="AG218" s="115"/>
      <c r="AH218" s="115"/>
      <c r="AI218" s="115"/>
      <c r="AJ218" s="119"/>
      <c r="AK218" s="119"/>
      <c r="AL218" s="119"/>
      <c r="AM218" s="561"/>
      <c r="AN218" s="561"/>
      <c r="AO218" s="176"/>
    </row>
    <row r="219" spans="1:41" ht="15.75" customHeight="1" thickBot="1" x14ac:dyDescent="0.4">
      <c r="A219" s="115"/>
      <c r="B219" s="1387"/>
      <c r="C219" s="1387"/>
      <c r="D219" s="115"/>
      <c r="E219" s="115"/>
      <c r="F219" s="115"/>
      <c r="G219" s="115"/>
      <c r="H219" s="115"/>
      <c r="I219" s="115"/>
      <c r="J219" s="115"/>
      <c r="K219" s="115"/>
      <c r="L219" s="115"/>
      <c r="M219" s="115"/>
      <c r="N219" s="115"/>
      <c r="O219" s="115"/>
      <c r="P219" s="115"/>
      <c r="Q219" s="115"/>
      <c r="R219" s="115"/>
      <c r="S219" s="115"/>
      <c r="T219" s="115"/>
      <c r="U219" s="115"/>
      <c r="V219" s="115"/>
      <c r="W219" s="115"/>
      <c r="X219" s="115"/>
      <c r="Y219" s="115"/>
      <c r="Z219" s="115"/>
      <c r="AA219" s="115"/>
      <c r="AB219" s="115"/>
      <c r="AC219" s="115"/>
      <c r="AD219" s="115"/>
      <c r="AE219" s="115"/>
      <c r="AF219" s="115"/>
      <c r="AG219" s="115"/>
      <c r="AH219" s="115"/>
      <c r="AI219" s="115"/>
      <c r="AJ219" s="119"/>
      <c r="AK219" s="119"/>
      <c r="AL219" s="119"/>
      <c r="AM219" s="561"/>
      <c r="AN219" s="561"/>
      <c r="AO219" s="176"/>
    </row>
    <row r="220" spans="1:41" ht="15.75" customHeight="1" thickBot="1" x14ac:dyDescent="0.4">
      <c r="A220" s="115"/>
      <c r="B220" s="1387"/>
      <c r="C220" s="1387"/>
      <c r="D220" s="115"/>
      <c r="E220" s="115"/>
      <c r="F220" s="115"/>
      <c r="G220" s="115"/>
      <c r="H220" s="115"/>
      <c r="I220" s="115"/>
      <c r="J220" s="115"/>
      <c r="K220" s="115"/>
      <c r="L220" s="115"/>
      <c r="M220" s="115"/>
      <c r="N220" s="115"/>
      <c r="O220" s="115"/>
      <c r="P220" s="115"/>
      <c r="Q220" s="115"/>
      <c r="R220" s="115"/>
      <c r="S220" s="115"/>
      <c r="T220" s="115"/>
      <c r="U220" s="115"/>
      <c r="V220" s="115"/>
      <c r="W220" s="115"/>
      <c r="X220" s="115"/>
      <c r="Y220" s="115"/>
      <c r="Z220" s="115"/>
      <c r="AA220" s="115"/>
      <c r="AB220" s="115"/>
      <c r="AC220" s="115"/>
      <c r="AD220" s="115"/>
      <c r="AE220" s="115"/>
      <c r="AF220" s="115"/>
      <c r="AG220" s="115"/>
      <c r="AH220" s="115"/>
      <c r="AI220" s="115"/>
      <c r="AJ220" s="119"/>
      <c r="AK220" s="119"/>
      <c r="AL220" s="119"/>
      <c r="AM220" s="561"/>
      <c r="AN220" s="561"/>
      <c r="AO220" s="176"/>
    </row>
    <row r="221" spans="1:41" ht="15.75" customHeight="1" thickBot="1" x14ac:dyDescent="0.4">
      <c r="A221" s="115"/>
      <c r="B221" s="1387"/>
      <c r="C221" s="1387"/>
      <c r="D221" s="115"/>
      <c r="E221" s="115"/>
      <c r="F221" s="115"/>
      <c r="G221" s="115"/>
      <c r="H221" s="115"/>
      <c r="I221" s="115"/>
      <c r="J221" s="115"/>
      <c r="K221" s="115"/>
      <c r="L221" s="115"/>
      <c r="M221" s="115"/>
      <c r="N221" s="115"/>
      <c r="O221" s="115"/>
      <c r="P221" s="115"/>
      <c r="Q221" s="115"/>
      <c r="R221" s="115"/>
      <c r="S221" s="115"/>
      <c r="T221" s="115"/>
      <c r="U221" s="115"/>
      <c r="V221" s="115"/>
      <c r="W221" s="115"/>
      <c r="X221" s="115"/>
      <c r="Y221" s="115"/>
      <c r="Z221" s="115"/>
      <c r="AA221" s="115"/>
      <c r="AB221" s="115"/>
      <c r="AC221" s="115"/>
      <c r="AD221" s="115"/>
      <c r="AE221" s="115"/>
      <c r="AF221" s="115"/>
      <c r="AG221" s="115"/>
      <c r="AH221" s="115"/>
      <c r="AI221" s="115"/>
      <c r="AJ221" s="119"/>
      <c r="AK221" s="119"/>
      <c r="AL221" s="119"/>
      <c r="AM221" s="561"/>
      <c r="AN221" s="561"/>
      <c r="AO221" s="176"/>
    </row>
    <row r="222" spans="1:41" ht="15.75" customHeight="1" thickBot="1" x14ac:dyDescent="0.4">
      <c r="A222" s="115"/>
      <c r="B222" s="1387"/>
      <c r="C222" s="1387"/>
      <c r="D222" s="115"/>
      <c r="E222" s="115"/>
      <c r="F222" s="115"/>
      <c r="G222" s="115"/>
      <c r="H222" s="115"/>
      <c r="I222" s="115"/>
      <c r="J222" s="115"/>
      <c r="K222" s="115"/>
      <c r="L222" s="115"/>
      <c r="M222" s="115"/>
      <c r="N222" s="115"/>
      <c r="O222" s="115"/>
      <c r="P222" s="115"/>
      <c r="Q222" s="115"/>
      <c r="R222" s="115"/>
      <c r="S222" s="115"/>
      <c r="T222" s="115"/>
      <c r="U222" s="115"/>
      <c r="V222" s="115"/>
      <c r="W222" s="115"/>
      <c r="X222" s="115"/>
      <c r="Y222" s="115"/>
      <c r="Z222" s="115"/>
      <c r="AA222" s="115"/>
      <c r="AB222" s="115"/>
      <c r="AC222" s="115"/>
      <c r="AD222" s="115"/>
      <c r="AE222" s="115"/>
      <c r="AF222" s="115"/>
      <c r="AG222" s="115"/>
      <c r="AH222" s="115"/>
      <c r="AI222" s="115"/>
      <c r="AJ222" s="119"/>
      <c r="AK222" s="119"/>
      <c r="AL222" s="119"/>
      <c r="AM222" s="561"/>
      <c r="AN222" s="561"/>
      <c r="AO222" s="176"/>
    </row>
    <row r="223" spans="1:41" ht="15.75" customHeight="1" thickBot="1" x14ac:dyDescent="0.4">
      <c r="A223" s="115"/>
      <c r="B223" s="1387"/>
      <c r="C223" s="1387"/>
      <c r="D223" s="115"/>
      <c r="E223" s="115"/>
      <c r="F223" s="115"/>
      <c r="G223" s="115"/>
      <c r="H223" s="115"/>
      <c r="I223" s="115"/>
      <c r="J223" s="115"/>
      <c r="K223" s="115"/>
      <c r="L223" s="115"/>
      <c r="M223" s="115"/>
      <c r="N223" s="115"/>
      <c r="O223" s="115"/>
      <c r="P223" s="115"/>
      <c r="Q223" s="115"/>
      <c r="R223" s="115"/>
      <c r="S223" s="115"/>
      <c r="T223" s="115"/>
      <c r="U223" s="115"/>
      <c r="V223" s="115"/>
      <c r="W223" s="115"/>
      <c r="X223" s="115"/>
      <c r="Y223" s="115"/>
      <c r="Z223" s="115"/>
      <c r="AA223" s="115"/>
      <c r="AB223" s="115"/>
      <c r="AC223" s="115"/>
      <c r="AD223" s="115"/>
      <c r="AE223" s="115"/>
      <c r="AF223" s="115"/>
      <c r="AG223" s="115"/>
      <c r="AH223" s="115"/>
      <c r="AI223" s="115"/>
      <c r="AJ223" s="119"/>
      <c r="AK223" s="119"/>
      <c r="AL223" s="119"/>
      <c r="AM223" s="561"/>
      <c r="AN223" s="561"/>
      <c r="AO223" s="176"/>
    </row>
    <row r="224" spans="1:41" ht="15.75" customHeight="1" thickBot="1" x14ac:dyDescent="0.4">
      <c r="A224" s="115"/>
      <c r="B224" s="1387"/>
      <c r="C224" s="1387"/>
      <c r="D224" s="115"/>
      <c r="E224" s="115"/>
      <c r="F224" s="115"/>
      <c r="G224" s="115"/>
      <c r="H224" s="115"/>
      <c r="I224" s="115"/>
      <c r="J224" s="115"/>
      <c r="K224" s="115"/>
      <c r="L224" s="115"/>
      <c r="M224" s="115"/>
      <c r="N224" s="115"/>
      <c r="O224" s="115"/>
      <c r="P224" s="115"/>
      <c r="Q224" s="115"/>
      <c r="R224" s="115"/>
      <c r="S224" s="115"/>
      <c r="T224" s="115"/>
      <c r="U224" s="115"/>
      <c r="V224" s="115"/>
      <c r="W224" s="115"/>
      <c r="X224" s="115"/>
      <c r="Y224" s="115"/>
      <c r="Z224" s="115"/>
      <c r="AA224" s="115"/>
      <c r="AB224" s="115"/>
      <c r="AC224" s="115"/>
      <c r="AD224" s="115"/>
      <c r="AE224" s="115"/>
      <c r="AF224" s="115"/>
      <c r="AG224" s="115"/>
      <c r="AH224" s="115"/>
      <c r="AI224" s="115"/>
      <c r="AJ224" s="119"/>
      <c r="AK224" s="119"/>
      <c r="AL224" s="119"/>
      <c r="AM224" s="561"/>
      <c r="AN224" s="561"/>
      <c r="AO224" s="176"/>
    </row>
    <row r="225" spans="1:41" ht="15.75" customHeight="1" thickBot="1" x14ac:dyDescent="0.4">
      <c r="A225" s="115"/>
      <c r="B225" s="1387"/>
      <c r="C225" s="1387"/>
      <c r="D225" s="115"/>
      <c r="E225" s="115"/>
      <c r="F225" s="115"/>
      <c r="G225" s="115"/>
      <c r="H225" s="115"/>
      <c r="I225" s="115"/>
      <c r="J225" s="115"/>
      <c r="K225" s="115"/>
      <c r="L225" s="115"/>
      <c r="M225" s="115"/>
      <c r="N225" s="115"/>
      <c r="O225" s="115"/>
      <c r="P225" s="115"/>
      <c r="Q225" s="115"/>
      <c r="R225" s="115"/>
      <c r="S225" s="115"/>
      <c r="T225" s="115"/>
      <c r="U225" s="115"/>
      <c r="V225" s="115"/>
      <c r="W225" s="115"/>
      <c r="X225" s="115"/>
      <c r="Y225" s="115"/>
      <c r="Z225" s="115"/>
      <c r="AA225" s="115"/>
      <c r="AB225" s="115"/>
      <c r="AC225" s="115"/>
      <c r="AD225" s="115"/>
      <c r="AE225" s="115"/>
      <c r="AF225" s="115"/>
      <c r="AG225" s="115"/>
      <c r="AH225" s="115"/>
      <c r="AI225" s="115"/>
      <c r="AJ225" s="119"/>
      <c r="AK225" s="119"/>
      <c r="AL225" s="119"/>
      <c r="AM225" s="561"/>
      <c r="AN225" s="561"/>
      <c r="AO225" s="176"/>
    </row>
    <row r="226" spans="1:41" ht="15.75" customHeight="1" thickBot="1" x14ac:dyDescent="0.4">
      <c r="A226" s="115"/>
      <c r="B226" s="1387"/>
      <c r="C226" s="1387"/>
      <c r="D226" s="115"/>
      <c r="E226" s="115"/>
      <c r="F226" s="115"/>
      <c r="G226" s="115"/>
      <c r="H226" s="115"/>
      <c r="I226" s="115"/>
      <c r="J226" s="115"/>
      <c r="K226" s="115"/>
      <c r="L226" s="115"/>
      <c r="M226" s="115"/>
      <c r="N226" s="115"/>
      <c r="O226" s="115"/>
      <c r="P226" s="115"/>
      <c r="Q226" s="115"/>
      <c r="R226" s="115"/>
      <c r="S226" s="115"/>
      <c r="T226" s="115"/>
      <c r="U226" s="115"/>
      <c r="V226" s="115"/>
      <c r="W226" s="115"/>
      <c r="X226" s="115"/>
      <c r="Y226" s="115"/>
      <c r="Z226" s="115"/>
      <c r="AA226" s="115"/>
      <c r="AB226" s="115"/>
      <c r="AC226" s="115"/>
      <c r="AD226" s="115"/>
      <c r="AE226" s="115"/>
      <c r="AF226" s="115"/>
      <c r="AG226" s="115"/>
      <c r="AH226" s="115"/>
      <c r="AI226" s="115"/>
      <c r="AJ226" s="119"/>
      <c r="AK226" s="119"/>
      <c r="AL226" s="119"/>
      <c r="AM226" s="561"/>
      <c r="AN226" s="561"/>
      <c r="AO226" s="176"/>
    </row>
    <row r="227" spans="1:41" ht="15.75" customHeight="1" thickBot="1" x14ac:dyDescent="0.4">
      <c r="A227" s="115"/>
      <c r="B227" s="1387"/>
      <c r="C227" s="1387"/>
      <c r="D227" s="115"/>
      <c r="E227" s="115"/>
      <c r="F227" s="115"/>
      <c r="G227" s="115"/>
      <c r="H227" s="115"/>
      <c r="I227" s="115"/>
      <c r="J227" s="115"/>
      <c r="K227" s="115"/>
      <c r="L227" s="115"/>
      <c r="M227" s="115"/>
      <c r="N227" s="115"/>
      <c r="O227" s="115"/>
      <c r="P227" s="115"/>
      <c r="Q227" s="115"/>
      <c r="R227" s="115"/>
      <c r="S227" s="115"/>
      <c r="T227" s="115"/>
      <c r="U227" s="115"/>
      <c r="V227" s="115"/>
      <c r="W227" s="115"/>
      <c r="X227" s="115"/>
      <c r="Y227" s="115"/>
      <c r="Z227" s="115"/>
      <c r="AA227" s="115"/>
      <c r="AB227" s="115"/>
      <c r="AC227" s="115"/>
      <c r="AD227" s="115"/>
      <c r="AE227" s="115"/>
      <c r="AF227" s="115"/>
      <c r="AG227" s="115"/>
      <c r="AH227" s="115"/>
      <c r="AI227" s="115"/>
      <c r="AJ227" s="119"/>
      <c r="AK227" s="119"/>
      <c r="AL227" s="119"/>
      <c r="AM227" s="561"/>
      <c r="AN227" s="561"/>
      <c r="AO227" s="176"/>
    </row>
    <row r="228" spans="1:41" ht="15.75" customHeight="1" thickBot="1" x14ac:dyDescent="0.4">
      <c r="A228" s="115"/>
      <c r="B228" s="1387"/>
      <c r="C228" s="1387"/>
      <c r="D228" s="115"/>
      <c r="E228" s="115"/>
      <c r="F228" s="115"/>
      <c r="G228" s="115"/>
      <c r="H228" s="115"/>
      <c r="I228" s="115"/>
      <c r="J228" s="115"/>
      <c r="K228" s="115"/>
      <c r="L228" s="115"/>
      <c r="M228" s="115"/>
      <c r="N228" s="115"/>
      <c r="O228" s="115"/>
      <c r="P228" s="115"/>
      <c r="Q228" s="115"/>
      <c r="R228" s="115"/>
      <c r="S228" s="115"/>
      <c r="T228" s="115"/>
      <c r="U228" s="115"/>
      <c r="V228" s="115"/>
      <c r="W228" s="115"/>
      <c r="X228" s="115"/>
      <c r="Y228" s="115"/>
      <c r="Z228" s="115"/>
      <c r="AA228" s="115"/>
      <c r="AB228" s="115"/>
      <c r="AC228" s="115"/>
      <c r="AD228" s="115"/>
      <c r="AE228" s="115"/>
      <c r="AF228" s="115"/>
      <c r="AG228" s="115"/>
      <c r="AH228" s="115"/>
      <c r="AI228" s="115"/>
      <c r="AJ228" s="119"/>
      <c r="AK228" s="119"/>
      <c r="AL228" s="119"/>
      <c r="AM228" s="561"/>
      <c r="AN228" s="561"/>
      <c r="AO228" s="176"/>
    </row>
    <row r="229" spans="1:41" ht="15.75" customHeight="1" thickBot="1" x14ac:dyDescent="0.4">
      <c r="A229" s="115"/>
      <c r="B229" s="1387"/>
      <c r="C229" s="1387"/>
      <c r="D229" s="115"/>
      <c r="E229" s="115"/>
      <c r="F229" s="115"/>
      <c r="G229" s="115"/>
      <c r="H229" s="115"/>
      <c r="I229" s="115"/>
      <c r="J229" s="115"/>
      <c r="K229" s="115"/>
      <c r="L229" s="115"/>
      <c r="M229" s="115"/>
      <c r="N229" s="115"/>
      <c r="O229" s="115"/>
      <c r="P229" s="115"/>
      <c r="Q229" s="115"/>
      <c r="R229" s="115"/>
      <c r="S229" s="115"/>
      <c r="T229" s="115"/>
      <c r="U229" s="115"/>
      <c r="V229" s="115"/>
      <c r="W229" s="115"/>
      <c r="X229" s="115"/>
      <c r="Y229" s="115"/>
      <c r="Z229" s="115"/>
      <c r="AA229" s="115"/>
      <c r="AB229" s="115"/>
      <c r="AC229" s="115"/>
      <c r="AD229" s="115"/>
      <c r="AE229" s="115"/>
      <c r="AF229" s="115"/>
      <c r="AG229" s="115"/>
      <c r="AH229" s="115"/>
      <c r="AI229" s="115"/>
      <c r="AJ229" s="119"/>
      <c r="AK229" s="119"/>
      <c r="AL229" s="119"/>
      <c r="AM229" s="561"/>
      <c r="AN229" s="561"/>
      <c r="AO229" s="176"/>
    </row>
    <row r="230" spans="1:41" ht="15.75" customHeight="1" thickBot="1" x14ac:dyDescent="0.4">
      <c r="A230" s="115"/>
      <c r="B230" s="1387"/>
      <c r="C230" s="1387"/>
      <c r="D230" s="115"/>
      <c r="E230" s="115"/>
      <c r="F230" s="115"/>
      <c r="G230" s="115"/>
      <c r="H230" s="115"/>
      <c r="I230" s="115"/>
      <c r="J230" s="115"/>
      <c r="K230" s="115"/>
      <c r="L230" s="115"/>
      <c r="M230" s="115"/>
      <c r="N230" s="115"/>
      <c r="O230" s="115"/>
      <c r="P230" s="115"/>
      <c r="Q230" s="115"/>
      <c r="R230" s="115"/>
      <c r="S230" s="115"/>
      <c r="T230" s="115"/>
      <c r="U230" s="115"/>
      <c r="V230" s="115"/>
      <c r="W230" s="115"/>
      <c r="X230" s="115"/>
      <c r="Y230" s="115"/>
      <c r="Z230" s="115"/>
      <c r="AA230" s="115"/>
      <c r="AB230" s="115"/>
      <c r="AC230" s="115"/>
      <c r="AD230" s="115"/>
      <c r="AE230" s="115"/>
      <c r="AF230" s="115"/>
      <c r="AG230" s="115"/>
      <c r="AH230" s="115"/>
      <c r="AI230" s="115"/>
      <c r="AJ230" s="119"/>
      <c r="AK230" s="119"/>
      <c r="AL230" s="119"/>
      <c r="AM230" s="561"/>
      <c r="AN230" s="561"/>
      <c r="AO230" s="176"/>
    </row>
    <row r="231" spans="1:41" ht="15.75" customHeight="1" thickBot="1" x14ac:dyDescent="0.4">
      <c r="A231" s="115"/>
      <c r="B231" s="1387"/>
      <c r="C231" s="1387"/>
      <c r="D231" s="115"/>
      <c r="E231" s="115"/>
      <c r="F231" s="115"/>
      <c r="G231" s="115"/>
      <c r="H231" s="115"/>
      <c r="I231" s="115"/>
      <c r="J231" s="115"/>
      <c r="K231" s="115"/>
      <c r="L231" s="115"/>
      <c r="M231" s="115"/>
      <c r="N231" s="115"/>
      <c r="O231" s="115"/>
      <c r="P231" s="115"/>
      <c r="Q231" s="115"/>
      <c r="R231" s="115"/>
      <c r="S231" s="115"/>
      <c r="T231" s="115"/>
      <c r="U231" s="115"/>
      <c r="V231" s="115"/>
      <c r="W231" s="115"/>
      <c r="X231" s="115"/>
      <c r="Y231" s="115"/>
      <c r="Z231" s="115"/>
      <c r="AA231" s="115"/>
      <c r="AB231" s="115"/>
      <c r="AC231" s="115"/>
      <c r="AD231" s="115"/>
      <c r="AE231" s="115"/>
      <c r="AF231" s="115"/>
      <c r="AG231" s="115"/>
      <c r="AH231" s="115"/>
      <c r="AI231" s="115"/>
      <c r="AJ231" s="119"/>
      <c r="AK231" s="119"/>
      <c r="AL231" s="119"/>
      <c r="AM231" s="561"/>
      <c r="AN231" s="561"/>
      <c r="AO231" s="176"/>
    </row>
    <row r="232" spans="1:41" ht="15.75" customHeight="1" thickBot="1" x14ac:dyDescent="0.4">
      <c r="A232" s="115"/>
      <c r="B232" s="1387"/>
      <c r="C232" s="1387"/>
      <c r="D232" s="115"/>
      <c r="E232" s="115"/>
      <c r="F232" s="115"/>
      <c r="G232" s="115"/>
      <c r="H232" s="115"/>
      <c r="I232" s="115"/>
      <c r="J232" s="115"/>
      <c r="K232" s="115"/>
      <c r="L232" s="115"/>
      <c r="M232" s="115"/>
      <c r="N232" s="115"/>
      <c r="O232" s="115"/>
      <c r="P232" s="115"/>
      <c r="Q232" s="115"/>
      <c r="R232" s="115"/>
      <c r="S232" s="115"/>
      <c r="T232" s="115"/>
      <c r="U232" s="115"/>
      <c r="V232" s="115"/>
      <c r="W232" s="115"/>
      <c r="X232" s="115"/>
      <c r="Y232" s="115"/>
      <c r="Z232" s="115"/>
      <c r="AA232" s="115"/>
      <c r="AB232" s="115"/>
      <c r="AC232" s="115"/>
      <c r="AD232" s="115"/>
      <c r="AE232" s="115"/>
      <c r="AF232" s="115"/>
      <c r="AG232" s="115"/>
      <c r="AH232" s="115"/>
      <c r="AI232" s="115"/>
      <c r="AJ232" s="119"/>
      <c r="AK232" s="119"/>
      <c r="AL232" s="119"/>
      <c r="AM232" s="561"/>
      <c r="AN232" s="561"/>
      <c r="AO232" s="176"/>
    </row>
    <row r="233" spans="1:41" ht="15.75" customHeight="1" thickBot="1" x14ac:dyDescent="0.4">
      <c r="A233" s="115"/>
      <c r="B233" s="1387"/>
      <c r="C233" s="1387"/>
      <c r="D233" s="115"/>
      <c r="E233" s="115"/>
      <c r="F233" s="115"/>
      <c r="G233" s="115"/>
      <c r="H233" s="115"/>
      <c r="I233" s="115"/>
      <c r="J233" s="115"/>
      <c r="K233" s="115"/>
      <c r="L233" s="115"/>
      <c r="M233" s="115"/>
      <c r="N233" s="115"/>
      <c r="O233" s="115"/>
      <c r="P233" s="115"/>
      <c r="Q233" s="115"/>
      <c r="R233" s="115"/>
      <c r="S233" s="115"/>
      <c r="T233" s="115"/>
      <c r="U233" s="115"/>
      <c r="V233" s="115"/>
      <c r="W233" s="115"/>
      <c r="X233" s="115"/>
      <c r="Y233" s="115"/>
      <c r="Z233" s="115"/>
      <c r="AA233" s="115"/>
      <c r="AB233" s="115"/>
      <c r="AC233" s="115"/>
      <c r="AD233" s="115"/>
      <c r="AE233" s="115"/>
      <c r="AF233" s="115"/>
      <c r="AG233" s="115"/>
      <c r="AH233" s="115"/>
      <c r="AI233" s="115"/>
      <c r="AJ233" s="119"/>
      <c r="AK233" s="119"/>
      <c r="AL233" s="119"/>
      <c r="AM233" s="561"/>
      <c r="AN233" s="561"/>
      <c r="AO233" s="176"/>
    </row>
    <row r="234" spans="1:41" ht="15.75" customHeight="1" thickBot="1" x14ac:dyDescent="0.4">
      <c r="A234" s="115"/>
      <c r="B234" s="1387"/>
      <c r="C234" s="1387"/>
      <c r="D234" s="115"/>
      <c r="E234" s="115"/>
      <c r="F234" s="115"/>
      <c r="G234" s="115"/>
      <c r="H234" s="115"/>
      <c r="I234" s="115"/>
      <c r="J234" s="115"/>
      <c r="K234" s="115"/>
      <c r="L234" s="115"/>
      <c r="M234" s="115"/>
      <c r="N234" s="115"/>
      <c r="O234" s="115"/>
      <c r="P234" s="115"/>
      <c r="Q234" s="115"/>
      <c r="R234" s="115"/>
      <c r="S234" s="115"/>
      <c r="T234" s="115"/>
      <c r="U234" s="115"/>
      <c r="V234" s="115"/>
      <c r="W234" s="115"/>
      <c r="X234" s="115"/>
      <c r="Y234" s="115"/>
      <c r="Z234" s="115"/>
      <c r="AA234" s="115"/>
      <c r="AB234" s="115"/>
      <c r="AC234" s="115"/>
      <c r="AD234" s="115"/>
      <c r="AE234" s="115"/>
      <c r="AF234" s="115"/>
      <c r="AG234" s="115"/>
      <c r="AH234" s="115"/>
      <c r="AI234" s="115"/>
      <c r="AJ234" s="119"/>
      <c r="AK234" s="119"/>
      <c r="AL234" s="119"/>
      <c r="AM234" s="561"/>
      <c r="AN234" s="561"/>
      <c r="AO234" s="176"/>
    </row>
    <row r="235" spans="1:41" ht="15.75" customHeight="1" thickBot="1" x14ac:dyDescent="0.4">
      <c r="A235" s="115"/>
      <c r="B235" s="1387"/>
      <c r="C235" s="1387"/>
      <c r="D235" s="115"/>
      <c r="E235" s="115"/>
      <c r="F235" s="115"/>
      <c r="G235" s="115"/>
      <c r="H235" s="115"/>
      <c r="I235" s="115"/>
      <c r="J235" s="115"/>
      <c r="K235" s="115"/>
      <c r="L235" s="115"/>
      <c r="M235" s="115"/>
      <c r="N235" s="115"/>
      <c r="O235" s="115"/>
      <c r="P235" s="115"/>
      <c r="Q235" s="115"/>
      <c r="R235" s="115"/>
      <c r="S235" s="115"/>
      <c r="T235" s="115"/>
      <c r="U235" s="115"/>
      <c r="V235" s="115"/>
      <c r="W235" s="115"/>
      <c r="X235" s="115"/>
      <c r="Y235" s="115"/>
      <c r="Z235" s="115"/>
      <c r="AA235" s="115"/>
      <c r="AB235" s="115"/>
      <c r="AC235" s="115"/>
      <c r="AD235" s="115"/>
      <c r="AE235" s="115"/>
      <c r="AF235" s="115"/>
      <c r="AG235" s="115"/>
      <c r="AH235" s="115"/>
      <c r="AI235" s="115"/>
      <c r="AJ235" s="119"/>
      <c r="AK235" s="119"/>
      <c r="AL235" s="119"/>
      <c r="AM235" s="561"/>
      <c r="AN235" s="561"/>
      <c r="AO235" s="176"/>
    </row>
    <row r="236" spans="1:41" ht="15.75" customHeight="1" thickBot="1" x14ac:dyDescent="0.4">
      <c r="A236" s="115"/>
      <c r="B236" s="1387"/>
      <c r="C236" s="1387"/>
      <c r="D236" s="115"/>
      <c r="E236" s="115"/>
      <c r="F236" s="115"/>
      <c r="G236" s="115"/>
      <c r="H236" s="115"/>
      <c r="I236" s="115"/>
      <c r="J236" s="115"/>
      <c r="K236" s="115"/>
      <c r="L236" s="115"/>
      <c r="M236" s="115"/>
      <c r="N236" s="115"/>
      <c r="O236" s="115"/>
      <c r="P236" s="115"/>
      <c r="Q236" s="115"/>
      <c r="R236" s="115"/>
      <c r="S236" s="115"/>
      <c r="T236" s="115"/>
      <c r="U236" s="115"/>
      <c r="V236" s="115"/>
      <c r="W236" s="115"/>
      <c r="X236" s="115"/>
      <c r="Y236" s="115"/>
      <c r="Z236" s="115"/>
      <c r="AA236" s="115"/>
      <c r="AB236" s="115"/>
      <c r="AC236" s="115"/>
      <c r="AD236" s="115"/>
      <c r="AE236" s="115"/>
      <c r="AF236" s="115"/>
      <c r="AG236" s="115"/>
      <c r="AH236" s="115"/>
      <c r="AI236" s="115"/>
      <c r="AJ236" s="119"/>
      <c r="AK236" s="119"/>
      <c r="AL236" s="119"/>
      <c r="AM236" s="561"/>
      <c r="AN236" s="561"/>
      <c r="AO236" s="176"/>
    </row>
    <row r="237" spans="1:41" ht="15.75" customHeight="1" thickBot="1" x14ac:dyDescent="0.4">
      <c r="A237" s="115"/>
      <c r="B237" s="1387"/>
      <c r="C237" s="1387"/>
      <c r="D237" s="115"/>
      <c r="E237" s="115"/>
      <c r="F237" s="115"/>
      <c r="G237" s="115"/>
      <c r="H237" s="115"/>
      <c r="I237" s="115"/>
      <c r="J237" s="115"/>
      <c r="K237" s="115"/>
      <c r="L237" s="115"/>
      <c r="M237" s="115"/>
      <c r="N237" s="115"/>
      <c r="O237" s="115"/>
      <c r="P237" s="115"/>
      <c r="Q237" s="115"/>
      <c r="R237" s="115"/>
      <c r="S237" s="115"/>
      <c r="T237" s="115"/>
      <c r="U237" s="115"/>
      <c r="V237" s="115"/>
      <c r="W237" s="115"/>
      <c r="X237" s="115"/>
      <c r="Y237" s="115"/>
      <c r="Z237" s="115"/>
      <c r="AA237" s="115"/>
      <c r="AB237" s="115"/>
      <c r="AC237" s="115"/>
      <c r="AD237" s="115"/>
      <c r="AE237" s="115"/>
      <c r="AF237" s="115"/>
      <c r="AG237" s="115"/>
      <c r="AH237" s="115"/>
      <c r="AI237" s="115"/>
      <c r="AJ237" s="119"/>
      <c r="AK237" s="119"/>
      <c r="AL237" s="119"/>
      <c r="AM237" s="561"/>
      <c r="AN237" s="561"/>
      <c r="AO237" s="176"/>
    </row>
    <row r="238" spans="1:41" ht="15.75" customHeight="1" thickBot="1" x14ac:dyDescent="0.4">
      <c r="A238" s="115"/>
      <c r="B238" s="1387"/>
      <c r="C238" s="1387"/>
      <c r="D238" s="115"/>
      <c r="E238" s="115"/>
      <c r="F238" s="115"/>
      <c r="G238" s="115"/>
      <c r="H238" s="115"/>
      <c r="I238" s="115"/>
      <c r="J238" s="115"/>
      <c r="K238" s="115"/>
      <c r="L238" s="115"/>
      <c r="M238" s="115"/>
      <c r="N238" s="115"/>
      <c r="O238" s="115"/>
      <c r="P238" s="115"/>
      <c r="Q238" s="115"/>
      <c r="R238" s="115"/>
      <c r="S238" s="115"/>
      <c r="T238" s="115"/>
      <c r="U238" s="115"/>
      <c r="V238" s="115"/>
      <c r="W238" s="115"/>
      <c r="X238" s="115"/>
      <c r="Y238" s="115"/>
      <c r="Z238" s="115"/>
      <c r="AA238" s="115"/>
      <c r="AB238" s="115"/>
      <c r="AC238" s="115"/>
      <c r="AD238" s="115"/>
      <c r="AE238" s="115"/>
      <c r="AF238" s="115"/>
      <c r="AG238" s="115"/>
      <c r="AH238" s="115"/>
      <c r="AI238" s="115"/>
      <c r="AJ238" s="119"/>
      <c r="AK238" s="119"/>
      <c r="AL238" s="119"/>
      <c r="AM238" s="561"/>
      <c r="AN238" s="561"/>
      <c r="AO238" s="176"/>
    </row>
    <row r="239" spans="1:41" ht="15.75" customHeight="1" thickBot="1" x14ac:dyDescent="0.4">
      <c r="A239" s="115"/>
      <c r="B239" s="1387"/>
      <c r="C239" s="1387"/>
      <c r="D239" s="115"/>
      <c r="E239" s="115"/>
      <c r="F239" s="115"/>
      <c r="G239" s="115"/>
      <c r="H239" s="115"/>
      <c r="I239" s="115"/>
      <c r="J239" s="115"/>
      <c r="K239" s="115"/>
      <c r="L239" s="115"/>
      <c r="M239" s="115"/>
      <c r="N239" s="115"/>
      <c r="O239" s="115"/>
      <c r="P239" s="115"/>
      <c r="Q239" s="115"/>
      <c r="R239" s="115"/>
      <c r="S239" s="115"/>
      <c r="T239" s="115"/>
      <c r="U239" s="115"/>
      <c r="V239" s="115"/>
      <c r="W239" s="115"/>
      <c r="X239" s="115"/>
      <c r="Y239" s="115"/>
      <c r="Z239" s="115"/>
      <c r="AA239" s="115"/>
      <c r="AB239" s="115"/>
      <c r="AC239" s="115"/>
      <c r="AD239" s="115"/>
      <c r="AE239" s="115"/>
      <c r="AF239" s="115"/>
      <c r="AG239" s="115"/>
      <c r="AH239" s="115"/>
      <c r="AI239" s="115"/>
      <c r="AJ239" s="119"/>
      <c r="AK239" s="119"/>
      <c r="AL239" s="119"/>
      <c r="AM239" s="561"/>
      <c r="AN239" s="561"/>
      <c r="AO239" s="176"/>
    </row>
    <row r="240" spans="1:41" ht="15.75" customHeight="1" thickBot="1" x14ac:dyDescent="0.4">
      <c r="A240" s="115"/>
      <c r="B240" s="1387"/>
      <c r="C240" s="1387"/>
      <c r="D240" s="115"/>
      <c r="E240" s="115"/>
      <c r="F240" s="115"/>
      <c r="G240" s="115"/>
      <c r="H240" s="115"/>
      <c r="I240" s="115"/>
      <c r="J240" s="115"/>
      <c r="K240" s="115"/>
      <c r="L240" s="115"/>
      <c r="M240" s="115"/>
      <c r="N240" s="115"/>
      <c r="O240" s="115"/>
      <c r="P240" s="115"/>
      <c r="Q240" s="115"/>
      <c r="R240" s="115"/>
      <c r="S240" s="115"/>
      <c r="T240" s="115"/>
      <c r="U240" s="115"/>
      <c r="V240" s="115"/>
      <c r="W240" s="115"/>
      <c r="X240" s="115"/>
      <c r="Y240" s="115"/>
      <c r="Z240" s="115"/>
      <c r="AA240" s="115"/>
      <c r="AB240" s="115"/>
      <c r="AC240" s="115"/>
      <c r="AD240" s="115"/>
      <c r="AE240" s="115"/>
      <c r="AF240" s="115"/>
      <c r="AG240" s="115"/>
      <c r="AH240" s="115"/>
      <c r="AI240" s="115"/>
      <c r="AJ240" s="119"/>
      <c r="AK240" s="119"/>
      <c r="AL240" s="119"/>
      <c r="AM240" s="561"/>
      <c r="AN240" s="561"/>
      <c r="AO240" s="176"/>
    </row>
    <row r="241" spans="1:41" ht="15.75" customHeight="1" thickBot="1" x14ac:dyDescent="0.4">
      <c r="A241" s="115"/>
      <c r="B241" s="1387"/>
      <c r="C241" s="1387"/>
      <c r="D241" s="115"/>
      <c r="E241" s="115"/>
      <c r="F241" s="115"/>
      <c r="G241" s="115"/>
      <c r="H241" s="115"/>
      <c r="I241" s="115"/>
      <c r="J241" s="115"/>
      <c r="K241" s="115"/>
      <c r="L241" s="115"/>
      <c r="M241" s="115"/>
      <c r="N241" s="115"/>
      <c r="O241" s="115"/>
      <c r="P241" s="115"/>
      <c r="Q241" s="115"/>
      <c r="R241" s="115"/>
      <c r="S241" s="115"/>
      <c r="T241" s="115"/>
      <c r="U241" s="115"/>
      <c r="V241" s="115"/>
      <c r="W241" s="115"/>
      <c r="X241" s="115"/>
      <c r="Y241" s="115"/>
      <c r="Z241" s="115"/>
      <c r="AA241" s="115"/>
      <c r="AB241" s="115"/>
      <c r="AC241" s="115"/>
      <c r="AD241" s="115"/>
      <c r="AE241" s="115"/>
      <c r="AF241" s="115"/>
      <c r="AG241" s="115"/>
      <c r="AH241" s="115"/>
      <c r="AI241" s="115"/>
      <c r="AJ241" s="119"/>
      <c r="AK241" s="119"/>
      <c r="AL241" s="119"/>
      <c r="AM241" s="561"/>
      <c r="AN241" s="561"/>
      <c r="AO241" s="176"/>
    </row>
    <row r="242" spans="1:41" ht="15.75" customHeight="1" thickBot="1" x14ac:dyDescent="0.4">
      <c r="A242" s="115"/>
      <c r="B242" s="1387"/>
      <c r="C242" s="1387"/>
      <c r="D242" s="115"/>
      <c r="E242" s="115"/>
      <c r="F242" s="115"/>
      <c r="G242" s="115"/>
      <c r="H242" s="115"/>
      <c r="I242" s="115"/>
      <c r="J242" s="115"/>
      <c r="K242" s="115"/>
      <c r="L242" s="115"/>
      <c r="M242" s="115"/>
      <c r="N242" s="115"/>
      <c r="O242" s="115"/>
      <c r="P242" s="115"/>
      <c r="Q242" s="115"/>
      <c r="R242" s="115"/>
      <c r="S242" s="115"/>
      <c r="T242" s="115"/>
      <c r="U242" s="115"/>
      <c r="V242" s="115"/>
      <c r="W242" s="115"/>
      <c r="X242" s="115"/>
      <c r="Y242" s="115"/>
      <c r="Z242" s="115"/>
      <c r="AA242" s="115"/>
      <c r="AB242" s="115"/>
      <c r="AC242" s="115"/>
      <c r="AD242" s="115"/>
      <c r="AE242" s="115"/>
      <c r="AF242" s="115"/>
      <c r="AG242" s="115"/>
      <c r="AH242" s="115"/>
      <c r="AI242" s="115"/>
      <c r="AJ242" s="119"/>
      <c r="AK242" s="119"/>
      <c r="AL242" s="119"/>
      <c r="AM242" s="561"/>
      <c r="AN242" s="561"/>
      <c r="AO242" s="176"/>
    </row>
    <row r="243" spans="1:41" ht="15.75" customHeight="1" thickBot="1" x14ac:dyDescent="0.4">
      <c r="A243" s="115"/>
      <c r="B243" s="1387"/>
      <c r="C243" s="1387"/>
      <c r="D243" s="115"/>
      <c r="E243" s="115"/>
      <c r="F243" s="115"/>
      <c r="G243" s="115"/>
      <c r="H243" s="115"/>
      <c r="I243" s="115"/>
      <c r="J243" s="115"/>
      <c r="K243" s="115"/>
      <c r="L243" s="115"/>
      <c r="M243" s="115"/>
      <c r="N243" s="115"/>
      <c r="O243" s="115"/>
      <c r="P243" s="115"/>
      <c r="Q243" s="115"/>
      <c r="R243" s="115"/>
      <c r="S243" s="115"/>
      <c r="T243" s="115"/>
      <c r="U243" s="115"/>
      <c r="V243" s="115"/>
      <c r="W243" s="115"/>
      <c r="X243" s="115"/>
      <c r="Y243" s="115"/>
      <c r="Z243" s="115"/>
      <c r="AA243" s="115"/>
      <c r="AB243" s="115"/>
      <c r="AC243" s="115"/>
      <c r="AD243" s="115"/>
      <c r="AE243" s="115"/>
      <c r="AF243" s="115"/>
      <c r="AG243" s="115"/>
      <c r="AH243" s="115"/>
      <c r="AI243" s="115"/>
      <c r="AJ243" s="119"/>
      <c r="AK243" s="119"/>
      <c r="AL243" s="119"/>
      <c r="AM243" s="561"/>
      <c r="AN243" s="561"/>
      <c r="AO243" s="176"/>
    </row>
    <row r="244" spans="1:41" ht="15.75" customHeight="1" thickBot="1" x14ac:dyDescent="0.4">
      <c r="A244" s="115"/>
      <c r="B244" s="1387"/>
      <c r="C244" s="1387"/>
      <c r="D244" s="115"/>
      <c r="E244" s="115"/>
      <c r="F244" s="115"/>
      <c r="G244" s="115"/>
      <c r="H244" s="115"/>
      <c r="I244" s="115"/>
      <c r="J244" s="115"/>
      <c r="K244" s="115"/>
      <c r="L244" s="115"/>
      <c r="M244" s="115"/>
      <c r="N244" s="115"/>
      <c r="O244" s="115"/>
      <c r="P244" s="115"/>
      <c r="Q244" s="115"/>
      <c r="R244" s="115"/>
      <c r="S244" s="115"/>
      <c r="T244" s="115"/>
      <c r="U244" s="115"/>
      <c r="V244" s="115"/>
      <c r="W244" s="115"/>
      <c r="X244" s="115"/>
      <c r="Y244" s="115"/>
      <c r="Z244" s="115"/>
      <c r="AA244" s="115"/>
      <c r="AB244" s="115"/>
      <c r="AC244" s="115"/>
      <c r="AD244" s="115"/>
      <c r="AE244" s="115"/>
      <c r="AF244" s="115"/>
      <c r="AG244" s="115"/>
      <c r="AH244" s="115"/>
      <c r="AI244" s="115"/>
      <c r="AJ244" s="119"/>
      <c r="AK244" s="119"/>
      <c r="AL244" s="119"/>
      <c r="AM244" s="561"/>
      <c r="AN244" s="561"/>
      <c r="AO244" s="176"/>
    </row>
    <row r="245" spans="1:41" ht="15.75" customHeight="1" thickBot="1" x14ac:dyDescent="0.4">
      <c r="A245" s="115"/>
      <c r="B245" s="1387"/>
      <c r="C245" s="1387"/>
      <c r="D245" s="115"/>
      <c r="E245" s="115"/>
      <c r="F245" s="115"/>
      <c r="G245" s="115"/>
      <c r="H245" s="115"/>
      <c r="I245" s="115"/>
      <c r="J245" s="115"/>
      <c r="K245" s="115"/>
      <c r="L245" s="115"/>
      <c r="M245" s="115"/>
      <c r="N245" s="115"/>
      <c r="O245" s="115"/>
      <c r="P245" s="115"/>
      <c r="Q245" s="115"/>
      <c r="R245" s="115"/>
      <c r="S245" s="115"/>
      <c r="T245" s="115"/>
      <c r="U245" s="115"/>
      <c r="V245" s="115"/>
      <c r="W245" s="115"/>
      <c r="X245" s="115"/>
      <c r="Y245" s="115"/>
      <c r="Z245" s="115"/>
      <c r="AA245" s="115"/>
      <c r="AB245" s="115"/>
      <c r="AC245" s="115"/>
      <c r="AD245" s="115"/>
      <c r="AE245" s="115"/>
      <c r="AF245" s="115"/>
      <c r="AG245" s="115"/>
      <c r="AH245" s="115"/>
      <c r="AI245" s="115"/>
      <c r="AJ245" s="119"/>
      <c r="AK245" s="119"/>
      <c r="AL245" s="119"/>
      <c r="AM245" s="561"/>
      <c r="AN245" s="561"/>
      <c r="AO245" s="176"/>
    </row>
    <row r="246" spans="1:41" ht="15.75" customHeight="1" thickBot="1" x14ac:dyDescent="0.4">
      <c r="A246" s="115"/>
      <c r="B246" s="1387"/>
      <c r="C246" s="1387"/>
      <c r="D246" s="115"/>
      <c r="E246" s="115"/>
      <c r="F246" s="115"/>
      <c r="G246" s="115"/>
      <c r="H246" s="115"/>
      <c r="I246" s="115"/>
      <c r="J246" s="115"/>
      <c r="K246" s="115"/>
      <c r="L246" s="115"/>
      <c r="M246" s="115"/>
      <c r="N246" s="115"/>
      <c r="O246" s="115"/>
      <c r="P246" s="115"/>
      <c r="Q246" s="115"/>
      <c r="R246" s="115"/>
      <c r="S246" s="115"/>
      <c r="T246" s="115"/>
      <c r="U246" s="115"/>
      <c r="V246" s="115"/>
      <c r="W246" s="115"/>
      <c r="X246" s="115"/>
      <c r="Y246" s="115"/>
      <c r="Z246" s="115"/>
      <c r="AA246" s="115"/>
      <c r="AB246" s="115"/>
      <c r="AC246" s="115"/>
      <c r="AD246" s="115"/>
      <c r="AE246" s="115"/>
      <c r="AF246" s="115"/>
      <c r="AG246" s="115"/>
      <c r="AH246" s="115"/>
      <c r="AI246" s="115"/>
      <c r="AJ246" s="119"/>
      <c r="AK246" s="119"/>
      <c r="AL246" s="119"/>
      <c r="AM246" s="561"/>
      <c r="AN246" s="561"/>
      <c r="AO246" s="176"/>
    </row>
    <row r="247" spans="1:41" ht="15.75" customHeight="1" thickBot="1" x14ac:dyDescent="0.4">
      <c r="A247" s="115"/>
      <c r="B247" s="1387"/>
      <c r="C247" s="1387"/>
      <c r="D247" s="115"/>
      <c r="E247" s="115"/>
      <c r="F247" s="115"/>
      <c r="G247" s="115"/>
      <c r="H247" s="115"/>
      <c r="I247" s="115"/>
      <c r="J247" s="115"/>
      <c r="K247" s="115"/>
      <c r="L247" s="115"/>
      <c r="M247" s="115"/>
      <c r="N247" s="115"/>
      <c r="O247" s="115"/>
      <c r="P247" s="115"/>
      <c r="Q247" s="115"/>
      <c r="R247" s="115"/>
      <c r="S247" s="115"/>
      <c r="T247" s="115"/>
      <c r="U247" s="115"/>
      <c r="V247" s="115"/>
      <c r="W247" s="115"/>
      <c r="X247" s="115"/>
      <c r="Y247" s="115"/>
      <c r="Z247" s="115"/>
      <c r="AA247" s="115"/>
      <c r="AB247" s="115"/>
      <c r="AC247" s="115"/>
      <c r="AD247" s="115"/>
      <c r="AE247" s="115"/>
      <c r="AF247" s="115"/>
      <c r="AG247" s="115"/>
      <c r="AH247" s="115"/>
      <c r="AI247" s="115"/>
      <c r="AJ247" s="119"/>
      <c r="AK247" s="119"/>
      <c r="AL247" s="119"/>
      <c r="AM247" s="561"/>
      <c r="AN247" s="561"/>
      <c r="AO247" s="176"/>
    </row>
    <row r="248" spans="1:41" ht="15.75" customHeight="1" thickBot="1" x14ac:dyDescent="0.4">
      <c r="A248" s="115"/>
      <c r="B248" s="1387"/>
      <c r="C248" s="1387"/>
      <c r="D248" s="115"/>
      <c r="E248" s="115"/>
      <c r="F248" s="115"/>
      <c r="G248" s="115"/>
      <c r="H248" s="115"/>
      <c r="I248" s="115"/>
      <c r="J248" s="115"/>
      <c r="K248" s="115"/>
      <c r="L248" s="115"/>
      <c r="M248" s="115"/>
      <c r="N248" s="115"/>
      <c r="O248" s="115"/>
      <c r="P248" s="115"/>
      <c r="Q248" s="115"/>
      <c r="R248" s="115"/>
      <c r="S248" s="115"/>
      <c r="T248" s="115"/>
      <c r="U248" s="115"/>
      <c r="V248" s="115"/>
      <c r="W248" s="115"/>
      <c r="X248" s="115"/>
      <c r="Y248" s="115"/>
      <c r="Z248" s="115"/>
      <c r="AA248" s="115"/>
      <c r="AB248" s="115"/>
      <c r="AC248" s="115"/>
      <c r="AD248" s="115"/>
      <c r="AE248" s="115"/>
      <c r="AF248" s="115"/>
      <c r="AG248" s="115"/>
      <c r="AH248" s="115"/>
      <c r="AI248" s="115"/>
      <c r="AJ248" s="119"/>
      <c r="AK248" s="119"/>
      <c r="AL248" s="119"/>
      <c r="AM248" s="561"/>
      <c r="AN248" s="561"/>
      <c r="AO248" s="176"/>
    </row>
    <row r="249" spans="1:41" ht="15.75" customHeight="1" thickBot="1" x14ac:dyDescent="0.4">
      <c r="A249" s="115"/>
      <c r="B249" s="1387"/>
      <c r="C249" s="1387"/>
      <c r="D249" s="115"/>
      <c r="E249" s="115"/>
      <c r="F249" s="115"/>
      <c r="G249" s="115"/>
      <c r="H249" s="115"/>
      <c r="I249" s="115"/>
      <c r="J249" s="115"/>
      <c r="K249" s="115"/>
      <c r="L249" s="115"/>
      <c r="M249" s="115"/>
      <c r="N249" s="115"/>
      <c r="O249" s="115"/>
      <c r="P249" s="115"/>
      <c r="Q249" s="115"/>
      <c r="R249" s="115"/>
      <c r="S249" s="115"/>
      <c r="T249" s="115"/>
      <c r="U249" s="115"/>
      <c r="V249" s="115"/>
      <c r="W249" s="115"/>
      <c r="X249" s="115"/>
      <c r="Y249" s="115"/>
      <c r="Z249" s="115"/>
      <c r="AA249" s="115"/>
      <c r="AB249" s="115"/>
      <c r="AC249" s="115"/>
      <c r="AD249" s="115"/>
      <c r="AE249" s="115"/>
      <c r="AF249" s="115"/>
      <c r="AG249" s="115"/>
      <c r="AH249" s="115"/>
      <c r="AI249" s="115"/>
      <c r="AJ249" s="119"/>
      <c r="AK249" s="119"/>
      <c r="AL249" s="119"/>
      <c r="AM249" s="561"/>
      <c r="AN249" s="561"/>
      <c r="AO249" s="176"/>
    </row>
    <row r="250" spans="1:41" ht="15.75" customHeight="1" thickBot="1" x14ac:dyDescent="0.4">
      <c r="A250" s="115"/>
      <c r="B250" s="1387"/>
      <c r="C250" s="1387"/>
      <c r="D250" s="115"/>
      <c r="E250" s="115"/>
      <c r="F250" s="115"/>
      <c r="G250" s="115"/>
      <c r="H250" s="115"/>
      <c r="I250" s="115"/>
      <c r="J250" s="115"/>
      <c r="K250" s="115"/>
      <c r="L250" s="115"/>
      <c r="M250" s="115"/>
      <c r="N250" s="115"/>
      <c r="O250" s="115"/>
      <c r="P250" s="115"/>
      <c r="Q250" s="115"/>
      <c r="R250" s="115"/>
      <c r="S250" s="115"/>
      <c r="T250" s="115"/>
      <c r="U250" s="115"/>
      <c r="V250" s="115"/>
      <c r="W250" s="115"/>
      <c r="X250" s="115"/>
      <c r="Y250" s="115"/>
      <c r="Z250" s="115"/>
      <c r="AA250" s="115"/>
      <c r="AB250" s="115"/>
      <c r="AC250" s="115"/>
      <c r="AD250" s="115"/>
      <c r="AE250" s="115"/>
      <c r="AF250" s="115"/>
      <c r="AG250" s="115"/>
      <c r="AH250" s="115"/>
      <c r="AI250" s="115"/>
      <c r="AJ250" s="119"/>
      <c r="AK250" s="119"/>
      <c r="AL250" s="119"/>
      <c r="AM250" s="561"/>
      <c r="AN250" s="561"/>
      <c r="AO250" s="176"/>
    </row>
    <row r="251" spans="1:41" ht="15.75" customHeight="1" thickBot="1" x14ac:dyDescent="0.4">
      <c r="A251" s="115"/>
      <c r="B251" s="1387"/>
      <c r="C251" s="1387"/>
      <c r="D251" s="115"/>
      <c r="E251" s="115"/>
      <c r="F251" s="115"/>
      <c r="G251" s="115"/>
      <c r="H251" s="115"/>
      <c r="I251" s="115"/>
      <c r="J251" s="115"/>
      <c r="K251" s="115"/>
      <c r="L251" s="115"/>
      <c r="M251" s="115"/>
      <c r="N251" s="115"/>
      <c r="O251" s="115"/>
      <c r="P251" s="115"/>
      <c r="Q251" s="115"/>
      <c r="R251" s="115"/>
      <c r="S251" s="115"/>
      <c r="T251" s="115"/>
      <c r="U251" s="115"/>
      <c r="V251" s="115"/>
      <c r="W251" s="115"/>
      <c r="X251" s="115"/>
      <c r="Y251" s="115"/>
      <c r="Z251" s="115"/>
      <c r="AA251" s="115"/>
      <c r="AB251" s="115"/>
      <c r="AC251" s="115"/>
      <c r="AD251" s="115"/>
      <c r="AE251" s="115"/>
      <c r="AF251" s="115"/>
      <c r="AG251" s="115"/>
      <c r="AH251" s="115"/>
      <c r="AI251" s="115"/>
      <c r="AJ251" s="119"/>
      <c r="AK251" s="119"/>
      <c r="AL251" s="119"/>
      <c r="AM251" s="561"/>
      <c r="AN251" s="561"/>
      <c r="AO251" s="176"/>
    </row>
    <row r="252" spans="1:41" ht="15.75" customHeight="1" thickBot="1" x14ac:dyDescent="0.4">
      <c r="A252" s="115"/>
      <c r="B252" s="1387"/>
      <c r="C252" s="1387"/>
      <c r="D252" s="115"/>
      <c r="E252" s="115"/>
      <c r="F252" s="115"/>
      <c r="G252" s="115"/>
      <c r="H252" s="115"/>
      <c r="I252" s="115"/>
      <c r="J252" s="115"/>
      <c r="K252" s="115"/>
      <c r="L252" s="115"/>
      <c r="M252" s="115"/>
      <c r="N252" s="115"/>
      <c r="O252" s="115"/>
      <c r="P252" s="115"/>
      <c r="Q252" s="115"/>
      <c r="R252" s="115"/>
      <c r="S252" s="115"/>
      <c r="T252" s="115"/>
      <c r="U252" s="115"/>
      <c r="V252" s="115"/>
      <c r="W252" s="115"/>
      <c r="X252" s="115"/>
      <c r="Y252" s="115"/>
      <c r="Z252" s="115"/>
      <c r="AA252" s="115"/>
      <c r="AB252" s="115"/>
      <c r="AC252" s="115"/>
      <c r="AD252" s="115"/>
      <c r="AE252" s="115"/>
      <c r="AF252" s="115"/>
      <c r="AG252" s="115"/>
      <c r="AH252" s="115"/>
      <c r="AI252" s="115"/>
      <c r="AJ252" s="119"/>
      <c r="AK252" s="119"/>
      <c r="AL252" s="119"/>
      <c r="AM252" s="561"/>
      <c r="AN252" s="561"/>
      <c r="AO252" s="176"/>
    </row>
    <row r="253" spans="1:41" ht="15.75" customHeight="1" thickBot="1" x14ac:dyDescent="0.4">
      <c r="A253" s="115"/>
      <c r="B253" s="1387"/>
      <c r="C253" s="1387"/>
      <c r="D253" s="115"/>
      <c r="E253" s="115"/>
      <c r="F253" s="115"/>
      <c r="G253" s="115"/>
      <c r="H253" s="115"/>
      <c r="I253" s="115"/>
      <c r="J253" s="115"/>
      <c r="K253" s="115"/>
      <c r="L253" s="115"/>
      <c r="M253" s="115"/>
      <c r="N253" s="115"/>
      <c r="O253" s="115"/>
      <c r="P253" s="115"/>
      <c r="Q253" s="115"/>
      <c r="R253" s="115"/>
      <c r="S253" s="115"/>
      <c r="T253" s="115"/>
      <c r="U253" s="115"/>
      <c r="V253" s="115"/>
      <c r="W253" s="115"/>
      <c r="X253" s="115"/>
      <c r="Y253" s="115"/>
      <c r="Z253" s="115"/>
      <c r="AA253" s="115"/>
      <c r="AB253" s="115"/>
      <c r="AC253" s="115"/>
      <c r="AD253" s="115"/>
      <c r="AE253" s="115"/>
      <c r="AF253" s="115"/>
      <c r="AG253" s="115"/>
      <c r="AH253" s="115"/>
      <c r="AI253" s="115"/>
      <c r="AJ253" s="119"/>
      <c r="AK253" s="119"/>
      <c r="AL253" s="119"/>
      <c r="AM253" s="561"/>
      <c r="AN253" s="561"/>
      <c r="AO253" s="176"/>
    </row>
    <row r="254" spans="1:41" ht="15.75" customHeight="1" thickBot="1" x14ac:dyDescent="0.4">
      <c r="A254" s="115"/>
      <c r="B254" s="1387"/>
      <c r="C254" s="1387"/>
      <c r="D254" s="115"/>
      <c r="E254" s="115"/>
      <c r="F254" s="115"/>
      <c r="G254" s="115"/>
      <c r="H254" s="115"/>
      <c r="I254" s="115"/>
      <c r="J254" s="115"/>
      <c r="K254" s="115"/>
      <c r="L254" s="115"/>
      <c r="M254" s="115"/>
      <c r="N254" s="115"/>
      <c r="O254" s="115"/>
      <c r="P254" s="115"/>
      <c r="Q254" s="115"/>
      <c r="R254" s="115"/>
      <c r="S254" s="115"/>
      <c r="T254" s="115"/>
      <c r="U254" s="115"/>
      <c r="V254" s="115"/>
      <c r="W254" s="115"/>
      <c r="X254" s="115"/>
      <c r="Y254" s="115"/>
      <c r="Z254" s="115"/>
      <c r="AA254" s="115"/>
      <c r="AB254" s="115"/>
      <c r="AC254" s="115"/>
      <c r="AD254" s="115"/>
      <c r="AE254" s="115"/>
      <c r="AF254" s="115"/>
      <c r="AG254" s="115"/>
      <c r="AH254" s="115"/>
      <c r="AI254" s="115"/>
      <c r="AJ254" s="119"/>
      <c r="AK254" s="119"/>
      <c r="AL254" s="119"/>
      <c r="AM254" s="561"/>
      <c r="AN254" s="561"/>
      <c r="AO254" s="176"/>
    </row>
    <row r="255" spans="1:41" ht="15.75" customHeight="1" thickBot="1" x14ac:dyDescent="0.4">
      <c r="A255" s="115"/>
      <c r="B255" s="1387"/>
      <c r="C255" s="1387"/>
      <c r="D255" s="115"/>
      <c r="E255" s="115"/>
      <c r="F255" s="115"/>
      <c r="G255" s="115"/>
      <c r="H255" s="115"/>
      <c r="I255" s="115"/>
      <c r="J255" s="115"/>
      <c r="K255" s="115"/>
      <c r="L255" s="115"/>
      <c r="M255" s="115"/>
      <c r="N255" s="115"/>
      <c r="O255" s="115"/>
      <c r="P255" s="115"/>
      <c r="Q255" s="115"/>
      <c r="R255" s="115"/>
      <c r="S255" s="115"/>
      <c r="T255" s="115"/>
      <c r="U255" s="115"/>
      <c r="V255" s="115"/>
      <c r="W255" s="115"/>
      <c r="X255" s="115"/>
      <c r="Y255" s="115"/>
      <c r="Z255" s="115"/>
      <c r="AA255" s="115"/>
      <c r="AB255" s="115"/>
      <c r="AC255" s="115"/>
      <c r="AD255" s="115"/>
      <c r="AE255" s="115"/>
      <c r="AF255" s="115"/>
      <c r="AG255" s="115"/>
      <c r="AH255" s="115"/>
      <c r="AI255" s="115"/>
      <c r="AJ255" s="119"/>
      <c r="AK255" s="119"/>
      <c r="AL255" s="119"/>
      <c r="AM255" s="561"/>
      <c r="AN255" s="561"/>
      <c r="AO255" s="176"/>
    </row>
    <row r="256" spans="1:41" ht="15.75" customHeight="1" thickBot="1" x14ac:dyDescent="0.4">
      <c r="A256" s="115"/>
      <c r="B256" s="1387"/>
      <c r="C256" s="1387"/>
      <c r="D256" s="115"/>
      <c r="E256" s="115"/>
      <c r="F256" s="115"/>
      <c r="G256" s="115"/>
      <c r="H256" s="115"/>
      <c r="I256" s="115"/>
      <c r="J256" s="115"/>
      <c r="K256" s="115"/>
      <c r="L256" s="115"/>
      <c r="M256" s="115"/>
      <c r="N256" s="115"/>
      <c r="O256" s="115"/>
      <c r="P256" s="115"/>
      <c r="Q256" s="115"/>
      <c r="R256" s="115"/>
      <c r="S256" s="115"/>
      <c r="T256" s="115"/>
      <c r="U256" s="115"/>
      <c r="V256" s="115"/>
      <c r="W256" s="115"/>
      <c r="X256" s="115"/>
      <c r="Y256" s="115"/>
      <c r="Z256" s="115"/>
      <c r="AA256" s="115"/>
      <c r="AB256" s="115"/>
      <c r="AC256" s="115"/>
      <c r="AD256" s="115"/>
      <c r="AE256" s="115"/>
      <c r="AF256" s="115"/>
      <c r="AG256" s="115"/>
      <c r="AH256" s="115"/>
      <c r="AI256" s="115"/>
      <c r="AJ256" s="119"/>
      <c r="AK256" s="119"/>
      <c r="AL256" s="119"/>
      <c r="AM256" s="561"/>
      <c r="AN256" s="561"/>
      <c r="AO256" s="176"/>
    </row>
    <row r="257" spans="1:41" ht="15.75" customHeight="1" thickBot="1" x14ac:dyDescent="0.4">
      <c r="A257" s="115"/>
      <c r="B257" s="1387"/>
      <c r="C257" s="1387"/>
      <c r="D257" s="115"/>
      <c r="E257" s="115"/>
      <c r="F257" s="115"/>
      <c r="G257" s="115"/>
      <c r="H257" s="115"/>
      <c r="I257" s="115"/>
      <c r="J257" s="115"/>
      <c r="K257" s="115"/>
      <c r="L257" s="115"/>
      <c r="M257" s="115"/>
      <c r="N257" s="115"/>
      <c r="O257" s="115"/>
      <c r="P257" s="115"/>
      <c r="Q257" s="115"/>
      <c r="R257" s="115"/>
      <c r="S257" s="115"/>
      <c r="T257" s="115"/>
      <c r="U257" s="115"/>
      <c r="V257" s="115"/>
      <c r="W257" s="115"/>
      <c r="X257" s="115"/>
      <c r="Y257" s="115"/>
      <c r="Z257" s="115"/>
      <c r="AA257" s="115"/>
      <c r="AB257" s="115"/>
      <c r="AC257" s="115"/>
      <c r="AD257" s="115"/>
      <c r="AE257" s="115"/>
      <c r="AF257" s="115"/>
      <c r="AG257" s="115"/>
      <c r="AH257" s="115"/>
      <c r="AI257" s="115"/>
      <c r="AJ257" s="119"/>
      <c r="AK257" s="119"/>
      <c r="AL257" s="119"/>
      <c r="AM257" s="561"/>
      <c r="AN257" s="561"/>
      <c r="AO257" s="176"/>
    </row>
    <row r="258" spans="1:41" ht="15.75" customHeight="1" thickBot="1" x14ac:dyDescent="0.4">
      <c r="A258" s="115"/>
      <c r="B258" s="1387"/>
      <c r="C258" s="1387"/>
      <c r="D258" s="115"/>
      <c r="E258" s="115"/>
      <c r="F258" s="115"/>
      <c r="G258" s="115"/>
      <c r="H258" s="115"/>
      <c r="I258" s="115"/>
      <c r="J258" s="115"/>
      <c r="K258" s="115"/>
      <c r="L258" s="115"/>
      <c r="M258" s="115"/>
      <c r="N258" s="115"/>
      <c r="O258" s="115"/>
      <c r="P258" s="115"/>
      <c r="Q258" s="115"/>
      <c r="R258" s="115"/>
      <c r="S258" s="115"/>
      <c r="T258" s="115"/>
      <c r="U258" s="115"/>
      <c r="V258" s="115"/>
      <c r="W258" s="115"/>
      <c r="X258" s="115"/>
      <c r="Y258" s="115"/>
      <c r="Z258" s="115"/>
      <c r="AA258" s="115"/>
      <c r="AB258" s="115"/>
      <c r="AC258" s="115"/>
      <c r="AD258" s="115"/>
      <c r="AE258" s="115"/>
      <c r="AF258" s="115"/>
      <c r="AG258" s="115"/>
      <c r="AH258" s="115"/>
      <c r="AI258" s="115"/>
      <c r="AJ258" s="119"/>
      <c r="AK258" s="119"/>
      <c r="AL258" s="119"/>
      <c r="AM258" s="561"/>
      <c r="AN258" s="561"/>
      <c r="AO258" s="176"/>
    </row>
    <row r="259" spans="1:41" ht="15.75" customHeight="1" thickBot="1" x14ac:dyDescent="0.4">
      <c r="A259" s="115"/>
      <c r="B259" s="1387"/>
      <c r="C259" s="1387"/>
      <c r="D259" s="115"/>
      <c r="E259" s="115"/>
      <c r="F259" s="115"/>
      <c r="G259" s="115"/>
      <c r="H259" s="115"/>
      <c r="I259" s="115"/>
      <c r="J259" s="115"/>
      <c r="K259" s="115"/>
      <c r="L259" s="115"/>
      <c r="M259" s="115"/>
      <c r="N259" s="115"/>
      <c r="O259" s="115"/>
      <c r="P259" s="115"/>
      <c r="Q259" s="115"/>
      <c r="R259" s="115"/>
      <c r="S259" s="115"/>
      <c r="T259" s="115"/>
      <c r="U259" s="115"/>
      <c r="V259" s="115"/>
      <c r="W259" s="115"/>
      <c r="X259" s="115"/>
      <c r="Y259" s="115"/>
      <c r="Z259" s="115"/>
      <c r="AA259" s="115"/>
      <c r="AB259" s="115"/>
      <c r="AC259" s="115"/>
      <c r="AD259" s="115"/>
      <c r="AE259" s="115"/>
      <c r="AF259" s="115"/>
      <c r="AG259" s="115"/>
      <c r="AH259" s="115"/>
      <c r="AI259" s="115"/>
      <c r="AJ259" s="119"/>
      <c r="AK259" s="119"/>
      <c r="AL259" s="119"/>
      <c r="AM259" s="561"/>
      <c r="AN259" s="561"/>
      <c r="AO259" s="176"/>
    </row>
    <row r="260" spans="1:41" ht="15.75" customHeight="1" thickBot="1" x14ac:dyDescent="0.4">
      <c r="A260" s="115"/>
      <c r="B260" s="1387"/>
      <c r="C260" s="1387"/>
      <c r="D260" s="115"/>
      <c r="E260" s="115"/>
      <c r="F260" s="115"/>
      <c r="G260" s="115"/>
      <c r="H260" s="115"/>
      <c r="I260" s="115"/>
      <c r="J260" s="115"/>
      <c r="K260" s="115"/>
      <c r="L260" s="115"/>
      <c r="M260" s="115"/>
      <c r="N260" s="115"/>
      <c r="O260" s="115"/>
      <c r="P260" s="115"/>
      <c r="Q260" s="115"/>
      <c r="R260" s="115"/>
      <c r="S260" s="115"/>
      <c r="T260" s="115"/>
      <c r="U260" s="115"/>
      <c r="V260" s="115"/>
      <c r="W260" s="115"/>
      <c r="X260" s="115"/>
      <c r="Y260" s="115"/>
      <c r="Z260" s="115"/>
      <c r="AA260" s="115"/>
      <c r="AB260" s="115"/>
      <c r="AC260" s="115"/>
      <c r="AD260" s="115"/>
      <c r="AE260" s="115"/>
      <c r="AF260" s="115"/>
      <c r="AG260" s="115"/>
      <c r="AH260" s="115"/>
      <c r="AI260" s="115"/>
      <c r="AJ260" s="119"/>
      <c r="AK260" s="119"/>
      <c r="AL260" s="119"/>
      <c r="AM260" s="561"/>
      <c r="AN260" s="561"/>
      <c r="AO260" s="176"/>
    </row>
    <row r="261" spans="1:41" ht="15.75" customHeight="1" thickBot="1" x14ac:dyDescent="0.4">
      <c r="A261" s="115"/>
      <c r="B261" s="1387"/>
      <c r="C261" s="1387"/>
      <c r="D261" s="115"/>
      <c r="E261" s="115"/>
      <c r="F261" s="115"/>
      <c r="G261" s="115"/>
      <c r="H261" s="115"/>
      <c r="I261" s="115"/>
      <c r="J261" s="115"/>
      <c r="K261" s="115"/>
      <c r="L261" s="115"/>
      <c r="M261" s="115"/>
      <c r="N261" s="115"/>
      <c r="O261" s="115"/>
      <c r="P261" s="115"/>
      <c r="Q261" s="115"/>
      <c r="R261" s="115"/>
      <c r="S261" s="115"/>
      <c r="T261" s="115"/>
      <c r="U261" s="115"/>
      <c r="V261" s="115"/>
      <c r="W261" s="115"/>
      <c r="X261" s="115"/>
      <c r="Y261" s="115"/>
      <c r="Z261" s="115"/>
      <c r="AA261" s="115"/>
      <c r="AB261" s="115"/>
      <c r="AC261" s="115"/>
      <c r="AD261" s="115"/>
      <c r="AE261" s="115"/>
      <c r="AF261" s="115"/>
      <c r="AG261" s="115"/>
      <c r="AH261" s="115"/>
      <c r="AI261" s="115"/>
      <c r="AJ261" s="119"/>
      <c r="AK261" s="119"/>
      <c r="AL261" s="119"/>
      <c r="AM261" s="561"/>
      <c r="AN261" s="561"/>
      <c r="AO261" s="176"/>
    </row>
    <row r="262" spans="1:41" ht="15.75" customHeight="1" thickBot="1" x14ac:dyDescent="0.4">
      <c r="A262" s="115"/>
      <c r="B262" s="1387"/>
      <c r="C262" s="1387"/>
      <c r="D262" s="115"/>
      <c r="E262" s="115"/>
      <c r="F262" s="115"/>
      <c r="G262" s="115"/>
      <c r="H262" s="115"/>
      <c r="I262" s="115"/>
      <c r="J262" s="115"/>
      <c r="K262" s="115"/>
      <c r="L262" s="115"/>
      <c r="M262" s="115"/>
      <c r="N262" s="115"/>
      <c r="O262" s="115"/>
      <c r="P262" s="115"/>
      <c r="Q262" s="115"/>
      <c r="R262" s="115"/>
      <c r="S262" s="115"/>
      <c r="T262" s="115"/>
      <c r="U262" s="115"/>
      <c r="V262" s="115"/>
      <c r="W262" s="115"/>
      <c r="X262" s="115"/>
      <c r="Y262" s="115"/>
      <c r="Z262" s="115"/>
      <c r="AA262" s="115"/>
      <c r="AB262" s="115"/>
      <c r="AC262" s="115"/>
      <c r="AD262" s="115"/>
      <c r="AE262" s="115"/>
      <c r="AF262" s="115"/>
      <c r="AG262" s="115"/>
      <c r="AH262" s="115"/>
      <c r="AI262" s="115"/>
      <c r="AJ262" s="119"/>
      <c r="AK262" s="119"/>
      <c r="AL262" s="119"/>
      <c r="AM262" s="561"/>
      <c r="AN262" s="561"/>
      <c r="AO262" s="176"/>
    </row>
    <row r="263" spans="1:41" ht="15.75" customHeight="1" thickBot="1" x14ac:dyDescent="0.4">
      <c r="A263" s="115"/>
      <c r="B263" s="1387"/>
      <c r="C263" s="1387"/>
      <c r="D263" s="115"/>
      <c r="E263" s="115"/>
      <c r="F263" s="115"/>
      <c r="G263" s="115"/>
      <c r="H263" s="115"/>
      <c r="I263" s="115"/>
      <c r="J263" s="115"/>
      <c r="K263" s="115"/>
      <c r="L263" s="115"/>
      <c r="M263" s="115"/>
      <c r="N263" s="115"/>
      <c r="O263" s="115"/>
      <c r="P263" s="115"/>
      <c r="Q263" s="115"/>
      <c r="R263" s="115"/>
      <c r="S263" s="115"/>
      <c r="T263" s="115"/>
      <c r="U263" s="115"/>
      <c r="V263" s="115"/>
      <c r="W263" s="115"/>
      <c r="X263" s="115"/>
      <c r="Y263" s="115"/>
      <c r="Z263" s="115"/>
      <c r="AA263" s="115"/>
      <c r="AB263" s="115"/>
      <c r="AC263" s="115"/>
      <c r="AD263" s="115"/>
      <c r="AE263" s="115"/>
      <c r="AF263" s="115"/>
      <c r="AG263" s="115"/>
      <c r="AH263" s="115"/>
      <c r="AI263" s="115"/>
      <c r="AJ263" s="119"/>
      <c r="AK263" s="119"/>
      <c r="AL263" s="119"/>
      <c r="AM263" s="561"/>
      <c r="AN263" s="561"/>
      <c r="AO263" s="176"/>
    </row>
    <row r="264" spans="1:41" ht="15.75" customHeight="1" thickBot="1" x14ac:dyDescent="0.4">
      <c r="A264" s="115"/>
      <c r="B264" s="1387"/>
      <c r="C264" s="1387"/>
      <c r="D264" s="115"/>
      <c r="E264" s="115"/>
      <c r="F264" s="115"/>
      <c r="G264" s="115"/>
      <c r="H264" s="115"/>
      <c r="I264" s="115"/>
      <c r="J264" s="115"/>
      <c r="K264" s="115"/>
      <c r="L264" s="115"/>
      <c r="M264" s="115"/>
      <c r="N264" s="115"/>
      <c r="O264" s="115"/>
      <c r="P264" s="115"/>
      <c r="Q264" s="115"/>
      <c r="R264" s="115"/>
      <c r="S264" s="115"/>
      <c r="T264" s="115"/>
      <c r="U264" s="115"/>
      <c r="V264" s="115"/>
      <c r="W264" s="115"/>
      <c r="X264" s="115"/>
      <c r="Y264" s="115"/>
      <c r="Z264" s="115"/>
      <c r="AA264" s="115"/>
      <c r="AB264" s="115"/>
      <c r="AC264" s="115"/>
      <c r="AD264" s="115"/>
      <c r="AE264" s="115"/>
      <c r="AF264" s="115"/>
      <c r="AG264" s="115"/>
      <c r="AH264" s="115"/>
      <c r="AI264" s="115"/>
      <c r="AJ264" s="119"/>
      <c r="AK264" s="119"/>
      <c r="AL264" s="119"/>
      <c r="AM264" s="561"/>
      <c r="AN264" s="561"/>
      <c r="AO264" s="176"/>
    </row>
    <row r="265" spans="1:41" ht="15.75" customHeight="1" thickBot="1" x14ac:dyDescent="0.4">
      <c r="A265" s="115"/>
      <c r="B265" s="1387"/>
      <c r="C265" s="1387"/>
      <c r="D265" s="115"/>
      <c r="E265" s="115"/>
      <c r="F265" s="115"/>
      <c r="G265" s="115"/>
      <c r="H265" s="115"/>
      <c r="I265" s="115"/>
      <c r="J265" s="115"/>
      <c r="K265" s="115"/>
      <c r="L265" s="115"/>
      <c r="M265" s="115"/>
      <c r="N265" s="115"/>
      <c r="O265" s="115"/>
      <c r="P265" s="115"/>
      <c r="Q265" s="115"/>
      <c r="R265" s="115"/>
      <c r="S265" s="115"/>
      <c r="T265" s="115"/>
      <c r="U265" s="115"/>
      <c r="V265" s="115"/>
      <c r="W265" s="115"/>
      <c r="X265" s="115"/>
      <c r="Y265" s="115"/>
      <c r="Z265" s="115"/>
      <c r="AA265" s="115"/>
      <c r="AB265" s="115"/>
      <c r="AC265" s="115"/>
      <c r="AD265" s="115"/>
      <c r="AE265" s="115"/>
      <c r="AF265" s="115"/>
      <c r="AG265" s="115"/>
      <c r="AH265" s="115"/>
      <c r="AI265" s="115"/>
      <c r="AJ265" s="119"/>
      <c r="AK265" s="119"/>
      <c r="AL265" s="119"/>
      <c r="AM265" s="561"/>
      <c r="AN265" s="561"/>
      <c r="AO265" s="176"/>
    </row>
    <row r="266" spans="1:41" ht="15.75" customHeight="1" thickBot="1" x14ac:dyDescent="0.4">
      <c r="A266" s="115"/>
      <c r="B266" s="1387"/>
      <c r="C266" s="1387"/>
      <c r="D266" s="115"/>
      <c r="E266" s="115"/>
      <c r="F266" s="115"/>
      <c r="G266" s="115"/>
      <c r="H266" s="115"/>
      <c r="I266" s="115"/>
      <c r="J266" s="115"/>
      <c r="K266" s="115"/>
      <c r="L266" s="115"/>
      <c r="M266" s="115"/>
      <c r="N266" s="115"/>
      <c r="O266" s="115"/>
      <c r="P266" s="115"/>
      <c r="Q266" s="115"/>
      <c r="R266" s="115"/>
      <c r="S266" s="115"/>
      <c r="T266" s="115"/>
      <c r="U266" s="115"/>
      <c r="V266" s="115"/>
      <c r="W266" s="115"/>
      <c r="X266" s="115"/>
      <c r="Y266" s="115"/>
      <c r="Z266" s="115"/>
      <c r="AA266" s="115"/>
      <c r="AB266" s="115"/>
      <c r="AC266" s="115"/>
      <c r="AD266" s="115"/>
      <c r="AE266" s="115"/>
      <c r="AF266" s="115"/>
      <c r="AG266" s="115"/>
      <c r="AH266" s="115"/>
      <c r="AI266" s="115"/>
      <c r="AJ266" s="119"/>
      <c r="AK266" s="119"/>
      <c r="AL266" s="119"/>
      <c r="AM266" s="561"/>
      <c r="AN266" s="561"/>
      <c r="AO266" s="176"/>
    </row>
    <row r="267" spans="1:41" ht="15.75" customHeight="1" thickBot="1" x14ac:dyDescent="0.4">
      <c r="A267" s="115"/>
      <c r="B267" s="1387"/>
      <c r="C267" s="1387"/>
      <c r="D267" s="115"/>
      <c r="E267" s="115"/>
      <c r="F267" s="115"/>
      <c r="G267" s="115"/>
      <c r="H267" s="115"/>
      <c r="I267" s="115"/>
      <c r="J267" s="115"/>
      <c r="K267" s="115"/>
      <c r="L267" s="115"/>
      <c r="M267" s="115"/>
      <c r="N267" s="115"/>
      <c r="O267" s="115"/>
      <c r="P267" s="115"/>
      <c r="Q267" s="115"/>
      <c r="R267" s="115"/>
      <c r="S267" s="115"/>
      <c r="T267" s="115"/>
      <c r="U267" s="115"/>
      <c r="V267" s="115"/>
      <c r="W267" s="115"/>
      <c r="X267" s="115"/>
      <c r="Y267" s="115"/>
      <c r="Z267" s="115"/>
      <c r="AA267" s="115"/>
      <c r="AB267" s="115"/>
      <c r="AC267" s="115"/>
      <c r="AD267" s="115"/>
      <c r="AE267" s="115"/>
      <c r="AF267" s="115"/>
      <c r="AG267" s="115"/>
      <c r="AH267" s="115"/>
      <c r="AI267" s="115"/>
      <c r="AJ267" s="119"/>
      <c r="AK267" s="119"/>
      <c r="AL267" s="119"/>
      <c r="AM267" s="561"/>
      <c r="AN267" s="561"/>
      <c r="AO267" s="176"/>
    </row>
    <row r="268" spans="1:41" ht="15.75" customHeight="1" thickBot="1" x14ac:dyDescent="0.4">
      <c r="A268" s="115"/>
      <c r="B268" s="1387"/>
      <c r="C268" s="1387"/>
      <c r="D268" s="115"/>
      <c r="E268" s="115"/>
      <c r="F268" s="115"/>
      <c r="G268" s="115"/>
      <c r="H268" s="115"/>
      <c r="I268" s="115"/>
      <c r="J268" s="115"/>
      <c r="K268" s="115"/>
      <c r="L268" s="115"/>
      <c r="M268" s="115"/>
      <c r="N268" s="115"/>
      <c r="O268" s="115"/>
      <c r="P268" s="115"/>
      <c r="Q268" s="115"/>
      <c r="R268" s="115"/>
      <c r="S268" s="115"/>
      <c r="T268" s="115"/>
      <c r="U268" s="115"/>
      <c r="V268" s="115"/>
      <c r="W268" s="115"/>
      <c r="X268" s="115"/>
      <c r="Y268" s="115"/>
      <c r="Z268" s="115"/>
      <c r="AA268" s="115"/>
      <c r="AB268" s="115"/>
      <c r="AC268" s="115"/>
      <c r="AD268" s="115"/>
      <c r="AE268" s="115"/>
      <c r="AF268" s="115"/>
      <c r="AG268" s="115"/>
      <c r="AH268" s="115"/>
      <c r="AI268" s="115"/>
      <c r="AJ268" s="119"/>
      <c r="AK268" s="119"/>
      <c r="AL268" s="119"/>
      <c r="AM268" s="561"/>
      <c r="AN268" s="561"/>
      <c r="AO268" s="176"/>
    </row>
    <row r="269" spans="1:41" ht="15.75" customHeight="1" thickBot="1" x14ac:dyDescent="0.4">
      <c r="A269" s="115"/>
      <c r="B269" s="1387"/>
      <c r="C269" s="1387"/>
      <c r="D269" s="115"/>
      <c r="E269" s="115"/>
      <c r="F269" s="115"/>
      <c r="G269" s="115"/>
      <c r="H269" s="115"/>
      <c r="I269" s="115"/>
      <c r="J269" s="115"/>
      <c r="K269" s="115"/>
      <c r="L269" s="115"/>
      <c r="M269" s="115"/>
      <c r="N269" s="115"/>
      <c r="O269" s="115"/>
      <c r="P269" s="115"/>
      <c r="Q269" s="115"/>
      <c r="R269" s="115"/>
      <c r="S269" s="115"/>
      <c r="T269" s="115"/>
      <c r="U269" s="115"/>
      <c r="V269" s="115"/>
      <c r="W269" s="115"/>
      <c r="X269" s="115"/>
      <c r="Y269" s="115"/>
      <c r="Z269" s="115"/>
      <c r="AA269" s="115"/>
      <c r="AB269" s="115"/>
      <c r="AC269" s="115"/>
      <c r="AD269" s="115"/>
      <c r="AE269" s="115"/>
      <c r="AF269" s="115"/>
      <c r="AG269" s="115"/>
      <c r="AH269" s="115"/>
      <c r="AI269" s="115"/>
      <c r="AJ269" s="119"/>
      <c r="AK269" s="119"/>
      <c r="AL269" s="119"/>
      <c r="AM269" s="561"/>
      <c r="AN269" s="561"/>
      <c r="AO269" s="176"/>
    </row>
    <row r="270" spans="1:41" ht="15.75" customHeight="1" thickBot="1" x14ac:dyDescent="0.4">
      <c r="A270" s="115"/>
      <c r="B270" s="1387"/>
      <c r="C270" s="1387"/>
      <c r="D270" s="115"/>
      <c r="E270" s="115"/>
      <c r="F270" s="115"/>
      <c r="G270" s="115"/>
      <c r="H270" s="115"/>
      <c r="I270" s="115"/>
      <c r="J270" s="115"/>
      <c r="K270" s="115"/>
      <c r="L270" s="115"/>
      <c r="M270" s="115"/>
      <c r="N270" s="115"/>
      <c r="O270" s="115"/>
      <c r="P270" s="115"/>
      <c r="Q270" s="115"/>
      <c r="R270" s="115"/>
      <c r="S270" s="115"/>
      <c r="T270" s="115"/>
      <c r="U270" s="115"/>
      <c r="V270" s="115"/>
      <c r="W270" s="115"/>
      <c r="X270" s="115"/>
      <c r="Y270" s="115"/>
      <c r="Z270" s="115"/>
      <c r="AA270" s="115"/>
      <c r="AB270" s="115"/>
      <c r="AC270" s="115"/>
      <c r="AD270" s="115"/>
      <c r="AE270" s="115"/>
      <c r="AF270" s="115"/>
      <c r="AG270" s="115"/>
      <c r="AH270" s="115"/>
      <c r="AI270" s="115"/>
      <c r="AJ270" s="119"/>
      <c r="AK270" s="119"/>
      <c r="AL270" s="119"/>
      <c r="AM270" s="561"/>
      <c r="AN270" s="561"/>
      <c r="AO270" s="176"/>
    </row>
    <row r="271" spans="1:41" ht="15.75" customHeight="1" thickBot="1" x14ac:dyDescent="0.4">
      <c r="A271" s="115"/>
      <c r="B271" s="1387"/>
      <c r="C271" s="1387"/>
      <c r="D271" s="115"/>
      <c r="E271" s="115"/>
      <c r="F271" s="115"/>
      <c r="G271" s="115"/>
      <c r="H271" s="115"/>
      <c r="I271" s="115"/>
      <c r="J271" s="115"/>
      <c r="K271" s="115"/>
      <c r="L271" s="115"/>
      <c r="M271" s="115"/>
      <c r="N271" s="115"/>
      <c r="O271" s="115"/>
      <c r="P271" s="115"/>
      <c r="Q271" s="115"/>
      <c r="R271" s="115"/>
      <c r="S271" s="115"/>
      <c r="T271" s="115"/>
      <c r="U271" s="115"/>
      <c r="V271" s="115"/>
      <c r="W271" s="115"/>
      <c r="X271" s="115"/>
      <c r="Y271" s="115"/>
      <c r="Z271" s="115"/>
      <c r="AA271" s="115"/>
      <c r="AB271" s="115"/>
      <c r="AC271" s="115"/>
      <c r="AD271" s="115"/>
      <c r="AE271" s="115"/>
      <c r="AF271" s="115"/>
      <c r="AG271" s="115"/>
      <c r="AH271" s="115"/>
      <c r="AI271" s="115"/>
      <c r="AJ271" s="119"/>
      <c r="AK271" s="119"/>
      <c r="AL271" s="119"/>
      <c r="AM271" s="561"/>
      <c r="AN271" s="561"/>
      <c r="AO271" s="176"/>
    </row>
    <row r="272" spans="1:41" ht="15.75" customHeight="1" thickBot="1" x14ac:dyDescent="0.4">
      <c r="A272" s="115"/>
      <c r="B272" s="1387"/>
      <c r="C272" s="1387"/>
      <c r="D272" s="115"/>
      <c r="E272" s="115"/>
      <c r="F272" s="115"/>
      <c r="G272" s="115"/>
      <c r="H272" s="115"/>
      <c r="I272" s="115"/>
      <c r="J272" s="115"/>
      <c r="K272" s="115"/>
      <c r="L272" s="115"/>
      <c r="M272" s="115"/>
      <c r="N272" s="115"/>
      <c r="O272" s="115"/>
      <c r="P272" s="115"/>
      <c r="Q272" s="115"/>
      <c r="R272" s="115"/>
      <c r="S272" s="115"/>
      <c r="T272" s="115"/>
      <c r="U272" s="115"/>
      <c r="V272" s="115"/>
      <c r="W272" s="115"/>
      <c r="X272" s="115"/>
      <c r="Y272" s="115"/>
      <c r="Z272" s="115"/>
      <c r="AA272" s="115"/>
      <c r="AB272" s="115"/>
      <c r="AC272" s="115"/>
      <c r="AD272" s="115"/>
      <c r="AE272" s="115"/>
      <c r="AF272" s="115"/>
      <c r="AG272" s="115"/>
      <c r="AH272" s="115"/>
      <c r="AI272" s="115"/>
      <c r="AJ272" s="119"/>
      <c r="AK272" s="119"/>
      <c r="AL272" s="119"/>
      <c r="AM272" s="561"/>
      <c r="AN272" s="561"/>
      <c r="AO272" s="176"/>
    </row>
    <row r="273" spans="1:41" ht="15.75" customHeight="1" thickBot="1" x14ac:dyDescent="0.4">
      <c r="A273" s="115"/>
      <c r="B273" s="1387"/>
      <c r="C273" s="1387"/>
      <c r="D273" s="115"/>
      <c r="E273" s="115"/>
      <c r="F273" s="115"/>
      <c r="G273" s="115"/>
      <c r="H273" s="115"/>
      <c r="I273" s="115"/>
      <c r="J273" s="115"/>
      <c r="K273" s="115"/>
      <c r="L273" s="115"/>
      <c r="M273" s="115"/>
      <c r="N273" s="115"/>
      <c r="O273" s="115"/>
      <c r="P273" s="115"/>
      <c r="Q273" s="115"/>
      <c r="R273" s="115"/>
      <c r="S273" s="115"/>
      <c r="T273" s="115"/>
      <c r="U273" s="115"/>
      <c r="V273" s="115"/>
      <c r="W273" s="115"/>
      <c r="X273" s="115"/>
      <c r="Y273" s="115"/>
      <c r="Z273" s="115"/>
      <c r="AA273" s="115"/>
      <c r="AB273" s="115"/>
      <c r="AC273" s="115"/>
      <c r="AD273" s="115"/>
      <c r="AE273" s="115"/>
      <c r="AF273" s="115"/>
      <c r="AG273" s="115"/>
      <c r="AH273" s="115"/>
      <c r="AI273" s="115"/>
      <c r="AJ273" s="119"/>
      <c r="AK273" s="119"/>
      <c r="AL273" s="119"/>
      <c r="AM273" s="561"/>
      <c r="AN273" s="561"/>
      <c r="AO273" s="176"/>
    </row>
    <row r="274" spans="1:41" ht="15.75" customHeight="1" thickBot="1" x14ac:dyDescent="0.4">
      <c r="A274" s="115"/>
      <c r="B274" s="1387"/>
      <c r="C274" s="1387"/>
      <c r="D274" s="115"/>
      <c r="E274" s="115"/>
      <c r="F274" s="115"/>
      <c r="G274" s="115"/>
      <c r="H274" s="115"/>
      <c r="I274" s="115"/>
      <c r="J274" s="115"/>
      <c r="K274" s="115"/>
      <c r="L274" s="115"/>
      <c r="M274" s="115"/>
      <c r="N274" s="115"/>
      <c r="O274" s="115"/>
      <c r="P274" s="115"/>
      <c r="Q274" s="115"/>
      <c r="R274" s="115"/>
      <c r="S274" s="115"/>
      <c r="T274" s="115"/>
      <c r="U274" s="115"/>
      <c r="V274" s="115"/>
      <c r="W274" s="115"/>
      <c r="X274" s="115"/>
      <c r="Y274" s="115"/>
      <c r="Z274" s="115"/>
      <c r="AA274" s="115"/>
      <c r="AB274" s="115"/>
      <c r="AC274" s="115"/>
      <c r="AD274" s="115"/>
      <c r="AE274" s="115"/>
      <c r="AF274" s="115"/>
      <c r="AG274" s="115"/>
      <c r="AH274" s="115"/>
      <c r="AI274" s="115"/>
      <c r="AJ274" s="119"/>
      <c r="AK274" s="119"/>
      <c r="AL274" s="119"/>
      <c r="AM274" s="561"/>
      <c r="AN274" s="561"/>
      <c r="AO274" s="176"/>
    </row>
    <row r="275" spans="1:41" ht="15.75" customHeight="1" thickBot="1" x14ac:dyDescent="0.4">
      <c r="A275" s="115"/>
      <c r="B275" s="1387"/>
      <c r="C275" s="1387"/>
      <c r="D275" s="115"/>
      <c r="E275" s="115"/>
      <c r="F275" s="115"/>
      <c r="G275" s="115"/>
      <c r="H275" s="115"/>
      <c r="I275" s="115"/>
      <c r="J275" s="115"/>
      <c r="K275" s="115"/>
      <c r="L275" s="115"/>
      <c r="M275" s="115"/>
      <c r="N275" s="115"/>
      <c r="O275" s="115"/>
      <c r="P275" s="115"/>
      <c r="Q275" s="115"/>
      <c r="R275" s="115"/>
      <c r="S275" s="115"/>
      <c r="T275" s="115"/>
      <c r="U275" s="115"/>
      <c r="V275" s="115"/>
      <c r="W275" s="115"/>
      <c r="X275" s="115"/>
      <c r="Y275" s="115"/>
      <c r="Z275" s="115"/>
      <c r="AA275" s="115"/>
      <c r="AB275" s="115"/>
      <c r="AC275" s="115"/>
      <c r="AD275" s="115"/>
      <c r="AE275" s="115"/>
      <c r="AF275" s="115"/>
      <c r="AG275" s="115"/>
      <c r="AH275" s="115"/>
      <c r="AI275" s="115"/>
      <c r="AJ275" s="119"/>
      <c r="AK275" s="119"/>
      <c r="AL275" s="119"/>
      <c r="AM275" s="561"/>
      <c r="AN275" s="561"/>
      <c r="AO275" s="176"/>
    </row>
    <row r="276" spans="1:41" ht="15.75" customHeight="1" thickBot="1" x14ac:dyDescent="0.4">
      <c r="A276" s="115"/>
      <c r="B276" s="1387"/>
      <c r="C276" s="1387"/>
      <c r="D276" s="115"/>
      <c r="E276" s="115"/>
      <c r="F276" s="115"/>
      <c r="G276" s="115"/>
      <c r="H276" s="115"/>
      <c r="I276" s="115"/>
      <c r="J276" s="115"/>
      <c r="K276" s="115"/>
      <c r="L276" s="115"/>
      <c r="M276" s="115"/>
      <c r="N276" s="115"/>
      <c r="O276" s="115"/>
      <c r="P276" s="115"/>
      <c r="Q276" s="115"/>
      <c r="R276" s="115"/>
      <c r="S276" s="115"/>
      <c r="T276" s="115"/>
      <c r="U276" s="115"/>
      <c r="V276" s="115"/>
      <c r="W276" s="115"/>
      <c r="X276" s="115"/>
      <c r="Y276" s="115"/>
      <c r="Z276" s="115"/>
      <c r="AA276" s="115"/>
      <c r="AB276" s="115"/>
      <c r="AC276" s="115"/>
      <c r="AD276" s="115"/>
      <c r="AE276" s="115"/>
      <c r="AF276" s="115"/>
      <c r="AG276" s="115"/>
      <c r="AH276" s="115"/>
      <c r="AI276" s="115"/>
      <c r="AJ276" s="119"/>
      <c r="AK276" s="119"/>
      <c r="AL276" s="119"/>
      <c r="AM276" s="561"/>
      <c r="AN276" s="561"/>
      <c r="AO276" s="176"/>
    </row>
    <row r="277" spans="1:41" ht="15.75" customHeight="1" thickBot="1" x14ac:dyDescent="0.4">
      <c r="A277" s="115"/>
      <c r="B277" s="1387"/>
      <c r="C277" s="1387"/>
      <c r="D277" s="115"/>
      <c r="E277" s="115"/>
      <c r="F277" s="115"/>
      <c r="G277" s="115"/>
      <c r="H277" s="115"/>
      <c r="I277" s="115"/>
      <c r="J277" s="115"/>
      <c r="K277" s="115"/>
      <c r="L277" s="115"/>
      <c r="M277" s="115"/>
      <c r="N277" s="115"/>
      <c r="O277" s="115"/>
      <c r="P277" s="115"/>
      <c r="Q277" s="115"/>
      <c r="R277" s="115"/>
      <c r="S277" s="115"/>
      <c r="T277" s="115"/>
      <c r="U277" s="115"/>
      <c r="V277" s="115"/>
      <c r="W277" s="115"/>
      <c r="X277" s="115"/>
      <c r="Y277" s="115"/>
      <c r="Z277" s="115"/>
      <c r="AA277" s="115"/>
      <c r="AB277" s="115"/>
      <c r="AC277" s="115"/>
      <c r="AD277" s="115"/>
      <c r="AE277" s="115"/>
      <c r="AF277" s="115"/>
      <c r="AG277" s="115"/>
      <c r="AH277" s="115"/>
      <c r="AI277" s="115"/>
      <c r="AJ277" s="119"/>
      <c r="AK277" s="119"/>
      <c r="AL277" s="119"/>
      <c r="AM277" s="561"/>
      <c r="AN277" s="561"/>
      <c r="AO277" s="176"/>
    </row>
    <row r="278" spans="1:41" ht="15.75" customHeight="1" thickBot="1" x14ac:dyDescent="0.4">
      <c r="A278" s="115"/>
      <c r="B278" s="1387"/>
      <c r="C278" s="1387"/>
      <c r="D278" s="115"/>
      <c r="E278" s="115"/>
      <c r="F278" s="115"/>
      <c r="G278" s="115"/>
      <c r="H278" s="115"/>
      <c r="I278" s="115"/>
      <c r="J278" s="115"/>
      <c r="K278" s="115"/>
      <c r="L278" s="115"/>
      <c r="M278" s="115"/>
      <c r="N278" s="115"/>
      <c r="O278" s="115"/>
      <c r="P278" s="115"/>
      <c r="Q278" s="115"/>
      <c r="R278" s="115"/>
      <c r="S278" s="115"/>
      <c r="T278" s="115"/>
      <c r="U278" s="115"/>
      <c r="V278" s="115"/>
      <c r="W278" s="115"/>
      <c r="X278" s="115"/>
      <c r="Y278" s="115"/>
      <c r="Z278" s="115"/>
      <c r="AA278" s="115"/>
      <c r="AB278" s="115"/>
      <c r="AC278" s="115"/>
      <c r="AD278" s="115"/>
      <c r="AE278" s="115"/>
      <c r="AF278" s="115"/>
      <c r="AG278" s="115"/>
      <c r="AH278" s="115"/>
      <c r="AI278" s="115"/>
      <c r="AJ278" s="119"/>
      <c r="AK278" s="119"/>
      <c r="AL278" s="119"/>
      <c r="AM278" s="561"/>
      <c r="AN278" s="561"/>
      <c r="AO278" s="176"/>
    </row>
    <row r="279" spans="1:41" ht="15.75" customHeight="1" thickBot="1" x14ac:dyDescent="0.4">
      <c r="A279" s="115"/>
      <c r="B279" s="1387"/>
      <c r="C279" s="1387"/>
      <c r="D279" s="115"/>
      <c r="E279" s="115"/>
      <c r="F279" s="115"/>
      <c r="G279" s="115"/>
      <c r="H279" s="115"/>
      <c r="I279" s="115"/>
      <c r="J279" s="115"/>
      <c r="K279" s="115"/>
      <c r="L279" s="115"/>
      <c r="M279" s="115"/>
      <c r="N279" s="115"/>
      <c r="O279" s="115"/>
      <c r="P279" s="115"/>
      <c r="Q279" s="115"/>
      <c r="R279" s="115"/>
      <c r="S279" s="115"/>
      <c r="T279" s="115"/>
      <c r="U279" s="115"/>
      <c r="V279" s="115"/>
      <c r="W279" s="115"/>
      <c r="X279" s="115"/>
      <c r="Y279" s="115"/>
      <c r="Z279" s="115"/>
      <c r="AA279" s="115"/>
      <c r="AB279" s="115"/>
      <c r="AC279" s="115"/>
      <c r="AD279" s="115"/>
      <c r="AE279" s="115"/>
      <c r="AF279" s="115"/>
      <c r="AG279" s="115"/>
      <c r="AH279" s="115"/>
      <c r="AI279" s="115"/>
      <c r="AJ279" s="119"/>
      <c r="AK279" s="119"/>
      <c r="AL279" s="119"/>
      <c r="AM279" s="561"/>
      <c r="AN279" s="561"/>
      <c r="AO279" s="176"/>
    </row>
    <row r="280" spans="1:41" ht="15.75" customHeight="1" thickBot="1" x14ac:dyDescent="0.4">
      <c r="A280" s="115"/>
      <c r="B280" s="1387"/>
      <c r="C280" s="1387"/>
      <c r="D280" s="115"/>
      <c r="E280" s="115"/>
      <c r="F280" s="115"/>
      <c r="G280" s="115"/>
      <c r="H280" s="115"/>
      <c r="I280" s="115"/>
      <c r="J280" s="115"/>
      <c r="K280" s="115"/>
      <c r="L280" s="115"/>
      <c r="M280" s="115"/>
      <c r="N280" s="115"/>
      <c r="O280" s="115"/>
      <c r="P280" s="115"/>
      <c r="Q280" s="115"/>
      <c r="R280" s="115"/>
      <c r="S280" s="115"/>
      <c r="T280" s="115"/>
      <c r="U280" s="115"/>
      <c r="V280" s="115"/>
      <c r="W280" s="115"/>
      <c r="X280" s="115"/>
      <c r="Y280" s="115"/>
      <c r="Z280" s="115"/>
      <c r="AA280" s="115"/>
      <c r="AB280" s="115"/>
      <c r="AC280" s="115"/>
      <c r="AD280" s="115"/>
      <c r="AE280" s="115"/>
      <c r="AF280" s="115"/>
      <c r="AG280" s="115"/>
      <c r="AH280" s="115"/>
      <c r="AI280" s="115"/>
      <c r="AJ280" s="119"/>
      <c r="AK280" s="119"/>
      <c r="AL280" s="119"/>
      <c r="AM280" s="561"/>
      <c r="AN280" s="561"/>
      <c r="AO280" s="176"/>
    </row>
    <row r="281" spans="1:41" ht="15.75" customHeight="1" thickBot="1" x14ac:dyDescent="0.4">
      <c r="A281" s="115"/>
      <c r="B281" s="1387"/>
      <c r="C281" s="1387"/>
      <c r="D281" s="115"/>
      <c r="E281" s="115"/>
      <c r="F281" s="115"/>
      <c r="G281" s="115"/>
      <c r="H281" s="115"/>
      <c r="I281" s="115"/>
      <c r="J281" s="115"/>
      <c r="K281" s="115"/>
      <c r="L281" s="115"/>
      <c r="M281" s="115"/>
      <c r="N281" s="115"/>
      <c r="O281" s="115"/>
      <c r="P281" s="115"/>
      <c r="Q281" s="115"/>
      <c r="R281" s="115"/>
      <c r="S281" s="115"/>
      <c r="T281" s="115"/>
      <c r="U281" s="115"/>
      <c r="V281" s="115"/>
      <c r="W281" s="115"/>
      <c r="X281" s="115"/>
      <c r="Y281" s="115"/>
      <c r="Z281" s="115"/>
      <c r="AA281" s="115"/>
      <c r="AB281" s="115"/>
      <c r="AC281" s="115"/>
      <c r="AD281" s="115"/>
      <c r="AE281" s="115"/>
      <c r="AF281" s="115"/>
      <c r="AG281" s="115"/>
      <c r="AH281" s="115"/>
      <c r="AI281" s="115"/>
      <c r="AJ281" s="119"/>
      <c r="AK281" s="119"/>
      <c r="AL281" s="119"/>
      <c r="AM281" s="561"/>
      <c r="AN281" s="561"/>
      <c r="AO281" s="176"/>
    </row>
    <row r="282" spans="1:41" ht="15.75" customHeight="1" thickBot="1" x14ac:dyDescent="0.4">
      <c r="A282" s="115"/>
      <c r="B282" s="1387"/>
      <c r="C282" s="1387"/>
      <c r="D282" s="115"/>
      <c r="E282" s="115"/>
      <c r="F282" s="115"/>
      <c r="G282" s="115"/>
      <c r="H282" s="115"/>
      <c r="I282" s="115"/>
      <c r="J282" s="115"/>
      <c r="K282" s="115"/>
      <c r="L282" s="115"/>
      <c r="M282" s="115"/>
      <c r="N282" s="115"/>
      <c r="O282" s="115"/>
      <c r="P282" s="115"/>
      <c r="Q282" s="115"/>
      <c r="R282" s="115"/>
      <c r="S282" s="115"/>
      <c r="T282" s="115"/>
      <c r="U282" s="115"/>
      <c r="V282" s="115"/>
      <c r="W282" s="115"/>
      <c r="X282" s="115"/>
      <c r="Y282" s="115"/>
      <c r="Z282" s="115"/>
      <c r="AA282" s="115"/>
      <c r="AB282" s="115"/>
      <c r="AC282" s="115"/>
      <c r="AD282" s="115"/>
      <c r="AE282" s="115"/>
      <c r="AF282" s="115"/>
      <c r="AG282" s="115"/>
      <c r="AH282" s="115"/>
      <c r="AI282" s="115"/>
      <c r="AJ282" s="119"/>
      <c r="AK282" s="119"/>
      <c r="AL282" s="119"/>
      <c r="AM282" s="561"/>
      <c r="AN282" s="561"/>
      <c r="AO282" s="176"/>
    </row>
    <row r="283" spans="1:41" ht="15.75" customHeight="1" thickBot="1" x14ac:dyDescent="0.4">
      <c r="A283" s="115"/>
      <c r="B283" s="1387"/>
      <c r="C283" s="1387"/>
      <c r="D283" s="115"/>
      <c r="E283" s="115"/>
      <c r="F283" s="115"/>
      <c r="G283" s="115"/>
      <c r="H283" s="115"/>
      <c r="I283" s="115"/>
      <c r="J283" s="115"/>
      <c r="K283" s="115"/>
      <c r="L283" s="115"/>
      <c r="M283" s="115"/>
      <c r="N283" s="115"/>
      <c r="O283" s="115"/>
      <c r="P283" s="115"/>
      <c r="Q283" s="115"/>
      <c r="R283" s="115"/>
      <c r="S283" s="115"/>
      <c r="T283" s="115"/>
      <c r="U283" s="115"/>
      <c r="V283" s="115"/>
      <c r="W283" s="115"/>
      <c r="X283" s="115"/>
      <c r="Y283" s="115"/>
      <c r="Z283" s="115"/>
      <c r="AA283" s="115"/>
      <c r="AB283" s="115"/>
      <c r="AC283" s="115"/>
      <c r="AD283" s="115"/>
      <c r="AE283" s="115"/>
      <c r="AF283" s="115"/>
      <c r="AG283" s="115"/>
      <c r="AH283" s="115"/>
      <c r="AI283" s="115"/>
      <c r="AJ283" s="119"/>
      <c r="AK283" s="119"/>
      <c r="AL283" s="119"/>
      <c r="AM283" s="561"/>
      <c r="AN283" s="561"/>
      <c r="AO283" s="176"/>
    </row>
    <row r="284" spans="1:41" ht="15.75" customHeight="1" thickBot="1" x14ac:dyDescent="0.4">
      <c r="A284" s="115"/>
      <c r="B284" s="1387"/>
      <c r="C284" s="1387"/>
      <c r="D284" s="115"/>
      <c r="E284" s="115"/>
      <c r="F284" s="115"/>
      <c r="G284" s="115"/>
      <c r="H284" s="115"/>
      <c r="I284" s="115"/>
      <c r="J284" s="115"/>
      <c r="K284" s="115"/>
      <c r="L284" s="115"/>
      <c r="M284" s="115"/>
      <c r="N284" s="115"/>
      <c r="O284" s="115"/>
      <c r="P284" s="115"/>
      <c r="Q284" s="115"/>
      <c r="R284" s="115"/>
      <c r="S284" s="115"/>
      <c r="T284" s="115"/>
      <c r="U284" s="115"/>
      <c r="V284" s="115"/>
      <c r="W284" s="115"/>
      <c r="X284" s="115"/>
      <c r="Y284" s="115"/>
      <c r="Z284" s="115"/>
      <c r="AA284" s="115"/>
      <c r="AB284" s="115"/>
      <c r="AC284" s="115"/>
      <c r="AD284" s="115"/>
      <c r="AE284" s="115"/>
      <c r="AF284" s="115"/>
      <c r="AG284" s="115"/>
      <c r="AH284" s="115"/>
      <c r="AI284" s="115"/>
      <c r="AJ284" s="119"/>
      <c r="AK284" s="119"/>
      <c r="AL284" s="119"/>
      <c r="AM284" s="561"/>
      <c r="AN284" s="561"/>
      <c r="AO284" s="176"/>
    </row>
    <row r="285" spans="1:41" ht="15.75" customHeight="1" thickBot="1" x14ac:dyDescent="0.4">
      <c r="A285" s="115"/>
      <c r="B285" s="1387"/>
      <c r="C285" s="1387"/>
      <c r="D285" s="115"/>
      <c r="E285" s="115"/>
      <c r="F285" s="115"/>
      <c r="G285" s="115"/>
      <c r="H285" s="115"/>
      <c r="I285" s="115"/>
      <c r="J285" s="115"/>
      <c r="K285" s="115"/>
      <c r="L285" s="115"/>
      <c r="M285" s="115"/>
      <c r="N285" s="115"/>
      <c r="O285" s="115"/>
      <c r="P285" s="115"/>
      <c r="Q285" s="115"/>
      <c r="R285" s="115"/>
      <c r="S285" s="115"/>
      <c r="T285" s="115"/>
      <c r="U285" s="115"/>
      <c r="V285" s="115"/>
      <c r="W285" s="115"/>
      <c r="X285" s="115"/>
      <c r="Y285" s="115"/>
      <c r="Z285" s="115"/>
      <c r="AA285" s="115"/>
      <c r="AB285" s="115"/>
      <c r="AC285" s="115"/>
      <c r="AD285" s="115"/>
      <c r="AE285" s="115"/>
      <c r="AF285" s="115"/>
      <c r="AG285" s="115"/>
      <c r="AH285" s="115"/>
      <c r="AI285" s="115"/>
      <c r="AJ285" s="119"/>
      <c r="AK285" s="119"/>
      <c r="AL285" s="119"/>
      <c r="AM285" s="561"/>
      <c r="AN285" s="561"/>
      <c r="AO285" s="176"/>
    </row>
    <row r="286" spans="1:41" ht="15.75" customHeight="1" thickBot="1" x14ac:dyDescent="0.4">
      <c r="A286" s="115"/>
      <c r="B286" s="1387"/>
      <c r="C286" s="1387"/>
      <c r="D286" s="115"/>
      <c r="E286" s="115"/>
      <c r="F286" s="115"/>
      <c r="G286" s="115"/>
      <c r="H286" s="115"/>
      <c r="I286" s="115"/>
      <c r="J286" s="115"/>
      <c r="K286" s="115"/>
      <c r="L286" s="115"/>
      <c r="M286" s="115"/>
      <c r="N286" s="115"/>
      <c r="O286" s="115"/>
      <c r="P286" s="115"/>
      <c r="Q286" s="115"/>
      <c r="R286" s="115"/>
      <c r="S286" s="115"/>
      <c r="T286" s="115"/>
      <c r="U286" s="115"/>
      <c r="V286" s="115"/>
      <c r="W286" s="115"/>
      <c r="X286" s="115"/>
      <c r="Y286" s="115"/>
      <c r="Z286" s="115"/>
      <c r="AA286" s="115"/>
      <c r="AB286" s="115"/>
      <c r="AC286" s="115"/>
      <c r="AD286" s="115"/>
      <c r="AE286" s="115"/>
      <c r="AF286" s="115"/>
      <c r="AG286" s="115"/>
      <c r="AH286" s="115"/>
      <c r="AI286" s="115"/>
      <c r="AJ286" s="119"/>
      <c r="AK286" s="119"/>
      <c r="AL286" s="119"/>
      <c r="AM286" s="561"/>
      <c r="AN286" s="561"/>
      <c r="AO286" s="176"/>
    </row>
    <row r="287" spans="1:41" ht="15.75" customHeight="1" thickBot="1" x14ac:dyDescent="0.4">
      <c r="A287" s="115"/>
      <c r="B287" s="1387"/>
      <c r="C287" s="1387"/>
      <c r="D287" s="115"/>
      <c r="E287" s="115"/>
      <c r="F287" s="115"/>
      <c r="G287" s="115"/>
      <c r="H287" s="115"/>
      <c r="I287" s="115"/>
      <c r="J287" s="115"/>
      <c r="K287" s="115"/>
      <c r="L287" s="115"/>
      <c r="M287" s="115"/>
      <c r="N287" s="115"/>
      <c r="O287" s="115"/>
      <c r="P287" s="115"/>
      <c r="Q287" s="115"/>
      <c r="R287" s="115"/>
      <c r="S287" s="115"/>
      <c r="T287" s="115"/>
      <c r="U287" s="115"/>
      <c r="V287" s="115"/>
      <c r="W287" s="115"/>
      <c r="X287" s="115"/>
      <c r="Y287" s="115"/>
      <c r="Z287" s="115"/>
      <c r="AA287" s="115"/>
      <c r="AB287" s="115"/>
      <c r="AC287" s="115"/>
      <c r="AD287" s="115"/>
      <c r="AE287" s="115"/>
      <c r="AF287" s="115"/>
      <c r="AG287" s="115"/>
      <c r="AH287" s="115"/>
      <c r="AI287" s="115"/>
      <c r="AJ287" s="119"/>
      <c r="AK287" s="119"/>
      <c r="AL287" s="119"/>
      <c r="AM287" s="561"/>
      <c r="AN287" s="561"/>
      <c r="AO287" s="176"/>
    </row>
    <row r="288" spans="1:41" ht="15.75" customHeight="1" thickBot="1" x14ac:dyDescent="0.4">
      <c r="A288" s="115"/>
      <c r="B288" s="1387"/>
      <c r="C288" s="1387"/>
      <c r="D288" s="115"/>
      <c r="E288" s="115"/>
      <c r="F288" s="115"/>
      <c r="G288" s="115"/>
      <c r="H288" s="115"/>
      <c r="I288" s="115"/>
      <c r="J288" s="115"/>
      <c r="K288" s="115"/>
      <c r="L288" s="115"/>
      <c r="M288" s="115"/>
      <c r="N288" s="115"/>
      <c r="O288" s="115"/>
      <c r="P288" s="115"/>
      <c r="Q288" s="115"/>
      <c r="R288" s="115"/>
      <c r="S288" s="115"/>
      <c r="T288" s="115"/>
      <c r="U288" s="115"/>
      <c r="V288" s="115"/>
      <c r="W288" s="115"/>
      <c r="X288" s="115"/>
      <c r="Y288" s="115"/>
      <c r="Z288" s="115"/>
      <c r="AA288" s="115"/>
      <c r="AB288" s="115"/>
      <c r="AC288" s="115"/>
      <c r="AD288" s="115"/>
      <c r="AE288" s="115"/>
      <c r="AF288" s="115"/>
      <c r="AG288" s="115"/>
      <c r="AH288" s="115"/>
      <c r="AI288" s="115"/>
      <c r="AJ288" s="119"/>
      <c r="AK288" s="119"/>
      <c r="AL288" s="119"/>
      <c r="AM288" s="561"/>
      <c r="AN288" s="561"/>
      <c r="AO288" s="176"/>
    </row>
    <row r="289" spans="1:41" ht="15.75" customHeight="1" thickBot="1" x14ac:dyDescent="0.4">
      <c r="A289" s="115"/>
      <c r="B289" s="1387"/>
      <c r="C289" s="1387"/>
      <c r="D289" s="115"/>
      <c r="E289" s="115"/>
      <c r="F289" s="115"/>
      <c r="G289" s="115"/>
      <c r="H289" s="115"/>
      <c r="I289" s="115"/>
      <c r="J289" s="115"/>
      <c r="K289" s="115"/>
      <c r="L289" s="115"/>
      <c r="M289" s="115"/>
      <c r="N289" s="115"/>
      <c r="O289" s="115"/>
      <c r="P289" s="115"/>
      <c r="Q289" s="115"/>
      <c r="R289" s="115"/>
      <c r="S289" s="115"/>
      <c r="T289" s="115"/>
      <c r="U289" s="115"/>
      <c r="V289" s="115"/>
      <c r="W289" s="115"/>
      <c r="X289" s="115"/>
      <c r="Y289" s="115"/>
      <c r="Z289" s="115"/>
      <c r="AA289" s="115"/>
      <c r="AB289" s="115"/>
      <c r="AC289" s="115"/>
      <c r="AD289" s="115"/>
      <c r="AE289" s="115"/>
      <c r="AF289" s="115"/>
      <c r="AG289" s="115"/>
      <c r="AH289" s="115"/>
      <c r="AI289" s="115"/>
      <c r="AJ289" s="119"/>
      <c r="AK289" s="119"/>
      <c r="AL289" s="119"/>
      <c r="AM289" s="561"/>
      <c r="AN289" s="561"/>
      <c r="AO289" s="176"/>
    </row>
    <row r="290" spans="1:41" ht="15.75" customHeight="1" thickBot="1" x14ac:dyDescent="0.4">
      <c r="A290" s="115"/>
      <c r="B290" s="1387"/>
      <c r="C290" s="1387"/>
      <c r="D290" s="115"/>
      <c r="E290" s="115"/>
      <c r="F290" s="115"/>
      <c r="G290" s="115"/>
      <c r="H290" s="115"/>
      <c r="I290" s="115"/>
      <c r="J290" s="115"/>
      <c r="K290" s="115"/>
      <c r="L290" s="115"/>
      <c r="M290" s="115"/>
      <c r="N290" s="115"/>
      <c r="O290" s="115"/>
      <c r="P290" s="115"/>
      <c r="Q290" s="115"/>
      <c r="R290" s="115"/>
      <c r="S290" s="115"/>
      <c r="T290" s="115"/>
      <c r="U290" s="115"/>
      <c r="V290" s="115"/>
      <c r="W290" s="115"/>
      <c r="X290" s="115"/>
      <c r="Y290" s="115"/>
      <c r="Z290" s="115"/>
      <c r="AA290" s="115"/>
      <c r="AB290" s="115"/>
      <c r="AC290" s="115"/>
      <c r="AD290" s="115"/>
      <c r="AE290" s="115"/>
      <c r="AF290" s="115"/>
      <c r="AG290" s="115"/>
      <c r="AH290" s="115"/>
      <c r="AI290" s="115"/>
      <c r="AJ290" s="119"/>
      <c r="AK290" s="119"/>
      <c r="AL290" s="119"/>
      <c r="AM290" s="561"/>
      <c r="AN290" s="561"/>
      <c r="AO290" s="176"/>
    </row>
    <row r="291" spans="1:41" ht="15.75" customHeight="1" thickBot="1" x14ac:dyDescent="0.4">
      <c r="A291" s="115"/>
      <c r="B291" s="1387"/>
      <c r="C291" s="1387"/>
      <c r="D291" s="115"/>
      <c r="E291" s="115"/>
      <c r="F291" s="115"/>
      <c r="G291" s="115"/>
      <c r="H291" s="115"/>
      <c r="I291" s="115"/>
      <c r="J291" s="115"/>
      <c r="K291" s="115"/>
      <c r="L291" s="115"/>
      <c r="M291" s="115"/>
      <c r="N291" s="115"/>
      <c r="O291" s="115"/>
      <c r="P291" s="115"/>
      <c r="Q291" s="115"/>
      <c r="R291" s="115"/>
      <c r="S291" s="115"/>
      <c r="T291" s="115"/>
      <c r="U291" s="115"/>
      <c r="V291" s="115"/>
      <c r="W291" s="115"/>
      <c r="X291" s="115"/>
      <c r="Y291" s="115"/>
      <c r="Z291" s="115"/>
      <c r="AA291" s="115"/>
      <c r="AB291" s="115"/>
      <c r="AC291" s="115"/>
      <c r="AD291" s="115"/>
      <c r="AE291" s="115"/>
      <c r="AF291" s="115"/>
      <c r="AG291" s="115"/>
      <c r="AH291" s="115"/>
      <c r="AI291" s="115"/>
      <c r="AJ291" s="119"/>
      <c r="AK291" s="119"/>
      <c r="AL291" s="119"/>
      <c r="AM291" s="561"/>
      <c r="AN291" s="561"/>
      <c r="AO291" s="176"/>
    </row>
    <row r="292" spans="1:41" ht="15.75" customHeight="1" thickBot="1" x14ac:dyDescent="0.4">
      <c r="A292" s="115"/>
      <c r="B292" s="1387"/>
      <c r="C292" s="1387"/>
      <c r="D292" s="115"/>
      <c r="E292" s="115"/>
      <c r="F292" s="115"/>
      <c r="G292" s="115"/>
      <c r="H292" s="115"/>
      <c r="I292" s="115"/>
      <c r="J292" s="115"/>
      <c r="K292" s="115"/>
      <c r="L292" s="115"/>
      <c r="M292" s="115"/>
      <c r="N292" s="115"/>
      <c r="O292" s="115"/>
      <c r="P292" s="115"/>
      <c r="Q292" s="115"/>
      <c r="R292" s="115"/>
      <c r="S292" s="115"/>
      <c r="T292" s="115"/>
      <c r="U292" s="115"/>
      <c r="V292" s="115"/>
      <c r="W292" s="115"/>
      <c r="X292" s="115"/>
      <c r="Y292" s="115"/>
      <c r="Z292" s="115"/>
      <c r="AA292" s="115"/>
      <c r="AB292" s="115"/>
      <c r="AC292" s="115"/>
      <c r="AD292" s="115"/>
      <c r="AE292" s="115"/>
      <c r="AF292" s="115"/>
      <c r="AG292" s="115"/>
      <c r="AH292" s="115"/>
      <c r="AI292" s="115"/>
      <c r="AJ292" s="119"/>
      <c r="AK292" s="119"/>
      <c r="AL292" s="119"/>
      <c r="AM292" s="561"/>
      <c r="AN292" s="561"/>
      <c r="AO292" s="176"/>
    </row>
    <row r="293" spans="1:41" ht="15.75" customHeight="1" thickBot="1" x14ac:dyDescent="0.4">
      <c r="A293" s="115"/>
      <c r="B293" s="1387"/>
      <c r="C293" s="1387"/>
      <c r="D293" s="115"/>
      <c r="E293" s="115"/>
      <c r="F293" s="115"/>
      <c r="G293" s="115"/>
      <c r="H293" s="115"/>
      <c r="I293" s="115"/>
      <c r="J293" s="115"/>
      <c r="K293" s="115"/>
      <c r="L293" s="115"/>
      <c r="M293" s="115"/>
      <c r="N293" s="115"/>
      <c r="O293" s="115"/>
      <c r="P293" s="115"/>
      <c r="Q293" s="115"/>
      <c r="R293" s="115"/>
      <c r="S293" s="115"/>
      <c r="T293" s="115"/>
      <c r="U293" s="115"/>
      <c r="V293" s="115"/>
      <c r="W293" s="115"/>
      <c r="X293" s="115"/>
      <c r="Y293" s="115"/>
      <c r="Z293" s="115"/>
      <c r="AA293" s="115"/>
      <c r="AB293" s="115"/>
      <c r="AC293" s="115"/>
      <c r="AD293" s="115"/>
      <c r="AE293" s="115"/>
      <c r="AF293" s="115"/>
      <c r="AG293" s="115"/>
      <c r="AH293" s="115"/>
      <c r="AI293" s="115"/>
      <c r="AJ293" s="119"/>
      <c r="AK293" s="119"/>
      <c r="AL293" s="119"/>
      <c r="AM293" s="561"/>
      <c r="AN293" s="561"/>
      <c r="AO293" s="176"/>
    </row>
    <row r="294" spans="1:41" ht="15.75" customHeight="1" thickBot="1" x14ac:dyDescent="0.4">
      <c r="A294" s="115"/>
      <c r="B294" s="1387"/>
      <c r="C294" s="1387"/>
      <c r="D294" s="115"/>
      <c r="E294" s="115"/>
      <c r="F294" s="115"/>
      <c r="G294" s="115"/>
      <c r="H294" s="115"/>
      <c r="I294" s="115"/>
      <c r="J294" s="115"/>
      <c r="K294" s="115"/>
      <c r="L294" s="115"/>
      <c r="M294" s="115"/>
      <c r="N294" s="115"/>
      <c r="O294" s="115"/>
      <c r="P294" s="115"/>
      <c r="Q294" s="115"/>
      <c r="R294" s="115"/>
      <c r="S294" s="115"/>
      <c r="T294" s="115"/>
      <c r="U294" s="115"/>
      <c r="V294" s="115"/>
      <c r="W294" s="115"/>
      <c r="X294" s="115"/>
      <c r="Y294" s="115"/>
      <c r="Z294" s="115"/>
      <c r="AA294" s="115"/>
      <c r="AB294" s="115"/>
      <c r="AC294" s="115"/>
      <c r="AD294" s="115"/>
      <c r="AE294" s="115"/>
      <c r="AF294" s="115"/>
      <c r="AG294" s="115"/>
      <c r="AH294" s="115"/>
      <c r="AI294" s="115"/>
      <c r="AJ294" s="119"/>
      <c r="AK294" s="119"/>
      <c r="AL294" s="119"/>
      <c r="AM294" s="561"/>
      <c r="AN294" s="561"/>
      <c r="AO294" s="176"/>
    </row>
    <row r="295" spans="1:41" ht="15.75" customHeight="1" thickBot="1" x14ac:dyDescent="0.4">
      <c r="A295" s="115"/>
      <c r="B295" s="1387"/>
      <c r="C295" s="1387"/>
      <c r="D295" s="115"/>
      <c r="E295" s="115"/>
      <c r="F295" s="115"/>
      <c r="G295" s="115"/>
      <c r="H295" s="115"/>
      <c r="I295" s="115"/>
      <c r="J295" s="115"/>
      <c r="K295" s="115"/>
      <c r="L295" s="115"/>
      <c r="M295" s="115"/>
      <c r="N295" s="115"/>
      <c r="O295" s="115"/>
      <c r="P295" s="115"/>
      <c r="Q295" s="115"/>
      <c r="R295" s="115"/>
      <c r="S295" s="115"/>
      <c r="T295" s="115"/>
      <c r="U295" s="115"/>
      <c r="V295" s="115"/>
      <c r="W295" s="115"/>
      <c r="X295" s="115"/>
      <c r="Y295" s="115"/>
      <c r="Z295" s="115"/>
      <c r="AA295" s="115"/>
      <c r="AB295" s="115"/>
      <c r="AC295" s="115"/>
      <c r="AD295" s="115"/>
      <c r="AE295" s="115"/>
      <c r="AF295" s="115"/>
      <c r="AG295" s="115"/>
      <c r="AH295" s="115"/>
      <c r="AI295" s="115"/>
      <c r="AJ295" s="119"/>
      <c r="AK295" s="119"/>
      <c r="AL295" s="119"/>
      <c r="AM295" s="561"/>
      <c r="AN295" s="561"/>
      <c r="AO295" s="176"/>
    </row>
    <row r="296" spans="1:41" ht="15.75" customHeight="1" thickBot="1" x14ac:dyDescent="0.4">
      <c r="A296" s="115"/>
      <c r="B296" s="1387"/>
      <c r="C296" s="1387"/>
      <c r="D296" s="115"/>
      <c r="E296" s="115"/>
      <c r="F296" s="115"/>
      <c r="G296" s="115"/>
      <c r="H296" s="115"/>
      <c r="I296" s="115"/>
      <c r="J296" s="115"/>
      <c r="K296" s="115"/>
      <c r="L296" s="115"/>
      <c r="M296" s="115"/>
      <c r="N296" s="115"/>
      <c r="O296" s="115"/>
      <c r="P296" s="115"/>
      <c r="Q296" s="115"/>
      <c r="R296" s="115"/>
      <c r="S296" s="115"/>
      <c r="T296" s="115"/>
      <c r="U296" s="115"/>
      <c r="V296" s="115"/>
      <c r="W296" s="115"/>
      <c r="X296" s="115"/>
      <c r="Y296" s="115"/>
      <c r="Z296" s="115"/>
      <c r="AA296" s="115"/>
      <c r="AB296" s="115"/>
      <c r="AC296" s="115"/>
      <c r="AD296" s="115"/>
      <c r="AE296" s="115"/>
      <c r="AF296" s="115"/>
      <c r="AG296" s="115"/>
      <c r="AH296" s="115"/>
      <c r="AI296" s="115"/>
      <c r="AJ296" s="119"/>
      <c r="AK296" s="119"/>
      <c r="AL296" s="119"/>
      <c r="AM296" s="561"/>
      <c r="AN296" s="561"/>
      <c r="AO296" s="176"/>
    </row>
    <row r="297" spans="1:41" ht="15.75" customHeight="1" thickBot="1" x14ac:dyDescent="0.4">
      <c r="A297" s="115"/>
      <c r="B297" s="1387"/>
      <c r="C297" s="1387"/>
      <c r="D297" s="115"/>
      <c r="E297" s="115"/>
      <c r="F297" s="115"/>
      <c r="G297" s="115"/>
      <c r="H297" s="115"/>
      <c r="I297" s="115"/>
      <c r="J297" s="115"/>
      <c r="K297" s="115"/>
      <c r="L297" s="115"/>
      <c r="M297" s="115"/>
      <c r="N297" s="115"/>
      <c r="O297" s="115"/>
      <c r="P297" s="115"/>
      <c r="Q297" s="115"/>
      <c r="R297" s="115"/>
      <c r="S297" s="115"/>
      <c r="T297" s="115"/>
      <c r="U297" s="115"/>
      <c r="V297" s="115"/>
      <c r="W297" s="115"/>
      <c r="X297" s="115"/>
      <c r="Y297" s="115"/>
      <c r="Z297" s="115"/>
      <c r="AA297" s="115"/>
      <c r="AB297" s="115"/>
      <c r="AC297" s="115"/>
      <c r="AD297" s="115"/>
      <c r="AE297" s="115"/>
      <c r="AF297" s="115"/>
      <c r="AG297" s="115"/>
      <c r="AH297" s="115"/>
      <c r="AI297" s="115"/>
      <c r="AJ297" s="119"/>
      <c r="AK297" s="119"/>
      <c r="AL297" s="119"/>
      <c r="AM297" s="561"/>
      <c r="AN297" s="561"/>
      <c r="AO297" s="176"/>
    </row>
    <row r="298" spans="1:41" ht="15.75" customHeight="1" thickBot="1" x14ac:dyDescent="0.4">
      <c r="A298" s="115"/>
      <c r="B298" s="1387"/>
      <c r="C298" s="1387"/>
      <c r="D298" s="115"/>
      <c r="E298" s="115"/>
      <c r="F298" s="115"/>
      <c r="G298" s="115"/>
      <c r="H298" s="115"/>
      <c r="I298" s="115"/>
      <c r="J298" s="115"/>
      <c r="K298" s="115"/>
      <c r="L298" s="115"/>
      <c r="M298" s="115"/>
      <c r="N298" s="115"/>
      <c r="O298" s="115"/>
      <c r="P298" s="115"/>
      <c r="Q298" s="115"/>
      <c r="R298" s="115"/>
      <c r="S298" s="115"/>
      <c r="T298" s="115"/>
      <c r="U298" s="115"/>
      <c r="V298" s="115"/>
      <c r="W298" s="115"/>
      <c r="X298" s="115"/>
      <c r="Y298" s="115"/>
      <c r="Z298" s="115"/>
      <c r="AA298" s="115"/>
      <c r="AB298" s="115"/>
      <c r="AC298" s="115"/>
      <c r="AD298" s="115"/>
      <c r="AE298" s="115"/>
      <c r="AF298" s="115"/>
      <c r="AG298" s="115"/>
      <c r="AH298" s="115"/>
      <c r="AI298" s="115"/>
      <c r="AJ298" s="119"/>
      <c r="AK298" s="119"/>
      <c r="AL298" s="119"/>
      <c r="AM298" s="561"/>
      <c r="AN298" s="561"/>
      <c r="AO298" s="176"/>
    </row>
    <row r="299" spans="1:41" ht="15.75" customHeight="1" thickBot="1" x14ac:dyDescent="0.4">
      <c r="A299" s="115"/>
      <c r="B299" s="1387"/>
      <c r="C299" s="1387"/>
      <c r="D299" s="115"/>
      <c r="E299" s="115"/>
      <c r="F299" s="115"/>
      <c r="G299" s="115"/>
      <c r="H299" s="115"/>
      <c r="I299" s="115"/>
      <c r="J299" s="115"/>
      <c r="K299" s="115"/>
      <c r="L299" s="115"/>
      <c r="M299" s="115"/>
      <c r="N299" s="115"/>
      <c r="O299" s="115"/>
      <c r="P299" s="115"/>
      <c r="Q299" s="115"/>
      <c r="R299" s="115"/>
      <c r="S299" s="115"/>
      <c r="T299" s="115"/>
      <c r="U299" s="115"/>
      <c r="V299" s="115"/>
      <c r="W299" s="115"/>
      <c r="X299" s="115"/>
      <c r="Y299" s="115"/>
      <c r="Z299" s="115"/>
      <c r="AA299" s="115"/>
      <c r="AB299" s="115"/>
      <c r="AC299" s="115"/>
      <c r="AD299" s="115"/>
      <c r="AE299" s="115"/>
      <c r="AF299" s="115"/>
      <c r="AG299" s="115"/>
      <c r="AH299" s="115"/>
      <c r="AI299" s="115"/>
      <c r="AJ299" s="119"/>
      <c r="AK299" s="119"/>
      <c r="AL299" s="119"/>
      <c r="AM299" s="561"/>
      <c r="AN299" s="561"/>
      <c r="AO299" s="176"/>
    </row>
    <row r="300" spans="1:41" ht="15.75" customHeight="1" thickBot="1" x14ac:dyDescent="0.4">
      <c r="A300" s="115"/>
      <c r="B300" s="1387"/>
      <c r="C300" s="1387"/>
      <c r="D300" s="115"/>
      <c r="E300" s="115"/>
      <c r="F300" s="115"/>
      <c r="G300" s="115"/>
      <c r="H300" s="115"/>
      <c r="I300" s="115"/>
      <c r="J300" s="115"/>
      <c r="K300" s="115"/>
      <c r="L300" s="115"/>
      <c r="M300" s="115"/>
      <c r="N300" s="115"/>
      <c r="O300" s="115"/>
      <c r="P300" s="115"/>
      <c r="Q300" s="115"/>
      <c r="R300" s="115"/>
      <c r="S300" s="115"/>
      <c r="T300" s="115"/>
      <c r="U300" s="115"/>
      <c r="V300" s="115"/>
      <c r="W300" s="115"/>
      <c r="X300" s="115"/>
      <c r="Y300" s="115"/>
      <c r="Z300" s="115"/>
      <c r="AA300" s="115"/>
      <c r="AB300" s="115"/>
      <c r="AC300" s="115"/>
      <c r="AD300" s="115"/>
      <c r="AE300" s="115"/>
      <c r="AF300" s="115"/>
      <c r="AG300" s="115"/>
      <c r="AH300" s="115"/>
      <c r="AI300" s="115"/>
      <c r="AJ300" s="119"/>
      <c r="AK300" s="119"/>
      <c r="AL300" s="119"/>
      <c r="AM300" s="561"/>
      <c r="AN300" s="561"/>
      <c r="AO300" s="176"/>
    </row>
    <row r="301" spans="1:41" ht="15.75" customHeight="1" thickBot="1" x14ac:dyDescent="0.4">
      <c r="A301" s="115"/>
      <c r="B301" s="1387"/>
      <c r="C301" s="1387"/>
      <c r="D301" s="115"/>
      <c r="E301" s="115"/>
      <c r="F301" s="115"/>
      <c r="G301" s="115"/>
      <c r="H301" s="115"/>
      <c r="I301" s="115"/>
      <c r="J301" s="115"/>
      <c r="K301" s="115"/>
      <c r="L301" s="115"/>
      <c r="M301" s="115"/>
      <c r="N301" s="115"/>
      <c r="O301" s="115"/>
      <c r="P301" s="115"/>
      <c r="Q301" s="115"/>
      <c r="R301" s="115"/>
      <c r="S301" s="115"/>
      <c r="T301" s="115"/>
      <c r="U301" s="115"/>
      <c r="V301" s="115"/>
      <c r="W301" s="115"/>
      <c r="X301" s="115"/>
      <c r="Y301" s="115"/>
      <c r="Z301" s="115"/>
      <c r="AA301" s="115"/>
      <c r="AB301" s="115"/>
      <c r="AC301" s="115"/>
      <c r="AD301" s="115"/>
      <c r="AE301" s="115"/>
      <c r="AF301" s="115"/>
      <c r="AG301" s="115"/>
      <c r="AH301" s="115"/>
      <c r="AI301" s="115"/>
      <c r="AJ301" s="119"/>
      <c r="AK301" s="119"/>
      <c r="AL301" s="119"/>
      <c r="AM301" s="561"/>
      <c r="AN301" s="561"/>
      <c r="AO301" s="176"/>
    </row>
    <row r="302" spans="1:41" ht="15.75" customHeight="1" thickBot="1" x14ac:dyDescent="0.4">
      <c r="A302" s="115"/>
      <c r="B302" s="1387"/>
      <c r="C302" s="1387"/>
      <c r="D302" s="115"/>
      <c r="E302" s="115"/>
      <c r="F302" s="115"/>
      <c r="G302" s="115"/>
      <c r="H302" s="115"/>
      <c r="I302" s="115"/>
      <c r="J302" s="115"/>
      <c r="K302" s="115"/>
      <c r="L302" s="115"/>
      <c r="M302" s="115"/>
      <c r="N302" s="115"/>
      <c r="O302" s="115"/>
      <c r="P302" s="115"/>
      <c r="Q302" s="115"/>
      <c r="R302" s="115"/>
      <c r="S302" s="115"/>
      <c r="T302" s="115"/>
      <c r="U302" s="115"/>
      <c r="V302" s="115"/>
      <c r="W302" s="115"/>
      <c r="X302" s="115"/>
      <c r="Y302" s="115"/>
      <c r="Z302" s="115"/>
      <c r="AA302" s="115"/>
      <c r="AB302" s="115"/>
      <c r="AC302" s="115"/>
      <c r="AD302" s="115"/>
      <c r="AE302" s="115"/>
      <c r="AF302" s="115"/>
      <c r="AG302" s="115"/>
      <c r="AH302" s="115"/>
      <c r="AI302" s="115"/>
      <c r="AJ302" s="119"/>
      <c r="AK302" s="119"/>
      <c r="AL302" s="119"/>
      <c r="AM302" s="561"/>
      <c r="AN302" s="561"/>
      <c r="AO302" s="176"/>
    </row>
    <row r="303" spans="1:41" ht="15.75" customHeight="1" thickBot="1" x14ac:dyDescent="0.4">
      <c r="A303" s="115"/>
      <c r="B303" s="1387"/>
      <c r="C303" s="1387"/>
      <c r="D303" s="115"/>
      <c r="E303" s="115"/>
      <c r="F303" s="115"/>
      <c r="G303" s="115"/>
      <c r="H303" s="115"/>
      <c r="I303" s="115"/>
      <c r="J303" s="115"/>
      <c r="K303" s="115"/>
      <c r="L303" s="115"/>
      <c r="M303" s="115"/>
      <c r="N303" s="115"/>
      <c r="O303" s="115"/>
      <c r="P303" s="115"/>
      <c r="Q303" s="115"/>
      <c r="R303" s="115"/>
      <c r="S303" s="115"/>
      <c r="T303" s="115"/>
      <c r="U303" s="115"/>
      <c r="V303" s="115"/>
      <c r="W303" s="115"/>
      <c r="X303" s="115"/>
      <c r="Y303" s="115"/>
      <c r="Z303" s="115"/>
      <c r="AA303" s="115"/>
      <c r="AB303" s="115"/>
      <c r="AC303" s="115"/>
      <c r="AD303" s="115"/>
      <c r="AE303" s="115"/>
      <c r="AF303" s="115"/>
      <c r="AG303" s="115"/>
      <c r="AH303" s="115"/>
      <c r="AI303" s="115"/>
      <c r="AJ303" s="119"/>
      <c r="AK303" s="119"/>
      <c r="AL303" s="119"/>
      <c r="AM303" s="561"/>
      <c r="AN303" s="561"/>
      <c r="AO303" s="176"/>
    </row>
    <row r="304" spans="1:41" ht="15.75" customHeight="1" thickBot="1" x14ac:dyDescent="0.4">
      <c r="A304" s="115"/>
      <c r="B304" s="1387"/>
      <c r="C304" s="1387"/>
      <c r="D304" s="115"/>
      <c r="E304" s="115"/>
      <c r="F304" s="115"/>
      <c r="G304" s="115"/>
      <c r="H304" s="115"/>
      <c r="I304" s="115"/>
      <c r="J304" s="115"/>
      <c r="K304" s="115"/>
      <c r="L304" s="115"/>
      <c r="M304" s="115"/>
      <c r="N304" s="115"/>
      <c r="O304" s="115"/>
      <c r="P304" s="115"/>
      <c r="Q304" s="115"/>
      <c r="R304" s="115"/>
      <c r="S304" s="115"/>
      <c r="T304" s="115"/>
      <c r="U304" s="115"/>
      <c r="V304" s="115"/>
      <c r="W304" s="115"/>
      <c r="X304" s="115"/>
      <c r="Y304" s="115"/>
      <c r="Z304" s="115"/>
      <c r="AA304" s="115"/>
      <c r="AB304" s="115"/>
      <c r="AC304" s="115"/>
      <c r="AD304" s="115"/>
      <c r="AE304" s="115"/>
      <c r="AF304" s="115"/>
      <c r="AG304" s="115"/>
      <c r="AH304" s="115"/>
      <c r="AI304" s="115"/>
      <c r="AJ304" s="119"/>
      <c r="AK304" s="119"/>
      <c r="AL304" s="119"/>
      <c r="AM304" s="561"/>
      <c r="AN304" s="561"/>
      <c r="AO304" s="176"/>
    </row>
    <row r="305" spans="1:41" ht="15.75" customHeight="1" thickBot="1" x14ac:dyDescent="0.4">
      <c r="A305" s="115"/>
      <c r="B305" s="1387"/>
      <c r="C305" s="1387"/>
      <c r="D305" s="115"/>
      <c r="E305" s="115"/>
      <c r="F305" s="115"/>
      <c r="G305" s="115"/>
      <c r="H305" s="115"/>
      <c r="I305" s="115"/>
      <c r="J305" s="115"/>
      <c r="K305" s="115"/>
      <c r="L305" s="115"/>
      <c r="M305" s="115"/>
      <c r="N305" s="115"/>
      <c r="O305" s="115"/>
      <c r="P305" s="115"/>
      <c r="Q305" s="115"/>
      <c r="R305" s="115"/>
      <c r="S305" s="115"/>
      <c r="T305" s="115"/>
      <c r="U305" s="115"/>
      <c r="V305" s="115"/>
      <c r="W305" s="115"/>
      <c r="X305" s="115"/>
      <c r="Y305" s="115"/>
      <c r="Z305" s="115"/>
      <c r="AA305" s="115"/>
      <c r="AB305" s="115"/>
      <c r="AC305" s="115"/>
      <c r="AD305" s="115"/>
      <c r="AE305" s="115"/>
      <c r="AF305" s="115"/>
      <c r="AG305" s="115"/>
      <c r="AH305" s="115"/>
      <c r="AI305" s="115"/>
      <c r="AJ305" s="119"/>
      <c r="AK305" s="119"/>
      <c r="AL305" s="119"/>
      <c r="AM305" s="561"/>
      <c r="AN305" s="561"/>
      <c r="AO305" s="176"/>
    </row>
    <row r="306" spans="1:41" ht="15.75" customHeight="1" thickBot="1" x14ac:dyDescent="0.4">
      <c r="A306" s="115"/>
      <c r="B306" s="1387"/>
      <c r="C306" s="1387"/>
      <c r="D306" s="115"/>
      <c r="E306" s="115"/>
      <c r="F306" s="115"/>
      <c r="G306" s="115"/>
      <c r="H306" s="115"/>
      <c r="I306" s="115"/>
      <c r="J306" s="115"/>
      <c r="K306" s="115"/>
      <c r="L306" s="115"/>
      <c r="M306" s="115"/>
      <c r="N306" s="115"/>
      <c r="O306" s="115"/>
      <c r="P306" s="115"/>
      <c r="Q306" s="115"/>
      <c r="R306" s="115"/>
      <c r="S306" s="115"/>
      <c r="T306" s="115"/>
      <c r="U306" s="115"/>
      <c r="V306" s="115"/>
      <c r="W306" s="115"/>
      <c r="X306" s="115"/>
      <c r="Y306" s="115"/>
      <c r="Z306" s="115"/>
      <c r="AA306" s="115"/>
      <c r="AB306" s="115"/>
      <c r="AC306" s="115"/>
      <c r="AD306" s="115"/>
      <c r="AE306" s="115"/>
      <c r="AF306" s="115"/>
      <c r="AG306" s="115"/>
      <c r="AH306" s="115"/>
      <c r="AI306" s="115"/>
      <c r="AJ306" s="119"/>
      <c r="AK306" s="119"/>
      <c r="AL306" s="119"/>
      <c r="AM306" s="561"/>
      <c r="AN306" s="561"/>
      <c r="AO306" s="176"/>
    </row>
    <row r="307" spans="1:41" ht="15.75" customHeight="1" thickBot="1" x14ac:dyDescent="0.4">
      <c r="A307" s="115"/>
      <c r="B307" s="1387"/>
      <c r="C307" s="1387"/>
      <c r="D307" s="115"/>
      <c r="E307" s="115"/>
      <c r="F307" s="115"/>
      <c r="G307" s="115"/>
      <c r="H307" s="115"/>
      <c r="I307" s="115"/>
      <c r="J307" s="115"/>
      <c r="K307" s="115"/>
      <c r="L307" s="115"/>
      <c r="M307" s="115"/>
      <c r="N307" s="115"/>
      <c r="O307" s="115"/>
      <c r="P307" s="115"/>
      <c r="Q307" s="115"/>
      <c r="R307" s="115"/>
      <c r="S307" s="115"/>
      <c r="T307" s="115"/>
      <c r="U307" s="115"/>
      <c r="V307" s="115"/>
      <c r="W307" s="115"/>
      <c r="X307" s="115"/>
      <c r="Y307" s="115"/>
      <c r="Z307" s="115"/>
      <c r="AA307" s="115"/>
      <c r="AB307" s="115"/>
      <c r="AC307" s="115"/>
      <c r="AD307" s="115"/>
      <c r="AE307" s="115"/>
      <c r="AF307" s="115"/>
      <c r="AG307" s="115"/>
      <c r="AH307" s="115"/>
      <c r="AI307" s="115"/>
      <c r="AJ307" s="119"/>
      <c r="AK307" s="119"/>
      <c r="AL307" s="119"/>
      <c r="AM307" s="561"/>
      <c r="AN307" s="561"/>
      <c r="AO307" s="176"/>
    </row>
    <row r="308" spans="1:41" ht="15.75" customHeight="1" thickBot="1" x14ac:dyDescent="0.4">
      <c r="A308" s="115"/>
      <c r="B308" s="1387"/>
      <c r="C308" s="1387"/>
      <c r="D308" s="115"/>
      <c r="E308" s="115"/>
      <c r="F308" s="115"/>
      <c r="G308" s="115"/>
      <c r="H308" s="115"/>
      <c r="I308" s="115"/>
      <c r="J308" s="115"/>
      <c r="K308" s="115"/>
      <c r="L308" s="115"/>
      <c r="M308" s="115"/>
      <c r="N308" s="115"/>
      <c r="O308" s="115"/>
      <c r="P308" s="115"/>
      <c r="Q308" s="115"/>
      <c r="R308" s="115"/>
      <c r="S308" s="115"/>
      <c r="T308" s="115"/>
      <c r="U308" s="115"/>
      <c r="V308" s="115"/>
      <c r="W308" s="115"/>
      <c r="X308" s="115"/>
      <c r="Y308" s="115"/>
      <c r="Z308" s="115"/>
      <c r="AA308" s="115"/>
      <c r="AB308" s="115"/>
      <c r="AC308" s="115"/>
      <c r="AD308" s="115"/>
      <c r="AE308" s="115"/>
      <c r="AF308" s="115"/>
      <c r="AG308" s="115"/>
      <c r="AH308" s="115"/>
      <c r="AI308" s="115"/>
      <c r="AJ308" s="119"/>
      <c r="AK308" s="119"/>
      <c r="AL308" s="119"/>
      <c r="AM308" s="561"/>
      <c r="AN308" s="561"/>
      <c r="AO308" s="176"/>
    </row>
    <row r="309" spans="1:41" ht="15.75" customHeight="1" thickBot="1" x14ac:dyDescent="0.4">
      <c r="A309" s="115"/>
      <c r="B309" s="1387"/>
      <c r="C309" s="1387"/>
      <c r="D309" s="115"/>
      <c r="E309" s="115"/>
      <c r="F309" s="115"/>
      <c r="G309" s="115"/>
      <c r="H309" s="115"/>
      <c r="I309" s="115"/>
      <c r="J309" s="115"/>
      <c r="K309" s="115"/>
      <c r="L309" s="115"/>
      <c r="M309" s="115"/>
      <c r="N309" s="115"/>
      <c r="O309" s="115"/>
      <c r="P309" s="115"/>
      <c r="Q309" s="115"/>
      <c r="R309" s="115"/>
      <c r="S309" s="115"/>
      <c r="T309" s="115"/>
      <c r="U309" s="115"/>
      <c r="V309" s="115"/>
      <c r="W309" s="115"/>
      <c r="X309" s="115"/>
      <c r="Y309" s="115"/>
      <c r="Z309" s="115"/>
      <c r="AA309" s="115"/>
      <c r="AB309" s="115"/>
      <c r="AC309" s="115"/>
      <c r="AD309" s="115"/>
      <c r="AE309" s="115"/>
      <c r="AF309" s="115"/>
      <c r="AG309" s="115"/>
      <c r="AH309" s="115"/>
      <c r="AI309" s="115"/>
      <c r="AJ309" s="119"/>
      <c r="AK309" s="119"/>
      <c r="AL309" s="119"/>
      <c r="AM309" s="561"/>
      <c r="AN309" s="561"/>
      <c r="AO309" s="176"/>
    </row>
    <row r="310" spans="1:41" ht="15.75" customHeight="1" thickBot="1" x14ac:dyDescent="0.4">
      <c r="A310" s="115"/>
      <c r="B310" s="1387"/>
      <c r="C310" s="1387"/>
      <c r="D310" s="115"/>
      <c r="E310" s="115"/>
      <c r="F310" s="115"/>
      <c r="G310" s="115"/>
      <c r="H310" s="115"/>
      <c r="I310" s="115"/>
      <c r="J310" s="115"/>
      <c r="K310" s="115"/>
      <c r="L310" s="115"/>
      <c r="M310" s="115"/>
      <c r="N310" s="115"/>
      <c r="O310" s="115"/>
      <c r="P310" s="115"/>
      <c r="Q310" s="115"/>
      <c r="R310" s="115"/>
      <c r="S310" s="115"/>
      <c r="T310" s="115"/>
      <c r="U310" s="115"/>
      <c r="V310" s="115"/>
      <c r="W310" s="115"/>
      <c r="X310" s="115"/>
      <c r="Y310" s="115"/>
      <c r="Z310" s="115"/>
      <c r="AA310" s="115"/>
      <c r="AB310" s="115"/>
      <c r="AC310" s="115"/>
      <c r="AD310" s="115"/>
      <c r="AE310" s="115"/>
      <c r="AF310" s="115"/>
      <c r="AG310" s="115"/>
      <c r="AH310" s="115"/>
      <c r="AI310" s="115"/>
      <c r="AJ310" s="119"/>
      <c r="AK310" s="119"/>
      <c r="AL310" s="119"/>
      <c r="AM310" s="561"/>
      <c r="AN310" s="561"/>
      <c r="AO310" s="176"/>
    </row>
    <row r="311" spans="1:41" ht="15.75" customHeight="1" thickBot="1" x14ac:dyDescent="0.4">
      <c r="A311" s="115"/>
      <c r="B311" s="1387"/>
      <c r="C311" s="1387"/>
      <c r="D311" s="115"/>
      <c r="E311" s="115"/>
      <c r="F311" s="115"/>
      <c r="G311" s="115"/>
      <c r="H311" s="115"/>
      <c r="I311" s="115"/>
      <c r="J311" s="115"/>
      <c r="K311" s="115"/>
      <c r="L311" s="115"/>
      <c r="M311" s="115"/>
      <c r="N311" s="115"/>
      <c r="O311" s="115"/>
      <c r="P311" s="115"/>
      <c r="Q311" s="115"/>
      <c r="R311" s="115"/>
      <c r="S311" s="115"/>
      <c r="T311" s="115"/>
      <c r="U311" s="115"/>
      <c r="V311" s="115"/>
      <c r="W311" s="115"/>
      <c r="X311" s="115"/>
      <c r="Y311" s="115"/>
      <c r="Z311" s="115"/>
      <c r="AA311" s="115"/>
      <c r="AB311" s="115"/>
      <c r="AC311" s="115"/>
      <c r="AD311" s="115"/>
      <c r="AE311" s="115"/>
      <c r="AF311" s="115"/>
      <c r="AG311" s="115"/>
      <c r="AH311" s="115"/>
      <c r="AI311" s="115"/>
      <c r="AJ311" s="119"/>
      <c r="AK311" s="119"/>
      <c r="AL311" s="119"/>
      <c r="AM311" s="561"/>
      <c r="AN311" s="561"/>
      <c r="AO311" s="176"/>
    </row>
    <row r="312" spans="1:41" ht="15.75" customHeight="1" thickBot="1" x14ac:dyDescent="0.4">
      <c r="A312" s="115"/>
      <c r="B312" s="1387"/>
      <c r="C312" s="1387"/>
      <c r="D312" s="115"/>
      <c r="E312" s="115"/>
      <c r="F312" s="115"/>
      <c r="G312" s="115"/>
      <c r="H312" s="115"/>
      <c r="I312" s="115"/>
      <c r="J312" s="115"/>
      <c r="K312" s="115"/>
      <c r="L312" s="115"/>
      <c r="M312" s="115"/>
      <c r="N312" s="115"/>
      <c r="O312" s="115"/>
      <c r="P312" s="115"/>
      <c r="Q312" s="115"/>
      <c r="R312" s="115"/>
      <c r="S312" s="115"/>
      <c r="T312" s="115"/>
      <c r="U312" s="115"/>
      <c r="V312" s="115"/>
      <c r="W312" s="115"/>
      <c r="X312" s="115"/>
      <c r="Y312" s="115"/>
      <c r="Z312" s="115"/>
      <c r="AA312" s="115"/>
      <c r="AB312" s="115"/>
      <c r="AC312" s="115"/>
      <c r="AD312" s="115"/>
      <c r="AE312" s="115"/>
      <c r="AF312" s="115"/>
      <c r="AG312" s="115"/>
      <c r="AH312" s="115"/>
      <c r="AI312" s="115"/>
      <c r="AJ312" s="119"/>
      <c r="AK312" s="119"/>
      <c r="AL312" s="119"/>
      <c r="AM312" s="561"/>
      <c r="AN312" s="561"/>
      <c r="AO312" s="176"/>
    </row>
    <row r="313" spans="1:41" ht="15.75" customHeight="1" thickBot="1" x14ac:dyDescent="0.4">
      <c r="A313" s="115"/>
      <c r="B313" s="1387"/>
      <c r="C313" s="1387"/>
      <c r="D313" s="115"/>
      <c r="E313" s="115"/>
      <c r="F313" s="115"/>
      <c r="G313" s="115"/>
      <c r="H313" s="115"/>
      <c r="I313" s="115"/>
      <c r="J313" s="115"/>
      <c r="K313" s="115"/>
      <c r="L313" s="115"/>
      <c r="M313" s="115"/>
      <c r="N313" s="115"/>
      <c r="O313" s="115"/>
      <c r="P313" s="115"/>
      <c r="Q313" s="115"/>
      <c r="R313" s="115"/>
      <c r="S313" s="115"/>
      <c r="T313" s="115"/>
      <c r="U313" s="115"/>
      <c r="V313" s="115"/>
      <c r="W313" s="115"/>
      <c r="X313" s="115"/>
      <c r="Y313" s="115"/>
      <c r="Z313" s="115"/>
      <c r="AA313" s="115"/>
      <c r="AB313" s="115"/>
      <c r="AC313" s="115"/>
      <c r="AD313" s="115"/>
      <c r="AE313" s="115"/>
      <c r="AF313" s="115"/>
      <c r="AG313" s="115"/>
      <c r="AH313" s="115"/>
      <c r="AI313" s="115"/>
      <c r="AJ313" s="119"/>
      <c r="AK313" s="119"/>
      <c r="AL313" s="119"/>
      <c r="AM313" s="561"/>
      <c r="AN313" s="561"/>
      <c r="AO313" s="176"/>
    </row>
    <row r="314" spans="1:41" ht="15.75" customHeight="1" thickBot="1" x14ac:dyDescent="0.4">
      <c r="A314" s="115"/>
      <c r="B314" s="1387"/>
      <c r="C314" s="1387"/>
      <c r="D314" s="115"/>
      <c r="E314" s="115"/>
      <c r="F314" s="115"/>
      <c r="G314" s="115"/>
      <c r="H314" s="115"/>
      <c r="I314" s="115"/>
      <c r="J314" s="115"/>
      <c r="K314" s="115"/>
      <c r="L314" s="115"/>
      <c r="M314" s="115"/>
      <c r="N314" s="115"/>
      <c r="O314" s="115"/>
      <c r="P314" s="115"/>
      <c r="Q314" s="115"/>
      <c r="R314" s="115"/>
      <c r="S314" s="115"/>
      <c r="T314" s="115"/>
      <c r="U314" s="115"/>
      <c r="V314" s="115"/>
      <c r="W314" s="115"/>
      <c r="X314" s="115"/>
      <c r="Y314" s="115"/>
      <c r="Z314" s="115"/>
      <c r="AA314" s="115"/>
      <c r="AB314" s="115"/>
      <c r="AC314" s="115"/>
      <c r="AD314" s="115"/>
      <c r="AE314" s="115"/>
      <c r="AF314" s="115"/>
      <c r="AG314" s="115"/>
      <c r="AH314" s="115"/>
      <c r="AI314" s="115"/>
      <c r="AJ314" s="119"/>
      <c r="AK314" s="119"/>
      <c r="AL314" s="119"/>
      <c r="AM314" s="561"/>
      <c r="AN314" s="561"/>
      <c r="AO314" s="176"/>
    </row>
    <row r="315" spans="1:41" ht="15.75" customHeight="1" thickBot="1" x14ac:dyDescent="0.4">
      <c r="A315" s="115"/>
      <c r="B315" s="1387"/>
      <c r="C315" s="1387"/>
      <c r="D315" s="115"/>
      <c r="E315" s="115"/>
      <c r="F315" s="115"/>
      <c r="G315" s="115"/>
      <c r="H315" s="115"/>
      <c r="I315" s="115"/>
      <c r="J315" s="115"/>
      <c r="K315" s="115"/>
      <c r="L315" s="115"/>
      <c r="M315" s="115"/>
      <c r="N315" s="115"/>
      <c r="O315" s="115"/>
      <c r="P315" s="115"/>
      <c r="Q315" s="115"/>
      <c r="R315" s="115"/>
      <c r="S315" s="115"/>
      <c r="T315" s="115"/>
      <c r="U315" s="115"/>
      <c r="V315" s="115"/>
      <c r="W315" s="115"/>
      <c r="X315" s="115"/>
      <c r="Y315" s="115"/>
      <c r="Z315" s="115"/>
      <c r="AA315" s="115"/>
      <c r="AB315" s="115"/>
      <c r="AC315" s="115"/>
      <c r="AD315" s="115"/>
      <c r="AE315" s="115"/>
      <c r="AF315" s="115"/>
      <c r="AG315" s="115"/>
      <c r="AH315" s="115"/>
      <c r="AI315" s="115"/>
      <c r="AJ315" s="119"/>
      <c r="AK315" s="119"/>
      <c r="AL315" s="119"/>
      <c r="AM315" s="561"/>
      <c r="AN315" s="561"/>
      <c r="AO315" s="176"/>
    </row>
    <row r="316" spans="1:41" ht="15.75" customHeight="1" thickBot="1" x14ac:dyDescent="0.4">
      <c r="A316" s="115"/>
      <c r="B316" s="1387"/>
      <c r="C316" s="1387"/>
      <c r="D316" s="115"/>
      <c r="E316" s="115"/>
      <c r="F316" s="115"/>
      <c r="G316" s="115"/>
      <c r="H316" s="115"/>
      <c r="I316" s="115"/>
      <c r="J316" s="115"/>
      <c r="K316" s="115"/>
      <c r="L316" s="115"/>
      <c r="M316" s="115"/>
      <c r="N316" s="115"/>
      <c r="O316" s="115"/>
      <c r="P316" s="115"/>
      <c r="Q316" s="115"/>
      <c r="R316" s="115"/>
      <c r="S316" s="115"/>
      <c r="T316" s="115"/>
      <c r="U316" s="115"/>
      <c r="V316" s="115"/>
      <c r="W316" s="115"/>
      <c r="X316" s="115"/>
      <c r="Y316" s="115"/>
      <c r="Z316" s="115"/>
      <c r="AA316" s="115"/>
      <c r="AB316" s="115"/>
      <c r="AC316" s="115"/>
      <c r="AD316" s="115"/>
      <c r="AE316" s="115"/>
      <c r="AF316" s="115"/>
      <c r="AG316" s="115"/>
      <c r="AH316" s="115"/>
      <c r="AI316" s="115"/>
      <c r="AJ316" s="119"/>
      <c r="AK316" s="119"/>
      <c r="AL316" s="119"/>
      <c r="AM316" s="561"/>
      <c r="AN316" s="561"/>
      <c r="AO316" s="176"/>
    </row>
    <row r="317" spans="1:41" ht="15.75" customHeight="1" thickBot="1" x14ac:dyDescent="0.4">
      <c r="A317" s="115"/>
      <c r="B317" s="1387"/>
      <c r="C317" s="1387"/>
      <c r="D317" s="115"/>
      <c r="E317" s="115"/>
      <c r="F317" s="115"/>
      <c r="G317" s="115"/>
      <c r="H317" s="115"/>
      <c r="I317" s="115"/>
      <c r="J317" s="115"/>
      <c r="K317" s="115"/>
      <c r="L317" s="115"/>
      <c r="M317" s="115"/>
      <c r="N317" s="115"/>
      <c r="O317" s="115"/>
      <c r="P317" s="115"/>
      <c r="Q317" s="115"/>
      <c r="R317" s="115"/>
      <c r="S317" s="115"/>
      <c r="T317" s="115"/>
      <c r="U317" s="115"/>
      <c r="V317" s="115"/>
      <c r="W317" s="115"/>
      <c r="X317" s="115"/>
      <c r="Y317" s="115"/>
      <c r="Z317" s="115"/>
      <c r="AA317" s="115"/>
      <c r="AB317" s="115"/>
      <c r="AC317" s="115"/>
      <c r="AD317" s="115"/>
      <c r="AE317" s="115"/>
      <c r="AF317" s="115"/>
      <c r="AG317" s="115"/>
      <c r="AH317" s="115"/>
      <c r="AI317" s="115"/>
      <c r="AJ317" s="119"/>
      <c r="AK317" s="119"/>
      <c r="AL317" s="119"/>
      <c r="AM317" s="561"/>
      <c r="AN317" s="561"/>
      <c r="AO317" s="176"/>
    </row>
    <row r="318" spans="1:41" ht="15.75" customHeight="1" thickBot="1" x14ac:dyDescent="0.4">
      <c r="A318" s="115"/>
      <c r="B318" s="1387"/>
      <c r="C318" s="1387"/>
      <c r="D318" s="115"/>
      <c r="E318" s="115"/>
      <c r="F318" s="115"/>
      <c r="G318" s="115"/>
      <c r="H318" s="115"/>
      <c r="I318" s="115"/>
      <c r="J318" s="115"/>
      <c r="K318" s="115"/>
      <c r="L318" s="115"/>
      <c r="M318" s="115"/>
      <c r="N318" s="115"/>
      <c r="O318" s="115"/>
      <c r="P318" s="115"/>
      <c r="Q318" s="115"/>
      <c r="R318" s="115"/>
      <c r="S318" s="115"/>
      <c r="T318" s="115"/>
      <c r="U318" s="115"/>
      <c r="V318" s="115"/>
      <c r="W318" s="115"/>
      <c r="X318" s="115"/>
      <c r="Y318" s="115"/>
      <c r="Z318" s="115"/>
      <c r="AA318" s="115"/>
      <c r="AB318" s="115"/>
      <c r="AC318" s="115"/>
      <c r="AD318" s="115"/>
      <c r="AE318" s="115"/>
      <c r="AF318" s="115"/>
      <c r="AG318" s="115"/>
      <c r="AH318" s="115"/>
      <c r="AI318" s="115"/>
      <c r="AJ318" s="119"/>
      <c r="AK318" s="119"/>
      <c r="AL318" s="119"/>
      <c r="AM318" s="561"/>
      <c r="AN318" s="561"/>
      <c r="AO318" s="176"/>
    </row>
    <row r="319" spans="1:41" ht="15.75" customHeight="1" thickBot="1" x14ac:dyDescent="0.4">
      <c r="A319" s="115"/>
      <c r="B319" s="1387"/>
      <c r="C319" s="1387"/>
      <c r="D319" s="115"/>
      <c r="E319" s="115"/>
      <c r="F319" s="115"/>
      <c r="G319" s="115"/>
      <c r="H319" s="115"/>
      <c r="I319" s="115"/>
      <c r="J319" s="115"/>
      <c r="K319" s="115"/>
      <c r="L319" s="115"/>
      <c r="M319" s="115"/>
      <c r="N319" s="115"/>
      <c r="O319" s="115"/>
      <c r="P319" s="115"/>
      <c r="Q319" s="115"/>
      <c r="R319" s="115"/>
      <c r="S319" s="115"/>
      <c r="T319" s="115"/>
      <c r="U319" s="115"/>
      <c r="V319" s="115"/>
      <c r="W319" s="115"/>
      <c r="X319" s="115"/>
      <c r="Y319" s="115"/>
      <c r="Z319" s="115"/>
      <c r="AA319" s="115"/>
      <c r="AB319" s="115"/>
      <c r="AC319" s="115"/>
      <c r="AD319" s="115"/>
      <c r="AE319" s="115"/>
      <c r="AF319" s="115"/>
      <c r="AG319" s="115"/>
      <c r="AH319" s="115"/>
      <c r="AI319" s="115"/>
      <c r="AJ319" s="119"/>
      <c r="AK319" s="119"/>
      <c r="AL319" s="119"/>
      <c r="AM319" s="561"/>
      <c r="AN319" s="561"/>
      <c r="AO319" s="176"/>
    </row>
    <row r="320" spans="1:41" ht="15.75" customHeight="1" thickBot="1" x14ac:dyDescent="0.4">
      <c r="A320" s="115"/>
      <c r="B320" s="1387"/>
      <c r="C320" s="1387"/>
      <c r="D320" s="115"/>
      <c r="E320" s="115"/>
      <c r="F320" s="115"/>
      <c r="G320" s="115"/>
      <c r="H320" s="115"/>
      <c r="I320" s="115"/>
      <c r="J320" s="115"/>
      <c r="K320" s="115"/>
      <c r="L320" s="115"/>
      <c r="M320" s="115"/>
      <c r="N320" s="115"/>
      <c r="O320" s="115"/>
      <c r="P320" s="115"/>
      <c r="Q320" s="115"/>
      <c r="R320" s="115"/>
      <c r="S320" s="115"/>
      <c r="T320" s="115"/>
      <c r="U320" s="115"/>
      <c r="V320" s="115"/>
      <c r="W320" s="115"/>
      <c r="X320" s="115"/>
      <c r="Y320" s="115"/>
      <c r="Z320" s="115"/>
      <c r="AA320" s="115"/>
      <c r="AB320" s="115"/>
      <c r="AC320" s="115"/>
      <c r="AD320" s="115"/>
      <c r="AE320" s="115"/>
      <c r="AF320" s="115"/>
      <c r="AG320" s="115"/>
      <c r="AH320" s="115"/>
      <c r="AI320" s="115"/>
      <c r="AJ320" s="119"/>
      <c r="AK320" s="119"/>
      <c r="AL320" s="119"/>
      <c r="AM320" s="561"/>
      <c r="AN320" s="561"/>
      <c r="AO320" s="176"/>
    </row>
    <row r="321" spans="1:41" ht="15.75" customHeight="1" thickBot="1" x14ac:dyDescent="0.4">
      <c r="A321" s="115"/>
      <c r="B321" s="1387"/>
      <c r="C321" s="1387"/>
      <c r="D321" s="115"/>
      <c r="E321" s="115"/>
      <c r="F321" s="115"/>
      <c r="G321" s="115"/>
      <c r="H321" s="115"/>
      <c r="I321" s="115"/>
      <c r="J321" s="115"/>
      <c r="K321" s="115"/>
      <c r="L321" s="115"/>
      <c r="M321" s="115"/>
      <c r="N321" s="115"/>
      <c r="O321" s="115"/>
      <c r="P321" s="115"/>
      <c r="Q321" s="115"/>
      <c r="R321" s="115"/>
      <c r="S321" s="115"/>
      <c r="T321" s="115"/>
      <c r="U321" s="115"/>
      <c r="V321" s="115"/>
      <c r="W321" s="115"/>
      <c r="X321" s="115"/>
      <c r="Y321" s="115"/>
      <c r="Z321" s="115"/>
      <c r="AA321" s="115"/>
      <c r="AB321" s="115"/>
      <c r="AC321" s="115"/>
      <c r="AD321" s="115"/>
      <c r="AE321" s="115"/>
      <c r="AF321" s="115"/>
      <c r="AG321" s="115"/>
      <c r="AH321" s="115"/>
      <c r="AI321" s="115"/>
      <c r="AJ321" s="119"/>
      <c r="AK321" s="119"/>
      <c r="AL321" s="119"/>
      <c r="AM321" s="561"/>
      <c r="AN321" s="561"/>
      <c r="AO321" s="176"/>
    </row>
    <row r="322" spans="1:41" ht="15.75" customHeight="1" thickBot="1" x14ac:dyDescent="0.4">
      <c r="A322" s="115"/>
      <c r="B322" s="1387"/>
      <c r="C322" s="1387"/>
      <c r="D322" s="115"/>
      <c r="E322" s="115"/>
      <c r="F322" s="115"/>
      <c r="G322" s="115"/>
      <c r="H322" s="115"/>
      <c r="I322" s="115"/>
      <c r="J322" s="115"/>
      <c r="K322" s="115"/>
      <c r="L322" s="115"/>
      <c r="M322" s="115"/>
      <c r="N322" s="115"/>
      <c r="O322" s="115"/>
      <c r="P322" s="115"/>
      <c r="Q322" s="115"/>
      <c r="R322" s="115"/>
      <c r="S322" s="115"/>
      <c r="T322" s="115"/>
      <c r="U322" s="115"/>
      <c r="V322" s="115"/>
      <c r="W322" s="115"/>
      <c r="X322" s="115"/>
      <c r="Y322" s="115"/>
      <c r="Z322" s="115"/>
      <c r="AA322" s="115"/>
      <c r="AB322" s="115"/>
      <c r="AC322" s="115"/>
      <c r="AD322" s="115"/>
      <c r="AE322" s="115"/>
      <c r="AF322" s="115"/>
      <c r="AG322" s="115"/>
      <c r="AH322" s="115"/>
      <c r="AI322" s="115"/>
      <c r="AJ322" s="119"/>
      <c r="AK322" s="119"/>
      <c r="AL322" s="119"/>
      <c r="AM322" s="561"/>
      <c r="AN322" s="561"/>
      <c r="AO322" s="176"/>
    </row>
    <row r="323" spans="1:41" ht="15.75" customHeight="1" thickBot="1" x14ac:dyDescent="0.4">
      <c r="A323" s="115"/>
      <c r="B323" s="1387"/>
      <c r="C323" s="1387"/>
      <c r="D323" s="115"/>
      <c r="E323" s="115"/>
      <c r="F323" s="115"/>
      <c r="G323" s="115"/>
      <c r="H323" s="115"/>
      <c r="I323" s="115"/>
      <c r="J323" s="115"/>
      <c r="K323" s="115"/>
      <c r="L323" s="115"/>
      <c r="M323" s="115"/>
      <c r="N323" s="115"/>
      <c r="O323" s="115"/>
      <c r="P323" s="115"/>
      <c r="Q323" s="115"/>
      <c r="R323" s="115"/>
      <c r="S323" s="115"/>
      <c r="T323" s="115"/>
      <c r="U323" s="115"/>
      <c r="V323" s="115"/>
      <c r="W323" s="115"/>
      <c r="X323" s="115"/>
      <c r="Y323" s="115"/>
      <c r="Z323" s="115"/>
      <c r="AA323" s="115"/>
      <c r="AB323" s="115"/>
      <c r="AC323" s="115"/>
      <c r="AD323" s="115"/>
      <c r="AE323" s="115"/>
      <c r="AF323" s="115"/>
      <c r="AG323" s="115"/>
      <c r="AH323" s="115"/>
      <c r="AI323" s="115"/>
      <c r="AJ323" s="119"/>
      <c r="AK323" s="119"/>
      <c r="AL323" s="119"/>
      <c r="AM323" s="561"/>
      <c r="AN323" s="561"/>
      <c r="AO323" s="176"/>
    </row>
    <row r="324" spans="1:41" ht="15.75" customHeight="1" thickBot="1" x14ac:dyDescent="0.4">
      <c r="A324" s="115"/>
      <c r="B324" s="1387"/>
      <c r="C324" s="1387"/>
      <c r="D324" s="115"/>
      <c r="E324" s="115"/>
      <c r="F324" s="115"/>
      <c r="G324" s="115"/>
      <c r="H324" s="115"/>
      <c r="I324" s="115"/>
      <c r="J324" s="115"/>
      <c r="K324" s="115"/>
      <c r="L324" s="115"/>
      <c r="M324" s="115"/>
      <c r="N324" s="115"/>
      <c r="O324" s="115"/>
      <c r="P324" s="115"/>
      <c r="Q324" s="115"/>
      <c r="R324" s="115"/>
      <c r="S324" s="115"/>
      <c r="T324" s="115"/>
      <c r="U324" s="115"/>
      <c r="V324" s="115"/>
      <c r="W324" s="115"/>
      <c r="X324" s="115"/>
      <c r="Y324" s="115"/>
      <c r="Z324" s="115"/>
      <c r="AA324" s="115"/>
      <c r="AB324" s="115"/>
      <c r="AC324" s="115"/>
      <c r="AD324" s="115"/>
      <c r="AE324" s="115"/>
      <c r="AF324" s="115"/>
      <c r="AG324" s="115"/>
      <c r="AH324" s="115"/>
      <c r="AI324" s="115"/>
      <c r="AJ324" s="119"/>
      <c r="AK324" s="119"/>
      <c r="AL324" s="119"/>
      <c r="AM324" s="561"/>
      <c r="AN324" s="561"/>
      <c r="AO324" s="176"/>
    </row>
    <row r="325" spans="1:41" ht="15.75" customHeight="1" thickBot="1" x14ac:dyDescent="0.4">
      <c r="A325" s="115"/>
      <c r="B325" s="1387"/>
      <c r="C325" s="1387"/>
      <c r="D325" s="115"/>
      <c r="E325" s="115"/>
      <c r="F325" s="115"/>
      <c r="G325" s="115"/>
      <c r="H325" s="115"/>
      <c r="I325" s="115"/>
      <c r="J325" s="115"/>
      <c r="K325" s="115"/>
      <c r="L325" s="115"/>
      <c r="M325" s="115"/>
      <c r="N325" s="115"/>
      <c r="O325" s="115"/>
      <c r="P325" s="115"/>
      <c r="Q325" s="115"/>
      <c r="R325" s="115"/>
      <c r="S325" s="115"/>
      <c r="T325" s="115"/>
      <c r="U325" s="115"/>
      <c r="V325" s="115"/>
      <c r="W325" s="115"/>
      <c r="X325" s="115"/>
      <c r="Y325" s="115"/>
      <c r="Z325" s="115"/>
      <c r="AA325" s="115"/>
      <c r="AB325" s="115"/>
      <c r="AC325" s="115"/>
      <c r="AD325" s="115"/>
      <c r="AE325" s="115"/>
      <c r="AF325" s="115"/>
      <c r="AG325" s="115"/>
      <c r="AH325" s="115"/>
      <c r="AI325" s="115"/>
      <c r="AJ325" s="119"/>
      <c r="AK325" s="119"/>
      <c r="AL325" s="119"/>
      <c r="AM325" s="561"/>
      <c r="AN325" s="561"/>
      <c r="AO325" s="176"/>
    </row>
    <row r="326" spans="1:41" ht="15.75" customHeight="1" thickBot="1" x14ac:dyDescent="0.4">
      <c r="A326" s="115"/>
      <c r="B326" s="1387"/>
      <c r="C326" s="1387"/>
      <c r="D326" s="115"/>
      <c r="E326" s="115"/>
      <c r="F326" s="115"/>
      <c r="G326" s="115"/>
      <c r="H326" s="115"/>
      <c r="I326" s="115"/>
      <c r="J326" s="115"/>
      <c r="K326" s="115"/>
      <c r="L326" s="115"/>
      <c r="M326" s="115"/>
      <c r="N326" s="115"/>
      <c r="O326" s="115"/>
      <c r="P326" s="115"/>
      <c r="Q326" s="115"/>
      <c r="R326" s="115"/>
      <c r="S326" s="115"/>
      <c r="T326" s="115"/>
      <c r="U326" s="115"/>
      <c r="V326" s="115"/>
      <c r="W326" s="115"/>
      <c r="X326" s="115"/>
      <c r="Y326" s="115"/>
      <c r="Z326" s="115"/>
      <c r="AA326" s="115"/>
      <c r="AB326" s="115"/>
      <c r="AC326" s="115"/>
      <c r="AD326" s="115"/>
      <c r="AE326" s="115"/>
      <c r="AF326" s="115"/>
      <c r="AG326" s="115"/>
      <c r="AH326" s="115"/>
      <c r="AI326" s="115"/>
      <c r="AJ326" s="119"/>
      <c r="AK326" s="119"/>
      <c r="AL326" s="119"/>
      <c r="AM326" s="561"/>
      <c r="AN326" s="561"/>
      <c r="AO326" s="176"/>
    </row>
    <row r="327" spans="1:41" ht="15.75" customHeight="1" thickBot="1" x14ac:dyDescent="0.4">
      <c r="A327" s="115"/>
      <c r="B327" s="1387"/>
      <c r="C327" s="1387"/>
      <c r="D327" s="115"/>
      <c r="E327" s="115"/>
      <c r="F327" s="115"/>
      <c r="G327" s="115"/>
      <c r="H327" s="115"/>
      <c r="I327" s="115"/>
      <c r="J327" s="115"/>
      <c r="K327" s="115"/>
      <c r="L327" s="115"/>
      <c r="M327" s="115"/>
      <c r="N327" s="115"/>
      <c r="O327" s="115"/>
      <c r="P327" s="115"/>
      <c r="Q327" s="115"/>
      <c r="R327" s="115"/>
      <c r="S327" s="115"/>
      <c r="T327" s="115"/>
      <c r="U327" s="115"/>
      <c r="V327" s="115"/>
      <c r="W327" s="115"/>
      <c r="X327" s="115"/>
      <c r="Y327" s="115"/>
      <c r="Z327" s="115"/>
      <c r="AA327" s="115"/>
      <c r="AB327" s="115"/>
      <c r="AC327" s="115"/>
      <c r="AD327" s="115"/>
      <c r="AE327" s="115"/>
      <c r="AF327" s="115"/>
      <c r="AG327" s="115"/>
      <c r="AH327" s="115"/>
      <c r="AI327" s="115"/>
      <c r="AJ327" s="119"/>
      <c r="AK327" s="119"/>
      <c r="AL327" s="119"/>
      <c r="AM327" s="561"/>
      <c r="AN327" s="561"/>
      <c r="AO327" s="176"/>
    </row>
    <row r="328" spans="1:41" ht="15.75" customHeight="1" thickBot="1" x14ac:dyDescent="0.4">
      <c r="A328" s="115"/>
      <c r="B328" s="1387"/>
      <c r="C328" s="1387"/>
      <c r="D328" s="115"/>
      <c r="E328" s="115"/>
      <c r="F328" s="115"/>
      <c r="G328" s="115"/>
      <c r="H328" s="115"/>
      <c r="I328" s="115"/>
      <c r="J328" s="115"/>
      <c r="K328" s="115"/>
      <c r="L328" s="115"/>
      <c r="M328" s="115"/>
      <c r="N328" s="115"/>
      <c r="O328" s="115"/>
      <c r="P328" s="115"/>
      <c r="Q328" s="115"/>
      <c r="R328" s="115"/>
      <c r="S328" s="115"/>
      <c r="T328" s="115"/>
      <c r="U328" s="115"/>
      <c r="V328" s="115"/>
      <c r="W328" s="115"/>
      <c r="X328" s="115"/>
      <c r="Y328" s="115"/>
      <c r="Z328" s="115"/>
      <c r="AA328" s="115"/>
      <c r="AB328" s="115"/>
      <c r="AC328" s="115"/>
      <c r="AD328" s="115"/>
      <c r="AE328" s="115"/>
      <c r="AF328" s="115"/>
      <c r="AG328" s="115"/>
      <c r="AH328" s="115"/>
      <c r="AI328" s="115"/>
      <c r="AJ328" s="119"/>
      <c r="AK328" s="119"/>
      <c r="AL328" s="119"/>
      <c r="AM328" s="561"/>
      <c r="AN328" s="561"/>
      <c r="AO328" s="176"/>
    </row>
    <row r="329" spans="1:41" ht="15.75" customHeight="1" thickBot="1" x14ac:dyDescent="0.4">
      <c r="A329" s="115"/>
      <c r="B329" s="1387"/>
      <c r="C329" s="1387"/>
      <c r="D329" s="115"/>
      <c r="E329" s="115"/>
      <c r="F329" s="115"/>
      <c r="G329" s="115"/>
      <c r="H329" s="115"/>
      <c r="I329" s="115"/>
      <c r="J329" s="115"/>
      <c r="K329" s="115"/>
      <c r="L329" s="115"/>
      <c r="M329" s="115"/>
      <c r="N329" s="115"/>
      <c r="O329" s="115"/>
      <c r="P329" s="115"/>
      <c r="Q329" s="115"/>
      <c r="R329" s="115"/>
      <c r="S329" s="115"/>
      <c r="T329" s="115"/>
      <c r="U329" s="115"/>
      <c r="V329" s="115"/>
      <c r="W329" s="115"/>
      <c r="X329" s="115"/>
      <c r="Y329" s="115"/>
      <c r="Z329" s="115"/>
      <c r="AA329" s="115"/>
      <c r="AB329" s="115"/>
      <c r="AC329" s="115"/>
      <c r="AD329" s="115"/>
      <c r="AE329" s="115"/>
      <c r="AF329" s="115"/>
      <c r="AG329" s="115"/>
      <c r="AH329" s="115"/>
      <c r="AI329" s="115"/>
      <c r="AJ329" s="119"/>
      <c r="AK329" s="119"/>
      <c r="AL329" s="119"/>
      <c r="AM329" s="561"/>
      <c r="AN329" s="561"/>
      <c r="AO329" s="176"/>
    </row>
    <row r="330" spans="1:41" ht="15.75" customHeight="1" thickBot="1" x14ac:dyDescent="0.4">
      <c r="A330" s="115"/>
      <c r="B330" s="1387"/>
      <c r="C330" s="1387"/>
      <c r="D330" s="115"/>
      <c r="E330" s="115"/>
      <c r="F330" s="115"/>
      <c r="G330" s="115"/>
      <c r="H330" s="115"/>
      <c r="I330" s="115"/>
      <c r="J330" s="115"/>
      <c r="K330" s="115"/>
      <c r="L330" s="115"/>
      <c r="M330" s="115"/>
      <c r="N330" s="115"/>
      <c r="O330" s="115"/>
      <c r="P330" s="115"/>
      <c r="Q330" s="115"/>
      <c r="R330" s="115"/>
      <c r="S330" s="115"/>
      <c r="T330" s="115"/>
      <c r="U330" s="115"/>
      <c r="V330" s="115"/>
      <c r="W330" s="115"/>
      <c r="X330" s="115"/>
      <c r="Y330" s="115"/>
      <c r="Z330" s="115"/>
      <c r="AA330" s="115"/>
      <c r="AB330" s="115"/>
      <c r="AC330" s="115"/>
      <c r="AD330" s="115"/>
      <c r="AE330" s="115"/>
      <c r="AF330" s="115"/>
      <c r="AG330" s="115"/>
      <c r="AH330" s="115"/>
      <c r="AI330" s="115"/>
      <c r="AJ330" s="119"/>
      <c r="AK330" s="119"/>
      <c r="AL330" s="119"/>
      <c r="AM330" s="561"/>
      <c r="AN330" s="561"/>
      <c r="AO330" s="176"/>
    </row>
    <row r="331" spans="1:41" ht="15.75" customHeight="1" thickBot="1" x14ac:dyDescent="0.4">
      <c r="A331" s="115"/>
      <c r="B331" s="1387"/>
      <c r="C331" s="1387"/>
      <c r="D331" s="115"/>
      <c r="E331" s="115"/>
      <c r="F331" s="115"/>
      <c r="G331" s="115"/>
      <c r="H331" s="115"/>
      <c r="I331" s="115"/>
      <c r="J331" s="115"/>
      <c r="K331" s="115"/>
      <c r="L331" s="115"/>
      <c r="M331" s="115"/>
      <c r="N331" s="115"/>
      <c r="O331" s="115"/>
      <c r="P331" s="115"/>
      <c r="Q331" s="115"/>
      <c r="R331" s="115"/>
      <c r="S331" s="115"/>
      <c r="T331" s="115"/>
      <c r="U331" s="115"/>
      <c r="V331" s="115"/>
      <c r="W331" s="115"/>
      <c r="X331" s="115"/>
      <c r="Y331" s="115"/>
      <c r="Z331" s="115"/>
      <c r="AA331" s="115"/>
      <c r="AB331" s="115"/>
      <c r="AC331" s="115"/>
      <c r="AD331" s="115"/>
      <c r="AE331" s="115"/>
      <c r="AF331" s="115"/>
      <c r="AG331" s="115"/>
      <c r="AH331" s="115"/>
      <c r="AI331" s="115"/>
      <c r="AJ331" s="119"/>
      <c r="AK331" s="119"/>
      <c r="AL331" s="119"/>
      <c r="AM331" s="561"/>
      <c r="AN331" s="561"/>
      <c r="AO331" s="176"/>
    </row>
    <row r="332" spans="1:41" ht="15.75" customHeight="1" thickBot="1" x14ac:dyDescent="0.4">
      <c r="A332" s="115"/>
      <c r="B332" s="1387"/>
      <c r="C332" s="1387"/>
      <c r="D332" s="115"/>
      <c r="E332" s="115"/>
      <c r="F332" s="115"/>
      <c r="G332" s="115"/>
      <c r="H332" s="115"/>
      <c r="I332" s="115"/>
      <c r="J332" s="115"/>
      <c r="K332" s="115"/>
      <c r="L332" s="115"/>
      <c r="M332" s="115"/>
      <c r="N332" s="115"/>
      <c r="O332" s="115"/>
      <c r="P332" s="115"/>
      <c r="Q332" s="115"/>
      <c r="R332" s="115"/>
      <c r="S332" s="115"/>
      <c r="T332" s="115"/>
      <c r="U332" s="115"/>
      <c r="V332" s="115"/>
      <c r="W332" s="115"/>
      <c r="X332" s="115"/>
      <c r="Y332" s="115"/>
      <c r="Z332" s="115"/>
      <c r="AA332" s="115"/>
      <c r="AB332" s="115"/>
      <c r="AC332" s="115"/>
      <c r="AD332" s="115"/>
      <c r="AE332" s="115"/>
      <c r="AF332" s="115"/>
      <c r="AG332" s="115"/>
      <c r="AH332" s="115"/>
      <c r="AI332" s="115"/>
      <c r="AJ332" s="119"/>
      <c r="AK332" s="119"/>
      <c r="AL332" s="119"/>
      <c r="AM332" s="561"/>
      <c r="AN332" s="561"/>
      <c r="AO332" s="176"/>
    </row>
    <row r="333" spans="1:41" ht="15.75" customHeight="1" thickBot="1" x14ac:dyDescent="0.4">
      <c r="A333" s="115"/>
      <c r="B333" s="1387"/>
      <c r="C333" s="1387"/>
      <c r="D333" s="115"/>
      <c r="E333" s="115"/>
      <c r="F333" s="115"/>
      <c r="G333" s="115"/>
      <c r="H333" s="115"/>
      <c r="I333" s="115"/>
      <c r="J333" s="115"/>
      <c r="K333" s="115"/>
      <c r="L333" s="115"/>
      <c r="M333" s="115"/>
      <c r="N333" s="115"/>
      <c r="O333" s="115"/>
      <c r="P333" s="115"/>
      <c r="Q333" s="115"/>
      <c r="R333" s="115"/>
      <c r="S333" s="115"/>
      <c r="T333" s="115"/>
      <c r="U333" s="115"/>
      <c r="V333" s="115"/>
      <c r="W333" s="115"/>
      <c r="X333" s="115"/>
      <c r="Y333" s="115"/>
      <c r="Z333" s="115"/>
      <c r="AA333" s="115"/>
      <c r="AB333" s="115"/>
      <c r="AC333" s="115"/>
      <c r="AD333" s="115"/>
      <c r="AE333" s="115"/>
      <c r="AF333" s="115"/>
      <c r="AG333" s="115"/>
      <c r="AH333" s="115"/>
      <c r="AI333" s="115"/>
      <c r="AJ333" s="119"/>
      <c r="AK333" s="119"/>
      <c r="AL333" s="119"/>
      <c r="AM333" s="561"/>
      <c r="AN333" s="561"/>
      <c r="AO333" s="176"/>
    </row>
    <row r="334" spans="1:41" ht="15.75" customHeight="1" thickBot="1" x14ac:dyDescent="0.4">
      <c r="A334" s="115"/>
      <c r="B334" s="1387"/>
      <c r="C334" s="1387"/>
      <c r="D334" s="115"/>
      <c r="E334" s="115"/>
      <c r="F334" s="115"/>
      <c r="G334" s="115"/>
      <c r="H334" s="115"/>
      <c r="I334" s="115"/>
      <c r="J334" s="115"/>
      <c r="K334" s="115"/>
      <c r="L334" s="115"/>
      <c r="M334" s="115"/>
      <c r="N334" s="115"/>
      <c r="O334" s="115"/>
      <c r="P334" s="115"/>
      <c r="Q334" s="115"/>
      <c r="R334" s="115"/>
      <c r="S334" s="115"/>
      <c r="T334" s="115"/>
      <c r="U334" s="115"/>
      <c r="V334" s="115"/>
      <c r="W334" s="115"/>
      <c r="X334" s="115"/>
      <c r="Y334" s="115"/>
      <c r="Z334" s="115"/>
      <c r="AA334" s="115"/>
      <c r="AB334" s="115"/>
      <c r="AC334" s="115"/>
      <c r="AD334" s="115"/>
      <c r="AE334" s="115"/>
      <c r="AF334" s="115"/>
      <c r="AG334" s="115"/>
      <c r="AH334" s="115"/>
      <c r="AI334" s="115"/>
      <c r="AJ334" s="119"/>
      <c r="AK334" s="119"/>
      <c r="AL334" s="119"/>
      <c r="AM334" s="561"/>
      <c r="AN334" s="561"/>
      <c r="AO334" s="176"/>
    </row>
    <row r="335" spans="1:41" ht="15.75" customHeight="1" thickBot="1" x14ac:dyDescent="0.4">
      <c r="A335" s="115"/>
      <c r="B335" s="1387"/>
      <c r="C335" s="1387"/>
      <c r="D335" s="115"/>
      <c r="E335" s="115"/>
      <c r="F335" s="115"/>
      <c r="G335" s="115"/>
      <c r="H335" s="115"/>
      <c r="I335" s="115"/>
      <c r="J335" s="115"/>
      <c r="K335" s="115"/>
      <c r="L335" s="115"/>
      <c r="M335" s="115"/>
      <c r="N335" s="115"/>
      <c r="O335" s="115"/>
      <c r="P335" s="115"/>
      <c r="Q335" s="115"/>
      <c r="R335" s="115"/>
      <c r="S335" s="115"/>
      <c r="T335" s="115"/>
      <c r="U335" s="115"/>
      <c r="V335" s="115"/>
      <c r="W335" s="115"/>
      <c r="X335" s="115"/>
      <c r="Y335" s="115"/>
      <c r="Z335" s="115"/>
      <c r="AA335" s="115"/>
      <c r="AB335" s="115"/>
      <c r="AC335" s="115"/>
      <c r="AD335" s="115"/>
      <c r="AE335" s="115"/>
      <c r="AF335" s="115"/>
      <c r="AG335" s="115"/>
      <c r="AH335" s="115"/>
      <c r="AI335" s="115"/>
      <c r="AJ335" s="119"/>
      <c r="AK335" s="119"/>
      <c r="AL335" s="119"/>
      <c r="AM335" s="561"/>
      <c r="AN335" s="561"/>
      <c r="AO335" s="176"/>
    </row>
    <row r="336" spans="1:41" ht="15.75" customHeight="1" thickBot="1" x14ac:dyDescent="0.4">
      <c r="A336" s="115"/>
      <c r="B336" s="1387"/>
      <c r="C336" s="1387"/>
      <c r="D336" s="115"/>
      <c r="E336" s="115"/>
      <c r="F336" s="115"/>
      <c r="G336" s="115"/>
      <c r="H336" s="115"/>
      <c r="I336" s="115"/>
      <c r="J336" s="115"/>
      <c r="K336" s="115"/>
      <c r="L336" s="115"/>
      <c r="M336" s="115"/>
      <c r="N336" s="115"/>
      <c r="O336" s="115"/>
      <c r="P336" s="115"/>
      <c r="Q336" s="115"/>
      <c r="R336" s="115"/>
      <c r="S336" s="115"/>
      <c r="T336" s="115"/>
      <c r="U336" s="115"/>
      <c r="V336" s="115"/>
      <c r="W336" s="115"/>
      <c r="X336" s="115"/>
      <c r="Y336" s="115"/>
      <c r="Z336" s="115"/>
      <c r="AA336" s="115"/>
      <c r="AB336" s="115"/>
      <c r="AC336" s="115"/>
      <c r="AD336" s="115"/>
      <c r="AE336" s="115"/>
      <c r="AF336" s="115"/>
      <c r="AG336" s="115"/>
      <c r="AH336" s="115"/>
      <c r="AI336" s="115"/>
      <c r="AJ336" s="119"/>
      <c r="AK336" s="119"/>
      <c r="AL336" s="119"/>
      <c r="AM336" s="561"/>
      <c r="AN336" s="561"/>
      <c r="AO336" s="176"/>
    </row>
    <row r="337" spans="1:41" ht="15.75" customHeight="1" thickBot="1" x14ac:dyDescent="0.4">
      <c r="A337" s="115"/>
      <c r="B337" s="1387"/>
      <c r="C337" s="1387"/>
      <c r="D337" s="115"/>
      <c r="E337" s="115"/>
      <c r="F337" s="115"/>
      <c r="G337" s="115"/>
      <c r="H337" s="115"/>
      <c r="I337" s="115"/>
      <c r="J337" s="115"/>
      <c r="K337" s="115"/>
      <c r="L337" s="115"/>
      <c r="M337" s="115"/>
      <c r="N337" s="115"/>
      <c r="O337" s="115"/>
      <c r="P337" s="115"/>
      <c r="Q337" s="115"/>
      <c r="R337" s="115"/>
      <c r="S337" s="115"/>
      <c r="T337" s="115"/>
      <c r="U337" s="115"/>
      <c r="V337" s="115"/>
      <c r="W337" s="115"/>
      <c r="X337" s="115"/>
      <c r="Y337" s="115"/>
      <c r="Z337" s="115"/>
      <c r="AA337" s="115"/>
      <c r="AB337" s="115"/>
      <c r="AC337" s="115"/>
      <c r="AD337" s="115"/>
      <c r="AE337" s="115"/>
      <c r="AF337" s="115"/>
      <c r="AG337" s="115"/>
      <c r="AH337" s="115"/>
      <c r="AI337" s="115"/>
      <c r="AJ337" s="119"/>
      <c r="AK337" s="119"/>
      <c r="AL337" s="119"/>
      <c r="AM337" s="561"/>
      <c r="AN337" s="561"/>
      <c r="AO337" s="176"/>
    </row>
    <row r="338" spans="1:41" ht="15.75" customHeight="1" thickBot="1" x14ac:dyDescent="0.4">
      <c r="A338" s="115"/>
      <c r="B338" s="1387"/>
      <c r="C338" s="1387"/>
      <c r="D338" s="115"/>
      <c r="E338" s="115"/>
      <c r="F338" s="115"/>
      <c r="G338" s="115"/>
      <c r="H338" s="115"/>
      <c r="I338" s="115"/>
      <c r="J338" s="115"/>
      <c r="K338" s="115"/>
      <c r="L338" s="115"/>
      <c r="M338" s="115"/>
      <c r="N338" s="115"/>
      <c r="O338" s="115"/>
      <c r="P338" s="115"/>
      <c r="Q338" s="115"/>
      <c r="R338" s="115"/>
      <c r="S338" s="115"/>
      <c r="T338" s="115"/>
      <c r="U338" s="115"/>
      <c r="V338" s="115"/>
      <c r="W338" s="115"/>
      <c r="X338" s="115"/>
      <c r="Y338" s="115"/>
      <c r="Z338" s="115"/>
      <c r="AA338" s="115"/>
      <c r="AB338" s="115"/>
      <c r="AC338" s="115"/>
      <c r="AD338" s="115"/>
      <c r="AE338" s="115"/>
      <c r="AF338" s="115"/>
      <c r="AG338" s="115"/>
      <c r="AH338" s="115"/>
      <c r="AI338" s="115"/>
      <c r="AJ338" s="119"/>
      <c r="AK338" s="119"/>
      <c r="AL338" s="119"/>
      <c r="AM338" s="561"/>
      <c r="AN338" s="561"/>
      <c r="AO338" s="176"/>
    </row>
    <row r="339" spans="1:41" ht="15.75" customHeight="1" thickBot="1" x14ac:dyDescent="0.4">
      <c r="A339" s="115"/>
      <c r="B339" s="1387"/>
      <c r="C339" s="1387"/>
      <c r="D339" s="115"/>
      <c r="E339" s="115"/>
      <c r="F339" s="115"/>
      <c r="G339" s="115"/>
      <c r="H339" s="115"/>
      <c r="I339" s="115"/>
      <c r="J339" s="115"/>
      <c r="K339" s="115"/>
      <c r="L339" s="115"/>
      <c r="M339" s="115"/>
      <c r="N339" s="115"/>
      <c r="O339" s="115"/>
      <c r="P339" s="115"/>
      <c r="Q339" s="115"/>
      <c r="R339" s="115"/>
      <c r="S339" s="115"/>
      <c r="T339" s="115"/>
      <c r="U339" s="115"/>
      <c r="V339" s="115"/>
      <c r="W339" s="115"/>
      <c r="X339" s="115"/>
      <c r="Y339" s="115"/>
      <c r="Z339" s="115"/>
      <c r="AA339" s="115"/>
      <c r="AB339" s="115"/>
      <c r="AC339" s="115"/>
      <c r="AD339" s="115"/>
      <c r="AE339" s="115"/>
      <c r="AF339" s="115"/>
      <c r="AG339" s="115"/>
      <c r="AH339" s="115"/>
      <c r="AI339" s="115"/>
      <c r="AJ339" s="119"/>
      <c r="AK339" s="119"/>
      <c r="AL339" s="119"/>
      <c r="AM339" s="561"/>
      <c r="AN339" s="561"/>
      <c r="AO339" s="176"/>
    </row>
    <row r="340" spans="1:41" ht="15.75" customHeight="1" thickBot="1" x14ac:dyDescent="0.4">
      <c r="A340" s="115"/>
      <c r="B340" s="1387"/>
      <c r="C340" s="1387"/>
      <c r="D340" s="115"/>
      <c r="E340" s="115"/>
      <c r="F340" s="115"/>
      <c r="G340" s="115"/>
      <c r="H340" s="115"/>
      <c r="I340" s="115"/>
      <c r="J340" s="115"/>
      <c r="K340" s="115"/>
      <c r="L340" s="115"/>
      <c r="M340" s="115"/>
      <c r="N340" s="115"/>
      <c r="O340" s="115"/>
      <c r="P340" s="115"/>
      <c r="Q340" s="115"/>
      <c r="R340" s="115"/>
      <c r="S340" s="115"/>
      <c r="T340" s="115"/>
      <c r="U340" s="115"/>
      <c r="V340" s="115"/>
      <c r="W340" s="115"/>
      <c r="X340" s="115"/>
      <c r="Y340" s="115"/>
      <c r="Z340" s="115"/>
      <c r="AA340" s="115"/>
      <c r="AB340" s="115"/>
      <c r="AC340" s="115"/>
      <c r="AD340" s="115"/>
      <c r="AE340" s="115"/>
      <c r="AF340" s="115"/>
      <c r="AG340" s="115"/>
      <c r="AH340" s="115"/>
      <c r="AI340" s="115"/>
      <c r="AJ340" s="119"/>
      <c r="AK340" s="119"/>
      <c r="AL340" s="119"/>
      <c r="AM340" s="561"/>
      <c r="AN340" s="561"/>
      <c r="AO340" s="176"/>
    </row>
    <row r="341" spans="1:41" ht="15.75" customHeight="1" thickBot="1" x14ac:dyDescent="0.4">
      <c r="A341" s="115"/>
      <c r="B341" s="1387"/>
      <c r="C341" s="1387"/>
      <c r="D341" s="115"/>
      <c r="E341" s="115"/>
      <c r="F341" s="115"/>
      <c r="G341" s="115"/>
      <c r="H341" s="115"/>
      <c r="I341" s="115"/>
      <c r="J341" s="115"/>
      <c r="K341" s="115"/>
      <c r="L341" s="115"/>
      <c r="M341" s="115"/>
      <c r="N341" s="115"/>
      <c r="O341" s="115"/>
      <c r="P341" s="115"/>
      <c r="Q341" s="115"/>
      <c r="R341" s="115"/>
      <c r="S341" s="115"/>
      <c r="T341" s="115"/>
      <c r="U341" s="115"/>
      <c r="V341" s="115"/>
      <c r="W341" s="115"/>
      <c r="X341" s="115"/>
      <c r="Y341" s="115"/>
      <c r="Z341" s="115"/>
      <c r="AA341" s="115"/>
      <c r="AB341" s="115"/>
      <c r="AC341" s="115"/>
      <c r="AD341" s="115"/>
      <c r="AE341" s="115"/>
      <c r="AF341" s="115"/>
      <c r="AG341" s="115"/>
      <c r="AH341" s="115"/>
      <c r="AI341" s="115"/>
      <c r="AJ341" s="119"/>
      <c r="AK341" s="119"/>
      <c r="AL341" s="119"/>
      <c r="AM341" s="561"/>
      <c r="AN341" s="561"/>
      <c r="AO341" s="176"/>
    </row>
    <row r="342" spans="1:41" ht="15.75" customHeight="1" thickBot="1" x14ac:dyDescent="0.4">
      <c r="A342" s="115"/>
      <c r="B342" s="1387"/>
      <c r="C342" s="1387"/>
      <c r="D342" s="115"/>
      <c r="E342" s="115"/>
      <c r="F342" s="115"/>
      <c r="G342" s="115"/>
      <c r="H342" s="115"/>
      <c r="I342" s="115"/>
      <c r="J342" s="115"/>
      <c r="K342" s="115"/>
      <c r="L342" s="115"/>
      <c r="M342" s="115"/>
      <c r="N342" s="115"/>
      <c r="O342" s="115"/>
      <c r="P342" s="115"/>
      <c r="Q342" s="115"/>
      <c r="R342" s="115"/>
      <c r="S342" s="115"/>
      <c r="T342" s="115"/>
      <c r="U342" s="115"/>
      <c r="V342" s="115"/>
      <c r="W342" s="115"/>
      <c r="X342" s="115"/>
      <c r="Y342" s="115"/>
      <c r="Z342" s="115"/>
      <c r="AA342" s="115"/>
      <c r="AB342" s="115"/>
      <c r="AC342" s="115"/>
      <c r="AD342" s="115"/>
      <c r="AE342" s="115"/>
      <c r="AF342" s="115"/>
      <c r="AG342" s="115"/>
      <c r="AH342" s="115"/>
      <c r="AI342" s="115"/>
      <c r="AJ342" s="119"/>
      <c r="AK342" s="119"/>
      <c r="AL342" s="119"/>
      <c r="AM342" s="561"/>
      <c r="AN342" s="561"/>
      <c r="AO342" s="176"/>
    </row>
    <row r="343" spans="1:41" ht="15.75" customHeight="1" thickBot="1" x14ac:dyDescent="0.4">
      <c r="A343" s="115"/>
      <c r="B343" s="1387"/>
      <c r="C343" s="1387"/>
      <c r="D343" s="115"/>
      <c r="E343" s="115"/>
      <c r="F343" s="115"/>
      <c r="G343" s="115"/>
      <c r="H343" s="115"/>
      <c r="I343" s="115"/>
      <c r="J343" s="115"/>
      <c r="K343" s="115"/>
      <c r="L343" s="115"/>
      <c r="M343" s="115"/>
      <c r="N343" s="115"/>
      <c r="O343" s="115"/>
      <c r="P343" s="115"/>
      <c r="Q343" s="115"/>
      <c r="R343" s="115"/>
      <c r="S343" s="115"/>
      <c r="T343" s="115"/>
      <c r="U343" s="115"/>
      <c r="V343" s="115"/>
      <c r="W343" s="115"/>
      <c r="X343" s="115"/>
      <c r="Y343" s="115"/>
      <c r="Z343" s="115"/>
      <c r="AA343" s="115"/>
      <c r="AB343" s="115"/>
      <c r="AC343" s="115"/>
      <c r="AD343" s="115"/>
      <c r="AE343" s="115"/>
      <c r="AF343" s="115"/>
      <c r="AG343" s="115"/>
      <c r="AH343" s="115"/>
      <c r="AI343" s="115"/>
      <c r="AJ343" s="119"/>
      <c r="AK343" s="119"/>
      <c r="AL343" s="119"/>
      <c r="AM343" s="561"/>
      <c r="AN343" s="561"/>
      <c r="AO343" s="176"/>
    </row>
    <row r="344" spans="1:41" ht="15.75" customHeight="1" thickBot="1" x14ac:dyDescent="0.4">
      <c r="A344" s="115"/>
      <c r="B344" s="1387"/>
      <c r="C344" s="1387"/>
      <c r="D344" s="115"/>
      <c r="E344" s="115"/>
      <c r="F344" s="115"/>
      <c r="G344" s="115"/>
      <c r="H344" s="115"/>
      <c r="I344" s="115"/>
      <c r="J344" s="115"/>
      <c r="K344" s="115"/>
      <c r="L344" s="115"/>
      <c r="M344" s="115"/>
      <c r="N344" s="115"/>
      <c r="O344" s="115"/>
      <c r="P344" s="115"/>
      <c r="Q344" s="115"/>
      <c r="R344" s="115"/>
      <c r="S344" s="115"/>
      <c r="T344" s="115"/>
      <c r="U344" s="115"/>
      <c r="V344" s="115"/>
      <c r="W344" s="115"/>
      <c r="X344" s="115"/>
      <c r="Y344" s="115"/>
      <c r="Z344" s="115"/>
      <c r="AA344" s="115"/>
      <c r="AB344" s="115"/>
      <c r="AC344" s="115"/>
      <c r="AD344" s="115"/>
      <c r="AE344" s="115"/>
      <c r="AF344" s="115"/>
      <c r="AG344" s="115"/>
      <c r="AH344" s="115"/>
      <c r="AI344" s="115"/>
      <c r="AJ344" s="119"/>
      <c r="AK344" s="119"/>
      <c r="AL344" s="119"/>
      <c r="AM344" s="561"/>
      <c r="AN344" s="561"/>
      <c r="AO344" s="176"/>
    </row>
    <row r="345" spans="1:41" ht="15.75" customHeight="1" thickBot="1" x14ac:dyDescent="0.4">
      <c r="A345" s="115"/>
      <c r="B345" s="1387"/>
      <c r="C345" s="1387"/>
      <c r="D345" s="115"/>
      <c r="E345" s="115"/>
      <c r="F345" s="115"/>
      <c r="G345" s="115"/>
      <c r="H345" s="115"/>
      <c r="I345" s="115"/>
      <c r="J345" s="115"/>
      <c r="K345" s="115"/>
      <c r="L345" s="115"/>
      <c r="M345" s="115"/>
      <c r="N345" s="115"/>
      <c r="O345" s="115"/>
      <c r="P345" s="115"/>
      <c r="Q345" s="115"/>
      <c r="R345" s="115"/>
      <c r="S345" s="115"/>
      <c r="T345" s="115"/>
      <c r="U345" s="115"/>
      <c r="V345" s="115"/>
      <c r="W345" s="115"/>
      <c r="X345" s="115"/>
      <c r="Y345" s="115"/>
      <c r="Z345" s="115"/>
      <c r="AA345" s="115"/>
      <c r="AB345" s="115"/>
      <c r="AC345" s="115"/>
      <c r="AD345" s="115"/>
      <c r="AE345" s="115"/>
      <c r="AF345" s="115"/>
      <c r="AG345" s="115"/>
      <c r="AH345" s="115"/>
      <c r="AI345" s="115"/>
      <c r="AJ345" s="119"/>
      <c r="AK345" s="119"/>
      <c r="AL345" s="119"/>
      <c r="AM345" s="561"/>
      <c r="AN345" s="561"/>
      <c r="AO345" s="176"/>
    </row>
    <row r="346" spans="1:41" ht="15.75" customHeight="1" thickBot="1" x14ac:dyDescent="0.4">
      <c r="A346" s="115"/>
      <c r="B346" s="1387"/>
      <c r="C346" s="1387"/>
      <c r="D346" s="115"/>
      <c r="E346" s="115"/>
      <c r="F346" s="115"/>
      <c r="G346" s="115"/>
      <c r="H346" s="115"/>
      <c r="I346" s="115"/>
      <c r="J346" s="115"/>
      <c r="K346" s="115"/>
      <c r="L346" s="115"/>
      <c r="M346" s="115"/>
      <c r="N346" s="115"/>
      <c r="O346" s="115"/>
      <c r="P346" s="115"/>
      <c r="Q346" s="115"/>
      <c r="R346" s="115"/>
      <c r="S346" s="115"/>
      <c r="T346" s="115"/>
      <c r="U346" s="115"/>
      <c r="V346" s="115"/>
      <c r="W346" s="115"/>
      <c r="X346" s="115"/>
      <c r="Y346" s="115"/>
      <c r="Z346" s="115"/>
      <c r="AA346" s="115"/>
      <c r="AB346" s="115"/>
      <c r="AC346" s="115"/>
      <c r="AD346" s="115"/>
      <c r="AE346" s="115"/>
      <c r="AF346" s="115"/>
      <c r="AG346" s="115"/>
      <c r="AH346" s="115"/>
      <c r="AI346" s="115"/>
      <c r="AJ346" s="119"/>
      <c r="AK346" s="119"/>
      <c r="AL346" s="119"/>
      <c r="AM346" s="561"/>
      <c r="AN346" s="561"/>
      <c r="AO346" s="176"/>
    </row>
    <row r="347" spans="1:41" ht="15.75" customHeight="1" thickBot="1" x14ac:dyDescent="0.4">
      <c r="A347" s="115"/>
      <c r="B347" s="1387"/>
      <c r="C347" s="1387"/>
      <c r="D347" s="115"/>
      <c r="E347" s="115"/>
      <c r="F347" s="115"/>
      <c r="G347" s="115"/>
      <c r="H347" s="115"/>
      <c r="I347" s="115"/>
      <c r="J347" s="115"/>
      <c r="K347" s="115"/>
      <c r="L347" s="115"/>
      <c r="M347" s="115"/>
      <c r="N347" s="115"/>
      <c r="O347" s="115"/>
      <c r="P347" s="115"/>
      <c r="Q347" s="115"/>
      <c r="R347" s="115"/>
      <c r="S347" s="115"/>
      <c r="T347" s="115"/>
      <c r="U347" s="115"/>
      <c r="V347" s="115"/>
      <c r="W347" s="115"/>
      <c r="X347" s="115"/>
      <c r="Y347" s="115"/>
      <c r="Z347" s="115"/>
      <c r="AA347" s="115"/>
      <c r="AB347" s="115"/>
      <c r="AC347" s="115"/>
      <c r="AD347" s="115"/>
      <c r="AE347" s="115"/>
      <c r="AF347" s="115"/>
      <c r="AG347" s="115"/>
      <c r="AH347" s="115"/>
      <c r="AI347" s="115"/>
      <c r="AJ347" s="119"/>
      <c r="AK347" s="119"/>
      <c r="AL347" s="119"/>
      <c r="AM347" s="561"/>
      <c r="AN347" s="561"/>
      <c r="AO347" s="176"/>
    </row>
    <row r="348" spans="1:41" ht="15.75" customHeight="1" thickBot="1" x14ac:dyDescent="0.4">
      <c r="A348" s="115"/>
      <c r="B348" s="1387"/>
      <c r="C348" s="1387"/>
      <c r="D348" s="115"/>
      <c r="E348" s="115"/>
      <c r="F348" s="115"/>
      <c r="G348" s="115"/>
      <c r="H348" s="115"/>
      <c r="I348" s="115"/>
      <c r="J348" s="115"/>
      <c r="K348" s="115"/>
      <c r="L348" s="115"/>
      <c r="M348" s="115"/>
      <c r="N348" s="115"/>
      <c r="O348" s="115"/>
      <c r="P348" s="115"/>
      <c r="Q348" s="115"/>
      <c r="R348" s="115"/>
      <c r="S348" s="115"/>
      <c r="T348" s="115"/>
      <c r="U348" s="115"/>
      <c r="V348" s="115"/>
      <c r="W348" s="115"/>
      <c r="X348" s="115"/>
      <c r="Y348" s="115"/>
      <c r="Z348" s="115"/>
      <c r="AA348" s="115"/>
      <c r="AB348" s="115"/>
      <c r="AC348" s="115"/>
      <c r="AD348" s="115"/>
      <c r="AE348" s="115"/>
      <c r="AF348" s="115"/>
      <c r="AG348" s="115"/>
      <c r="AH348" s="115"/>
      <c r="AI348" s="115"/>
      <c r="AJ348" s="119"/>
      <c r="AK348" s="119"/>
      <c r="AL348" s="119"/>
      <c r="AM348" s="561"/>
      <c r="AN348" s="561"/>
      <c r="AO348" s="176"/>
    </row>
    <row r="349" spans="1:41" ht="15.75" customHeight="1" thickBot="1" x14ac:dyDescent="0.4">
      <c r="A349" s="115"/>
      <c r="B349" s="1387"/>
      <c r="C349" s="1387"/>
      <c r="D349" s="115"/>
      <c r="E349" s="115"/>
      <c r="F349" s="115"/>
      <c r="G349" s="115"/>
      <c r="H349" s="115"/>
      <c r="I349" s="115"/>
      <c r="J349" s="115"/>
      <c r="K349" s="115"/>
      <c r="L349" s="115"/>
      <c r="M349" s="115"/>
      <c r="N349" s="115"/>
      <c r="O349" s="115"/>
      <c r="P349" s="115"/>
      <c r="Q349" s="115"/>
      <c r="R349" s="115"/>
      <c r="S349" s="115"/>
      <c r="T349" s="115"/>
      <c r="U349" s="115"/>
      <c r="V349" s="115"/>
      <c r="W349" s="115"/>
      <c r="X349" s="115"/>
      <c r="Y349" s="115"/>
      <c r="Z349" s="115"/>
      <c r="AA349" s="115"/>
      <c r="AB349" s="115"/>
      <c r="AC349" s="115"/>
      <c r="AD349" s="115"/>
      <c r="AE349" s="115"/>
      <c r="AF349" s="115"/>
      <c r="AG349" s="115"/>
      <c r="AH349" s="115"/>
      <c r="AI349" s="115"/>
      <c r="AJ349" s="119"/>
      <c r="AK349" s="119"/>
      <c r="AL349" s="119"/>
      <c r="AM349" s="561"/>
      <c r="AN349" s="561"/>
      <c r="AO349" s="176"/>
    </row>
    <row r="350" spans="1:41" ht="15.75" customHeight="1" thickBot="1" x14ac:dyDescent="0.4">
      <c r="A350" s="115"/>
      <c r="B350" s="1387"/>
      <c r="C350" s="1387"/>
      <c r="D350" s="115"/>
      <c r="E350" s="115"/>
      <c r="F350" s="115"/>
      <c r="G350" s="115"/>
      <c r="H350" s="115"/>
      <c r="I350" s="115"/>
      <c r="J350" s="115"/>
      <c r="K350" s="115"/>
      <c r="L350" s="115"/>
      <c r="M350" s="115"/>
      <c r="N350" s="115"/>
      <c r="O350" s="115"/>
      <c r="P350" s="115"/>
      <c r="Q350" s="115"/>
      <c r="R350" s="115"/>
      <c r="S350" s="115"/>
      <c r="T350" s="115"/>
      <c r="U350" s="115"/>
      <c r="V350" s="115"/>
      <c r="W350" s="115"/>
      <c r="X350" s="115"/>
      <c r="Y350" s="115"/>
      <c r="Z350" s="115"/>
      <c r="AA350" s="115"/>
      <c r="AB350" s="115"/>
      <c r="AC350" s="115"/>
      <c r="AD350" s="115"/>
      <c r="AE350" s="115"/>
      <c r="AF350" s="115"/>
      <c r="AG350" s="115"/>
      <c r="AH350" s="115"/>
      <c r="AI350" s="115"/>
      <c r="AJ350" s="119"/>
      <c r="AK350" s="119"/>
      <c r="AL350" s="119"/>
      <c r="AM350" s="561"/>
      <c r="AN350" s="561"/>
      <c r="AO350" s="176"/>
    </row>
    <row r="351" spans="1:41" ht="15.75" customHeight="1" thickBot="1" x14ac:dyDescent="0.4">
      <c r="A351" s="115"/>
      <c r="B351" s="1387"/>
      <c r="C351" s="1387"/>
      <c r="D351" s="115"/>
      <c r="E351" s="115"/>
      <c r="F351" s="115"/>
      <c r="G351" s="115"/>
      <c r="H351" s="115"/>
      <c r="I351" s="115"/>
      <c r="J351" s="115"/>
      <c r="K351" s="115"/>
      <c r="L351" s="115"/>
      <c r="M351" s="115"/>
      <c r="N351" s="115"/>
      <c r="O351" s="115"/>
      <c r="P351" s="115"/>
      <c r="Q351" s="115"/>
      <c r="R351" s="115"/>
      <c r="S351" s="115"/>
      <c r="T351" s="115"/>
      <c r="U351" s="115"/>
      <c r="V351" s="115"/>
      <c r="W351" s="115"/>
      <c r="X351" s="115"/>
      <c r="Y351" s="115"/>
      <c r="Z351" s="115"/>
      <c r="AA351" s="115"/>
      <c r="AB351" s="115"/>
      <c r="AC351" s="115"/>
      <c r="AD351" s="115"/>
      <c r="AE351" s="115"/>
      <c r="AF351" s="115"/>
      <c r="AG351" s="115"/>
      <c r="AH351" s="115"/>
      <c r="AI351" s="115"/>
      <c r="AJ351" s="119"/>
      <c r="AK351" s="119"/>
      <c r="AL351" s="119"/>
      <c r="AM351" s="561"/>
      <c r="AN351" s="561"/>
      <c r="AO351" s="176"/>
    </row>
    <row r="352" spans="1:41" ht="15.75" customHeight="1" thickBot="1" x14ac:dyDescent="0.4">
      <c r="A352" s="115"/>
      <c r="B352" s="1387"/>
      <c r="C352" s="1387"/>
      <c r="D352" s="115"/>
      <c r="E352" s="115"/>
      <c r="F352" s="115"/>
      <c r="G352" s="115"/>
      <c r="H352" s="115"/>
      <c r="I352" s="115"/>
      <c r="J352" s="115"/>
      <c r="K352" s="115"/>
      <c r="L352" s="115"/>
      <c r="M352" s="115"/>
      <c r="N352" s="115"/>
      <c r="O352" s="115"/>
      <c r="P352" s="115"/>
      <c r="Q352" s="115"/>
      <c r="R352" s="115"/>
      <c r="S352" s="115"/>
      <c r="T352" s="115"/>
      <c r="U352" s="115"/>
      <c r="V352" s="115"/>
      <c r="W352" s="115"/>
      <c r="X352" s="115"/>
      <c r="Y352" s="115"/>
      <c r="Z352" s="115"/>
      <c r="AA352" s="115"/>
      <c r="AB352" s="115"/>
      <c r="AC352" s="115"/>
      <c r="AD352" s="115"/>
      <c r="AE352" s="115"/>
      <c r="AF352" s="115"/>
      <c r="AG352" s="115"/>
      <c r="AH352" s="115"/>
      <c r="AI352" s="115"/>
      <c r="AJ352" s="119"/>
      <c r="AK352" s="119"/>
      <c r="AL352" s="119"/>
      <c r="AM352" s="561"/>
      <c r="AN352" s="561"/>
      <c r="AO352" s="176"/>
    </row>
    <row r="353" spans="1:41" ht="15.75" customHeight="1" thickBot="1" x14ac:dyDescent="0.4">
      <c r="A353" s="115"/>
      <c r="B353" s="1387"/>
      <c r="C353" s="1387"/>
      <c r="D353" s="115"/>
      <c r="E353" s="115"/>
      <c r="F353" s="115"/>
      <c r="G353" s="115"/>
      <c r="H353" s="115"/>
      <c r="I353" s="115"/>
      <c r="J353" s="115"/>
      <c r="K353" s="115"/>
      <c r="L353" s="115"/>
      <c r="M353" s="115"/>
      <c r="N353" s="115"/>
      <c r="O353" s="115"/>
      <c r="P353" s="115"/>
      <c r="Q353" s="115"/>
      <c r="R353" s="115"/>
      <c r="S353" s="115"/>
      <c r="T353" s="115"/>
      <c r="U353" s="115"/>
      <c r="V353" s="115"/>
      <c r="W353" s="115"/>
      <c r="X353" s="115"/>
      <c r="Y353" s="115"/>
      <c r="Z353" s="115"/>
      <c r="AA353" s="115"/>
      <c r="AB353" s="115"/>
      <c r="AC353" s="115"/>
      <c r="AD353" s="115"/>
      <c r="AE353" s="115"/>
      <c r="AF353" s="115"/>
      <c r="AG353" s="115"/>
      <c r="AH353" s="115"/>
      <c r="AI353" s="115"/>
      <c r="AJ353" s="119"/>
      <c r="AK353" s="119"/>
      <c r="AL353" s="119"/>
      <c r="AM353" s="561"/>
      <c r="AN353" s="561"/>
      <c r="AO353" s="176"/>
    </row>
    <row r="354" spans="1:41" ht="15.75" customHeight="1" thickBot="1" x14ac:dyDescent="0.4">
      <c r="A354" s="115"/>
      <c r="B354" s="1387"/>
      <c r="C354" s="1387"/>
      <c r="D354" s="115"/>
      <c r="E354" s="115"/>
      <c r="F354" s="115"/>
      <c r="G354" s="115"/>
      <c r="H354" s="115"/>
      <c r="I354" s="115"/>
      <c r="J354" s="115"/>
      <c r="K354" s="115"/>
      <c r="L354" s="115"/>
      <c r="M354" s="115"/>
      <c r="N354" s="115"/>
      <c r="O354" s="115"/>
      <c r="P354" s="115"/>
      <c r="Q354" s="115"/>
      <c r="R354" s="115"/>
      <c r="S354" s="115"/>
      <c r="T354" s="115"/>
      <c r="U354" s="115"/>
      <c r="V354" s="115"/>
      <c r="W354" s="115"/>
      <c r="X354" s="115"/>
      <c r="Y354" s="115"/>
      <c r="Z354" s="115"/>
      <c r="AA354" s="115"/>
      <c r="AB354" s="115"/>
      <c r="AC354" s="115"/>
      <c r="AD354" s="115"/>
      <c r="AE354" s="115"/>
      <c r="AF354" s="115"/>
      <c r="AG354" s="115"/>
      <c r="AH354" s="115"/>
      <c r="AI354" s="115"/>
      <c r="AJ354" s="119"/>
      <c r="AK354" s="119"/>
      <c r="AL354" s="119"/>
      <c r="AM354" s="561"/>
      <c r="AN354" s="561"/>
      <c r="AO354" s="176"/>
    </row>
    <row r="355" spans="1:41" ht="15.75" customHeight="1" thickBot="1" x14ac:dyDescent="0.4">
      <c r="A355" s="115"/>
      <c r="B355" s="1387"/>
      <c r="C355" s="1387"/>
      <c r="D355" s="115"/>
      <c r="E355" s="115"/>
      <c r="F355" s="115"/>
      <c r="G355" s="115"/>
      <c r="H355" s="115"/>
      <c r="I355" s="115"/>
      <c r="J355" s="115"/>
      <c r="K355" s="115"/>
      <c r="L355" s="115"/>
      <c r="M355" s="115"/>
      <c r="N355" s="115"/>
      <c r="O355" s="115"/>
      <c r="P355" s="115"/>
      <c r="Q355" s="115"/>
      <c r="R355" s="115"/>
      <c r="S355" s="115"/>
      <c r="T355" s="115"/>
      <c r="U355" s="115"/>
      <c r="V355" s="115"/>
      <c r="W355" s="115"/>
      <c r="X355" s="115"/>
      <c r="Y355" s="115"/>
      <c r="Z355" s="115"/>
      <c r="AA355" s="115"/>
      <c r="AB355" s="115"/>
      <c r="AC355" s="115"/>
      <c r="AD355" s="115"/>
      <c r="AE355" s="115"/>
      <c r="AF355" s="115"/>
      <c r="AG355" s="115"/>
      <c r="AH355" s="115"/>
      <c r="AI355" s="115"/>
      <c r="AJ355" s="119"/>
      <c r="AK355" s="119"/>
      <c r="AL355" s="119"/>
      <c r="AM355" s="561"/>
      <c r="AN355" s="561"/>
      <c r="AO355" s="176"/>
    </row>
    <row r="356" spans="1:41" ht="15.75" customHeight="1" thickBot="1" x14ac:dyDescent="0.4">
      <c r="A356" s="115"/>
      <c r="B356" s="1387"/>
      <c r="C356" s="1387"/>
      <c r="D356" s="115"/>
      <c r="E356" s="115"/>
      <c r="F356" s="115"/>
      <c r="G356" s="115"/>
      <c r="H356" s="115"/>
      <c r="I356" s="115"/>
      <c r="J356" s="115"/>
      <c r="K356" s="115"/>
      <c r="L356" s="115"/>
      <c r="M356" s="115"/>
      <c r="N356" s="115"/>
      <c r="O356" s="115"/>
      <c r="P356" s="115"/>
      <c r="Q356" s="115"/>
      <c r="R356" s="115"/>
      <c r="S356" s="115"/>
      <c r="T356" s="115"/>
      <c r="U356" s="115"/>
      <c r="V356" s="115"/>
      <c r="W356" s="115"/>
      <c r="X356" s="115"/>
      <c r="Y356" s="115"/>
      <c r="Z356" s="115"/>
      <c r="AA356" s="115"/>
      <c r="AB356" s="115"/>
      <c r="AC356" s="115"/>
      <c r="AD356" s="115"/>
      <c r="AE356" s="115"/>
      <c r="AF356" s="115"/>
      <c r="AG356" s="115"/>
      <c r="AH356" s="115"/>
      <c r="AI356" s="115"/>
      <c r="AJ356" s="119"/>
      <c r="AK356" s="119"/>
      <c r="AL356" s="119"/>
      <c r="AM356" s="561"/>
      <c r="AN356" s="561"/>
      <c r="AO356" s="176"/>
    </row>
    <row r="357" spans="1:41" ht="15.75" customHeight="1" thickBot="1" x14ac:dyDescent="0.4">
      <c r="A357" s="115"/>
      <c r="B357" s="1387"/>
      <c r="C357" s="1387"/>
      <c r="D357" s="115"/>
      <c r="E357" s="115"/>
      <c r="F357" s="115"/>
      <c r="G357" s="115"/>
      <c r="H357" s="115"/>
      <c r="I357" s="115"/>
      <c r="J357" s="115"/>
      <c r="K357" s="115"/>
      <c r="L357" s="115"/>
      <c r="M357" s="115"/>
      <c r="N357" s="115"/>
      <c r="O357" s="115"/>
      <c r="P357" s="115"/>
      <c r="Q357" s="115"/>
      <c r="R357" s="115"/>
      <c r="S357" s="115"/>
      <c r="T357" s="115"/>
      <c r="U357" s="115"/>
      <c r="V357" s="115"/>
      <c r="W357" s="115"/>
      <c r="X357" s="115"/>
      <c r="Y357" s="115"/>
      <c r="Z357" s="115"/>
      <c r="AA357" s="115"/>
      <c r="AB357" s="115"/>
      <c r="AC357" s="115"/>
      <c r="AD357" s="115"/>
      <c r="AE357" s="115"/>
      <c r="AF357" s="115"/>
      <c r="AG357" s="115"/>
      <c r="AH357" s="115"/>
      <c r="AI357" s="115"/>
      <c r="AJ357" s="119"/>
      <c r="AK357" s="119"/>
      <c r="AL357" s="119"/>
      <c r="AM357" s="561"/>
      <c r="AN357" s="561"/>
      <c r="AO357" s="176"/>
    </row>
    <row r="358" spans="1:41" ht="15.75" customHeight="1" thickBot="1" x14ac:dyDescent="0.4">
      <c r="A358" s="115"/>
      <c r="B358" s="1387"/>
      <c r="C358" s="1387"/>
      <c r="D358" s="115"/>
      <c r="E358" s="115"/>
      <c r="F358" s="115"/>
      <c r="G358" s="115"/>
      <c r="H358" s="115"/>
      <c r="I358" s="115"/>
      <c r="J358" s="115"/>
      <c r="K358" s="115"/>
      <c r="L358" s="115"/>
      <c r="M358" s="115"/>
      <c r="N358" s="115"/>
      <c r="O358" s="115"/>
      <c r="P358" s="115"/>
      <c r="Q358" s="115"/>
      <c r="R358" s="115"/>
      <c r="S358" s="115"/>
      <c r="T358" s="115"/>
      <c r="U358" s="115"/>
      <c r="V358" s="115"/>
      <c r="W358" s="115"/>
      <c r="X358" s="115"/>
      <c r="Y358" s="115"/>
      <c r="Z358" s="115"/>
      <c r="AA358" s="115"/>
      <c r="AB358" s="115"/>
      <c r="AC358" s="115"/>
      <c r="AD358" s="115"/>
      <c r="AE358" s="115"/>
      <c r="AF358" s="115"/>
      <c r="AG358" s="115"/>
      <c r="AH358" s="115"/>
      <c r="AI358" s="115"/>
      <c r="AJ358" s="119"/>
      <c r="AK358" s="119"/>
      <c r="AL358" s="119"/>
      <c r="AM358" s="561"/>
      <c r="AN358" s="561"/>
      <c r="AO358" s="176"/>
    </row>
    <row r="359" spans="1:41" ht="15.75" customHeight="1" thickBot="1" x14ac:dyDescent="0.4">
      <c r="A359" s="115"/>
      <c r="B359" s="1387"/>
      <c r="C359" s="1387"/>
      <c r="D359" s="115"/>
      <c r="E359" s="115"/>
      <c r="F359" s="115"/>
      <c r="G359" s="115"/>
      <c r="H359" s="115"/>
      <c r="I359" s="115"/>
      <c r="J359" s="115"/>
      <c r="K359" s="115"/>
      <c r="L359" s="115"/>
      <c r="M359" s="115"/>
      <c r="N359" s="115"/>
      <c r="O359" s="115"/>
      <c r="P359" s="115"/>
      <c r="Q359" s="115"/>
      <c r="R359" s="115"/>
      <c r="S359" s="115"/>
      <c r="T359" s="115"/>
      <c r="U359" s="115"/>
      <c r="V359" s="115"/>
      <c r="W359" s="115"/>
      <c r="X359" s="115"/>
      <c r="Y359" s="115"/>
      <c r="Z359" s="115"/>
      <c r="AA359" s="115"/>
      <c r="AB359" s="115"/>
      <c r="AC359" s="115"/>
      <c r="AD359" s="115"/>
      <c r="AE359" s="115"/>
      <c r="AF359" s="115"/>
      <c r="AG359" s="115"/>
      <c r="AH359" s="115"/>
      <c r="AI359" s="115"/>
      <c r="AJ359" s="119"/>
      <c r="AK359" s="119"/>
      <c r="AL359" s="119"/>
      <c r="AM359" s="561"/>
      <c r="AN359" s="561"/>
      <c r="AO359" s="176"/>
    </row>
    <row r="360" spans="1:41" ht="15.75" customHeight="1" thickBot="1" x14ac:dyDescent="0.4">
      <c r="A360" s="115"/>
      <c r="B360" s="1387"/>
      <c r="C360" s="1387"/>
      <c r="D360" s="115"/>
      <c r="E360" s="115"/>
      <c r="F360" s="115"/>
      <c r="G360" s="115"/>
      <c r="H360" s="115"/>
      <c r="I360" s="115"/>
      <c r="J360" s="115"/>
      <c r="K360" s="115"/>
      <c r="L360" s="115"/>
      <c r="M360" s="115"/>
      <c r="N360" s="115"/>
      <c r="O360" s="115"/>
      <c r="P360" s="115"/>
      <c r="Q360" s="115"/>
      <c r="R360" s="115"/>
      <c r="S360" s="115"/>
      <c r="T360" s="115"/>
      <c r="U360" s="115"/>
      <c r="V360" s="115"/>
      <c r="W360" s="115"/>
      <c r="X360" s="115"/>
      <c r="Y360" s="115"/>
      <c r="Z360" s="115"/>
      <c r="AA360" s="115"/>
      <c r="AB360" s="115"/>
      <c r="AC360" s="115"/>
      <c r="AD360" s="115"/>
      <c r="AE360" s="115"/>
      <c r="AF360" s="115"/>
      <c r="AG360" s="115"/>
      <c r="AH360" s="115"/>
      <c r="AI360" s="115"/>
      <c r="AJ360" s="119"/>
      <c r="AK360" s="119"/>
      <c r="AL360" s="119"/>
      <c r="AM360" s="561"/>
      <c r="AN360" s="561"/>
      <c r="AO360" s="176"/>
    </row>
    <row r="361" spans="1:41" ht="15.75" customHeight="1" thickBot="1" x14ac:dyDescent="0.4">
      <c r="A361" s="115"/>
      <c r="B361" s="1387"/>
      <c r="C361" s="1387"/>
      <c r="D361" s="115"/>
      <c r="E361" s="115"/>
      <c r="F361" s="115"/>
      <c r="G361" s="115"/>
      <c r="H361" s="115"/>
      <c r="I361" s="115"/>
      <c r="J361" s="115"/>
      <c r="K361" s="115"/>
      <c r="L361" s="115"/>
      <c r="M361" s="115"/>
      <c r="N361" s="115"/>
      <c r="O361" s="115"/>
      <c r="P361" s="115"/>
      <c r="Q361" s="115"/>
      <c r="R361" s="115"/>
      <c r="S361" s="115"/>
      <c r="T361" s="115"/>
      <c r="U361" s="115"/>
      <c r="V361" s="115"/>
      <c r="W361" s="115"/>
      <c r="X361" s="115"/>
      <c r="Y361" s="115"/>
      <c r="Z361" s="115"/>
      <c r="AA361" s="115"/>
      <c r="AB361" s="115"/>
      <c r="AC361" s="115"/>
      <c r="AD361" s="115"/>
      <c r="AE361" s="115"/>
      <c r="AF361" s="115"/>
      <c r="AG361" s="115"/>
      <c r="AH361" s="115"/>
      <c r="AI361" s="115"/>
      <c r="AJ361" s="119"/>
      <c r="AK361" s="119"/>
      <c r="AL361" s="119"/>
      <c r="AM361" s="561"/>
      <c r="AN361" s="561"/>
      <c r="AO361" s="176"/>
    </row>
    <row r="362" spans="1:41" ht="15.75" customHeight="1" thickBot="1" x14ac:dyDescent="0.4">
      <c r="A362" s="115"/>
      <c r="B362" s="1387"/>
      <c r="C362" s="1387"/>
      <c r="D362" s="115"/>
      <c r="E362" s="115"/>
      <c r="F362" s="115"/>
      <c r="G362" s="115"/>
      <c r="H362" s="115"/>
      <c r="I362" s="115"/>
      <c r="J362" s="115"/>
      <c r="K362" s="115"/>
      <c r="L362" s="115"/>
      <c r="M362" s="115"/>
      <c r="N362" s="115"/>
      <c r="O362" s="115"/>
      <c r="P362" s="115"/>
      <c r="Q362" s="115"/>
      <c r="R362" s="115"/>
      <c r="S362" s="115"/>
      <c r="T362" s="115"/>
      <c r="U362" s="115"/>
      <c r="V362" s="115"/>
      <c r="W362" s="115"/>
      <c r="X362" s="115"/>
      <c r="Y362" s="115"/>
      <c r="Z362" s="115"/>
      <c r="AA362" s="115"/>
      <c r="AB362" s="115"/>
      <c r="AC362" s="115"/>
      <c r="AD362" s="115"/>
      <c r="AE362" s="115"/>
      <c r="AF362" s="115"/>
      <c r="AG362" s="115"/>
      <c r="AH362" s="115"/>
      <c r="AI362" s="115"/>
      <c r="AJ362" s="119"/>
      <c r="AK362" s="119"/>
      <c r="AL362" s="119"/>
      <c r="AM362" s="561"/>
      <c r="AN362" s="561"/>
      <c r="AO362" s="176"/>
    </row>
    <row r="363" spans="1:41" ht="15.75" customHeight="1" thickBot="1" x14ac:dyDescent="0.4">
      <c r="A363" s="115"/>
      <c r="B363" s="1387"/>
      <c r="C363" s="1387"/>
      <c r="D363" s="115"/>
      <c r="E363" s="115"/>
      <c r="F363" s="115"/>
      <c r="G363" s="115"/>
      <c r="H363" s="115"/>
      <c r="I363" s="115"/>
      <c r="J363" s="115"/>
      <c r="K363" s="115"/>
      <c r="L363" s="115"/>
      <c r="M363" s="115"/>
      <c r="N363" s="115"/>
      <c r="O363" s="115"/>
      <c r="P363" s="115"/>
      <c r="Q363" s="115"/>
      <c r="R363" s="115"/>
      <c r="S363" s="115"/>
      <c r="T363" s="115"/>
      <c r="U363" s="115"/>
      <c r="V363" s="115"/>
      <c r="W363" s="115"/>
      <c r="X363" s="115"/>
      <c r="Y363" s="115"/>
      <c r="Z363" s="115"/>
      <c r="AA363" s="115"/>
      <c r="AB363" s="115"/>
      <c r="AC363" s="115"/>
      <c r="AD363" s="115"/>
      <c r="AE363" s="115"/>
      <c r="AF363" s="115"/>
      <c r="AG363" s="115"/>
      <c r="AH363" s="115"/>
      <c r="AI363" s="115"/>
      <c r="AJ363" s="119"/>
      <c r="AK363" s="119"/>
      <c r="AL363" s="119"/>
      <c r="AM363" s="561"/>
      <c r="AN363" s="561"/>
      <c r="AO363" s="176"/>
    </row>
    <row r="364" spans="1:41" ht="15.75" customHeight="1" thickBot="1" x14ac:dyDescent="0.4">
      <c r="A364" s="115"/>
      <c r="B364" s="1387"/>
      <c r="C364" s="1387"/>
      <c r="D364" s="115"/>
      <c r="E364" s="115"/>
      <c r="F364" s="115"/>
      <c r="G364" s="115"/>
      <c r="H364" s="115"/>
      <c r="I364" s="115"/>
      <c r="J364" s="115"/>
      <c r="K364" s="115"/>
      <c r="L364" s="115"/>
      <c r="M364" s="115"/>
      <c r="N364" s="115"/>
      <c r="O364" s="115"/>
      <c r="P364" s="115"/>
      <c r="Q364" s="115"/>
      <c r="R364" s="115"/>
      <c r="S364" s="115"/>
      <c r="T364" s="115"/>
      <c r="U364" s="115"/>
      <c r="V364" s="115"/>
      <c r="W364" s="115"/>
      <c r="X364" s="115"/>
      <c r="Y364" s="115"/>
      <c r="Z364" s="115"/>
      <c r="AA364" s="115"/>
      <c r="AB364" s="115"/>
      <c r="AC364" s="115"/>
      <c r="AD364" s="115"/>
      <c r="AE364" s="115"/>
      <c r="AF364" s="115"/>
      <c r="AG364" s="115"/>
      <c r="AH364" s="115"/>
      <c r="AI364" s="115"/>
      <c r="AJ364" s="119"/>
      <c r="AK364" s="119"/>
      <c r="AL364" s="119"/>
      <c r="AM364" s="561"/>
      <c r="AN364" s="561"/>
      <c r="AO364" s="176"/>
    </row>
    <row r="365" spans="1:41" ht="15.75" customHeight="1" thickBot="1" x14ac:dyDescent="0.4">
      <c r="A365" s="115"/>
      <c r="B365" s="1387"/>
      <c r="C365" s="1387"/>
      <c r="D365" s="115"/>
      <c r="E365" s="115"/>
      <c r="F365" s="115"/>
      <c r="G365" s="115"/>
      <c r="H365" s="115"/>
      <c r="I365" s="115"/>
      <c r="J365" s="115"/>
      <c r="K365" s="115"/>
      <c r="L365" s="115"/>
      <c r="M365" s="115"/>
      <c r="N365" s="115"/>
      <c r="O365" s="115"/>
      <c r="P365" s="115"/>
      <c r="Q365" s="115"/>
      <c r="R365" s="115"/>
      <c r="S365" s="115"/>
      <c r="T365" s="115"/>
      <c r="U365" s="115"/>
      <c r="V365" s="115"/>
      <c r="W365" s="115"/>
      <c r="X365" s="115"/>
      <c r="Y365" s="115"/>
      <c r="Z365" s="115"/>
      <c r="AA365" s="115"/>
      <c r="AB365" s="115"/>
      <c r="AC365" s="115"/>
      <c r="AD365" s="115"/>
      <c r="AE365" s="115"/>
      <c r="AF365" s="115"/>
      <c r="AG365" s="115"/>
      <c r="AH365" s="115"/>
      <c r="AI365" s="115"/>
      <c r="AJ365" s="119"/>
      <c r="AK365" s="119"/>
      <c r="AL365" s="119"/>
      <c r="AM365" s="561"/>
      <c r="AN365" s="561"/>
      <c r="AO365" s="176"/>
    </row>
    <row r="366" spans="1:41" ht="15.75" customHeight="1" thickBot="1" x14ac:dyDescent="0.4">
      <c r="A366" s="115"/>
      <c r="B366" s="1387"/>
      <c r="C366" s="1387"/>
      <c r="D366" s="115"/>
      <c r="E366" s="115"/>
      <c r="F366" s="115"/>
      <c r="G366" s="115"/>
      <c r="H366" s="115"/>
      <c r="I366" s="115"/>
      <c r="J366" s="115"/>
      <c r="K366" s="115"/>
      <c r="L366" s="115"/>
      <c r="M366" s="115"/>
      <c r="N366" s="115"/>
      <c r="O366" s="115"/>
      <c r="P366" s="115"/>
      <c r="Q366" s="115"/>
      <c r="R366" s="115"/>
      <c r="S366" s="115"/>
      <c r="T366" s="115"/>
      <c r="U366" s="115"/>
      <c r="V366" s="115"/>
      <c r="W366" s="115"/>
      <c r="X366" s="115"/>
      <c r="Y366" s="115"/>
      <c r="Z366" s="115"/>
      <c r="AA366" s="115"/>
      <c r="AB366" s="115"/>
      <c r="AC366" s="115"/>
      <c r="AD366" s="115"/>
      <c r="AE366" s="115"/>
      <c r="AF366" s="115"/>
      <c r="AG366" s="115"/>
      <c r="AH366" s="115"/>
      <c r="AI366" s="115"/>
      <c r="AJ366" s="119"/>
      <c r="AK366" s="119"/>
      <c r="AL366" s="119"/>
      <c r="AM366" s="561"/>
      <c r="AN366" s="561"/>
      <c r="AO366" s="176"/>
    </row>
    <row r="367" spans="1:41" ht="15.75" customHeight="1" thickBot="1" x14ac:dyDescent="0.4">
      <c r="A367" s="115"/>
      <c r="B367" s="1387"/>
      <c r="C367" s="1387"/>
      <c r="D367" s="115"/>
      <c r="E367" s="115"/>
      <c r="F367" s="115"/>
      <c r="G367" s="115"/>
      <c r="H367" s="115"/>
      <c r="I367" s="115"/>
      <c r="J367" s="115"/>
      <c r="K367" s="115"/>
      <c r="L367" s="115"/>
      <c r="M367" s="115"/>
      <c r="N367" s="115"/>
      <c r="O367" s="115"/>
      <c r="P367" s="115"/>
      <c r="Q367" s="115"/>
      <c r="R367" s="115"/>
      <c r="S367" s="115"/>
      <c r="T367" s="115"/>
      <c r="U367" s="115"/>
      <c r="V367" s="115"/>
      <c r="W367" s="115"/>
      <c r="X367" s="115"/>
      <c r="Y367" s="115"/>
      <c r="Z367" s="115"/>
      <c r="AA367" s="115"/>
      <c r="AB367" s="115"/>
      <c r="AC367" s="115"/>
      <c r="AD367" s="115"/>
      <c r="AE367" s="115"/>
      <c r="AF367" s="115"/>
      <c r="AG367" s="115"/>
      <c r="AH367" s="115"/>
      <c r="AI367" s="115"/>
      <c r="AJ367" s="119"/>
      <c r="AK367" s="119"/>
      <c r="AL367" s="119"/>
      <c r="AM367" s="561"/>
      <c r="AN367" s="561"/>
      <c r="AO367" s="176"/>
    </row>
    <row r="368" spans="1:41" ht="15.75" customHeight="1" thickBot="1" x14ac:dyDescent="0.4">
      <c r="A368" s="115"/>
      <c r="B368" s="1387"/>
      <c r="C368" s="1387"/>
      <c r="D368" s="115"/>
      <c r="E368" s="115"/>
      <c r="F368" s="115"/>
      <c r="G368" s="115"/>
      <c r="H368" s="115"/>
      <c r="I368" s="115"/>
      <c r="J368" s="115"/>
      <c r="K368" s="115"/>
      <c r="L368" s="115"/>
      <c r="M368" s="115"/>
      <c r="N368" s="115"/>
      <c r="O368" s="115"/>
      <c r="P368" s="115"/>
      <c r="Q368" s="115"/>
      <c r="R368" s="115"/>
      <c r="S368" s="115"/>
      <c r="T368" s="115"/>
      <c r="U368" s="115"/>
      <c r="V368" s="115"/>
      <c r="W368" s="115"/>
      <c r="X368" s="115"/>
      <c r="Y368" s="115"/>
      <c r="Z368" s="115"/>
      <c r="AA368" s="115"/>
      <c r="AB368" s="115"/>
      <c r="AC368" s="115"/>
      <c r="AD368" s="115"/>
      <c r="AE368" s="115"/>
      <c r="AF368" s="115"/>
      <c r="AG368" s="115"/>
      <c r="AH368" s="115"/>
      <c r="AI368" s="115"/>
      <c r="AJ368" s="119"/>
      <c r="AK368" s="119"/>
      <c r="AL368" s="119"/>
      <c r="AM368" s="561"/>
      <c r="AN368" s="561"/>
      <c r="AO368" s="176"/>
    </row>
    <row r="369" spans="1:41" ht="15.75" customHeight="1" thickBot="1" x14ac:dyDescent="0.4">
      <c r="A369" s="115"/>
      <c r="B369" s="1387"/>
      <c r="C369" s="1387"/>
      <c r="D369" s="115"/>
      <c r="E369" s="115"/>
      <c r="F369" s="115"/>
      <c r="G369" s="115"/>
      <c r="H369" s="115"/>
      <c r="I369" s="115"/>
      <c r="J369" s="115"/>
      <c r="K369" s="115"/>
      <c r="L369" s="115"/>
      <c r="M369" s="115"/>
      <c r="N369" s="115"/>
      <c r="O369" s="115"/>
      <c r="P369" s="115"/>
      <c r="Q369" s="115"/>
      <c r="R369" s="115"/>
      <c r="S369" s="115"/>
      <c r="T369" s="115"/>
      <c r="U369" s="115"/>
      <c r="V369" s="115"/>
      <c r="W369" s="115"/>
      <c r="X369" s="115"/>
      <c r="Y369" s="115"/>
      <c r="Z369" s="115"/>
      <c r="AA369" s="115"/>
      <c r="AB369" s="115"/>
      <c r="AC369" s="115"/>
      <c r="AD369" s="115"/>
      <c r="AE369" s="115"/>
      <c r="AF369" s="115"/>
      <c r="AG369" s="115"/>
      <c r="AH369" s="115"/>
      <c r="AI369" s="115"/>
      <c r="AJ369" s="119"/>
      <c r="AK369" s="119"/>
      <c r="AL369" s="119"/>
      <c r="AM369" s="561"/>
      <c r="AN369" s="561"/>
      <c r="AO369" s="176"/>
    </row>
    <row r="370" spans="1:41" ht="15.75" customHeight="1" thickBot="1" x14ac:dyDescent="0.4">
      <c r="A370" s="115"/>
      <c r="B370" s="1387"/>
      <c r="C370" s="1387"/>
      <c r="D370" s="115"/>
      <c r="E370" s="115"/>
      <c r="F370" s="115"/>
      <c r="G370" s="115"/>
      <c r="H370" s="115"/>
      <c r="I370" s="115"/>
      <c r="J370" s="115"/>
      <c r="K370" s="115"/>
      <c r="L370" s="115"/>
      <c r="M370" s="115"/>
      <c r="N370" s="115"/>
      <c r="O370" s="115"/>
      <c r="P370" s="115"/>
      <c r="Q370" s="115"/>
      <c r="R370" s="115"/>
      <c r="S370" s="115"/>
      <c r="T370" s="115"/>
      <c r="U370" s="115"/>
      <c r="V370" s="115"/>
      <c r="W370" s="115"/>
      <c r="X370" s="115"/>
      <c r="Y370" s="115"/>
      <c r="Z370" s="115"/>
      <c r="AA370" s="115"/>
      <c r="AB370" s="115"/>
      <c r="AC370" s="115"/>
      <c r="AD370" s="115"/>
      <c r="AE370" s="115"/>
      <c r="AF370" s="115"/>
      <c r="AG370" s="115"/>
      <c r="AH370" s="115"/>
      <c r="AI370" s="115"/>
      <c r="AJ370" s="119"/>
      <c r="AK370" s="119"/>
      <c r="AL370" s="119"/>
      <c r="AM370" s="561"/>
      <c r="AN370" s="561"/>
      <c r="AO370" s="176"/>
    </row>
    <row r="371" spans="1:41" ht="15.75" customHeight="1" thickBot="1" x14ac:dyDescent="0.4">
      <c r="A371" s="115"/>
      <c r="B371" s="1387"/>
      <c r="C371" s="1387"/>
      <c r="D371" s="115"/>
      <c r="E371" s="115"/>
      <c r="F371" s="115"/>
      <c r="G371" s="115"/>
      <c r="H371" s="115"/>
      <c r="I371" s="115"/>
      <c r="J371" s="115"/>
      <c r="K371" s="115"/>
      <c r="L371" s="115"/>
      <c r="M371" s="115"/>
      <c r="N371" s="115"/>
      <c r="O371" s="115"/>
      <c r="P371" s="115"/>
      <c r="Q371" s="115"/>
      <c r="R371" s="115"/>
      <c r="S371" s="115"/>
      <c r="T371" s="115"/>
      <c r="U371" s="115"/>
      <c r="V371" s="115"/>
      <c r="W371" s="115"/>
      <c r="X371" s="115"/>
      <c r="Y371" s="115"/>
      <c r="Z371" s="115"/>
      <c r="AA371" s="115"/>
      <c r="AB371" s="115"/>
      <c r="AC371" s="115"/>
      <c r="AD371" s="115"/>
      <c r="AE371" s="115"/>
      <c r="AF371" s="115"/>
      <c r="AG371" s="115"/>
      <c r="AH371" s="115"/>
      <c r="AI371" s="115"/>
      <c r="AJ371" s="119"/>
      <c r="AK371" s="119"/>
      <c r="AL371" s="119"/>
      <c r="AM371" s="561"/>
      <c r="AN371" s="561"/>
      <c r="AO371" s="176"/>
    </row>
    <row r="372" spans="1:41" ht="15.75" customHeight="1" x14ac:dyDescent="0.35"/>
    <row r="373" spans="1:41" ht="15.75" customHeight="1" x14ac:dyDescent="0.35"/>
    <row r="374" spans="1:41" ht="15.75" customHeight="1" x14ac:dyDescent="0.35"/>
    <row r="375" spans="1:41" ht="15.75" customHeight="1" x14ac:dyDescent="0.35"/>
    <row r="376" spans="1:41" ht="15.75" customHeight="1" x14ac:dyDescent="0.35"/>
    <row r="377" spans="1:41" ht="15.75" customHeight="1" x14ac:dyDescent="0.35"/>
    <row r="378" spans="1:41" ht="15.75" customHeight="1" x14ac:dyDescent="0.35"/>
    <row r="379" spans="1:41" ht="15.75" customHeight="1" x14ac:dyDescent="0.35"/>
    <row r="380" spans="1:41" ht="15.75" customHeight="1" x14ac:dyDescent="0.35"/>
    <row r="381" spans="1:41" ht="15.75" customHeight="1" x14ac:dyDescent="0.35"/>
    <row r="382" spans="1:41" ht="15.75" customHeight="1" x14ac:dyDescent="0.35"/>
    <row r="383" spans="1:41" ht="15.75" customHeight="1" x14ac:dyDescent="0.35"/>
    <row r="384" spans="1:41"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sheetProtection password="DF7C" sheet="1" objects="1" scenarios="1"/>
  <autoFilter ref="B2:AS171">
    <filterColumn colId="0" showButton="0"/>
  </autoFilter>
  <mergeCells count="39">
    <mergeCell ref="B167:C167"/>
    <mergeCell ref="B168:C168"/>
    <mergeCell ref="B135:C135"/>
    <mergeCell ref="B136:C136"/>
    <mergeCell ref="B140:C140"/>
    <mergeCell ref="B144:C144"/>
    <mergeCell ref="B150:C150"/>
    <mergeCell ref="B159:C159"/>
    <mergeCell ref="B121:C121"/>
    <mergeCell ref="B77:C77"/>
    <mergeCell ref="B79:C79"/>
    <mergeCell ref="B82:C82"/>
    <mergeCell ref="B83:C83"/>
    <mergeCell ref="B91:C91"/>
    <mergeCell ref="B95:C95"/>
    <mergeCell ref="B97:C97"/>
    <mergeCell ref="B98:C98"/>
    <mergeCell ref="B100:C100"/>
    <mergeCell ref="B105:C105"/>
    <mergeCell ref="B109:C109"/>
    <mergeCell ref="B73:C73"/>
    <mergeCell ref="B33:C33"/>
    <mergeCell ref="B37:C37"/>
    <mergeCell ref="B38:C38"/>
    <mergeCell ref="B46:C46"/>
    <mergeCell ref="B50:C50"/>
    <mergeCell ref="B53:C53"/>
    <mergeCell ref="B57:C57"/>
    <mergeCell ref="B60:C60"/>
    <mergeCell ref="B61:C61"/>
    <mergeCell ref="B64:C64"/>
    <mergeCell ref="B69:C69"/>
    <mergeCell ref="B27:C27"/>
    <mergeCell ref="B2:C2"/>
    <mergeCell ref="B3:C3"/>
    <mergeCell ref="B4:C4"/>
    <mergeCell ref="B5:C5"/>
    <mergeCell ref="B22:C22"/>
    <mergeCell ref="B26:C26"/>
  </mergeCells>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U341"/>
  <sheetViews>
    <sheetView zoomScale="30" zoomScaleNormal="30" workbookViewId="0">
      <pane xSplit="3" ySplit="4" topLeftCell="D20" activePane="bottomRight" state="frozen"/>
      <selection pane="topRight" activeCell="D1" sqref="D1"/>
      <selection pane="bottomLeft" activeCell="A5" sqref="A5"/>
      <selection pane="bottomRight" activeCell="L21" sqref="L21"/>
    </sheetView>
  </sheetViews>
  <sheetFormatPr baseColWidth="10" defaultColWidth="14.44140625" defaultRowHeight="67.2" customHeight="1" x14ac:dyDescent="0.35"/>
  <cols>
    <col min="1" max="1" width="3.6640625" style="118" customWidth="1"/>
    <col min="2" max="2" width="58" style="1389" customWidth="1"/>
    <col min="3" max="3" width="52.6640625" style="1389" customWidth="1"/>
    <col min="4" max="4" width="38.6640625" style="118" customWidth="1"/>
    <col min="5" max="5" width="34.88671875" style="118" customWidth="1"/>
    <col min="6" max="6" width="42.109375" style="118" customWidth="1"/>
    <col min="7" max="7" width="34.5546875" style="118" customWidth="1"/>
    <col min="8" max="9" width="34.88671875" style="118" customWidth="1"/>
    <col min="10" max="10" width="35.109375" style="118" customWidth="1"/>
    <col min="11" max="12" width="35.33203125" style="118" customWidth="1"/>
    <col min="13" max="13" width="40.33203125" style="118" hidden="1" customWidth="1"/>
    <col min="14" max="14" width="33.6640625" style="118" hidden="1" customWidth="1"/>
    <col min="15" max="15" width="39.44140625" style="118" hidden="1" customWidth="1"/>
    <col min="16" max="16" width="32.6640625" style="118" customWidth="1"/>
    <col min="17" max="17" width="32.6640625" style="118" hidden="1" customWidth="1"/>
    <col min="18" max="18" width="31.88671875" style="118" hidden="1" customWidth="1"/>
    <col min="19" max="19" width="34.21875" style="118" hidden="1" customWidth="1"/>
    <col min="20" max="21" width="39.6640625" style="118" hidden="1" customWidth="1"/>
    <col min="22" max="22" width="30.5546875" style="118" customWidth="1"/>
    <col min="23" max="24" width="34.88671875" style="118" customWidth="1"/>
    <col min="25" max="25" width="33.33203125" style="118" customWidth="1"/>
    <col min="26" max="26" width="38.109375" style="118" hidden="1" customWidth="1"/>
    <col min="27" max="27" width="37.44140625" style="118" hidden="1" customWidth="1"/>
    <col min="28" max="28" width="43.6640625" style="118" customWidth="1"/>
    <col min="29" max="29" width="42" style="118" customWidth="1"/>
    <col min="30" max="31" width="37.21875" style="118" customWidth="1"/>
    <col min="32" max="32" width="42.6640625" style="118" hidden="1" customWidth="1"/>
    <col min="33" max="34" width="40.109375" style="118" hidden="1" customWidth="1"/>
    <col min="35" max="35" width="39.21875" style="118" customWidth="1"/>
    <col min="36" max="36" width="41.21875" style="118" customWidth="1"/>
    <col min="37" max="37" width="44.5546875" style="118" customWidth="1"/>
    <col min="38" max="38" width="42.77734375" style="118" customWidth="1"/>
    <col min="39" max="40" width="40" style="118" customWidth="1"/>
    <col min="41" max="41" width="59" style="118" hidden="1" customWidth="1"/>
    <col min="42" max="42" width="70" style="118" hidden="1" customWidth="1"/>
    <col min="43" max="43" width="53.6640625" style="118" hidden="1" customWidth="1"/>
    <col min="44" max="44" width="73" style="118" hidden="1" customWidth="1"/>
    <col min="45" max="45" width="61.77734375" style="118" hidden="1" customWidth="1"/>
    <col min="46" max="46" width="54.88671875" style="118" hidden="1" customWidth="1"/>
    <col min="47" max="47" width="63" style="118" hidden="1" customWidth="1"/>
    <col min="48" max="48" width="70.44140625" style="118" hidden="1" customWidth="1"/>
    <col min="49" max="49" width="66.21875" style="118" hidden="1" customWidth="1"/>
    <col min="50" max="52" width="10.6640625" style="118" customWidth="1"/>
    <col min="53" max="16384" width="14.44140625" style="118"/>
  </cols>
  <sheetData>
    <row r="1" spans="1:125" ht="33.6" customHeight="1" thickBot="1" x14ac:dyDescent="0.4">
      <c r="A1" s="115"/>
      <c r="B1" s="1371"/>
      <c r="C1" s="1371"/>
      <c r="D1" s="116"/>
      <c r="E1" s="116"/>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c r="AE1" s="116"/>
      <c r="AF1" s="116"/>
      <c r="AG1" s="116"/>
      <c r="AH1" s="116"/>
      <c r="AI1" s="116"/>
      <c r="AJ1" s="116"/>
      <c r="AK1" s="116"/>
      <c r="AL1" s="116"/>
      <c r="AM1" s="116"/>
      <c r="AN1" s="116"/>
      <c r="AO1" s="116"/>
      <c r="AP1" s="115"/>
      <c r="AQ1" s="115"/>
      <c r="AR1" s="115"/>
      <c r="AS1" s="115"/>
      <c r="AT1" s="115"/>
      <c r="AU1" s="115"/>
    </row>
    <row r="2" spans="1:125" s="259" customFormat="1" ht="222.6" customHeight="1" thickBot="1" x14ac:dyDescent="0.45">
      <c r="A2" s="253"/>
      <c r="B2" s="1287" t="s">
        <v>0</v>
      </c>
      <c r="C2" s="1288"/>
      <c r="D2" s="254" t="s">
        <v>1</v>
      </c>
      <c r="E2" s="255" t="s">
        <v>2</v>
      </c>
      <c r="F2" s="256" t="s">
        <v>3</v>
      </c>
      <c r="G2" s="256" t="s">
        <v>4</v>
      </c>
      <c r="H2" s="256" t="s">
        <v>1867</v>
      </c>
      <c r="I2" s="859" t="s">
        <v>2230</v>
      </c>
      <c r="J2" s="256" t="s">
        <v>5</v>
      </c>
      <c r="K2" s="256" t="s">
        <v>1868</v>
      </c>
      <c r="L2" s="859" t="s">
        <v>2229</v>
      </c>
      <c r="M2" s="865" t="s">
        <v>6</v>
      </c>
      <c r="N2" s="865" t="s">
        <v>1869</v>
      </c>
      <c r="O2" s="1304" t="s">
        <v>2249</v>
      </c>
      <c r="P2" s="866" t="s">
        <v>1841</v>
      </c>
      <c r="Q2" s="867" t="s">
        <v>1870</v>
      </c>
      <c r="R2" s="867" t="s">
        <v>1872</v>
      </c>
      <c r="S2" s="867" t="s">
        <v>1871</v>
      </c>
      <c r="T2" s="867" t="s">
        <v>2134</v>
      </c>
      <c r="U2" s="867" t="s">
        <v>2176</v>
      </c>
      <c r="V2" s="867" t="s">
        <v>1873</v>
      </c>
      <c r="W2" s="1305" t="s">
        <v>2232</v>
      </c>
      <c r="X2" s="859" t="s">
        <v>2231</v>
      </c>
      <c r="Y2" s="859" t="s">
        <v>2233</v>
      </c>
      <c r="Z2" s="859" t="s">
        <v>2234</v>
      </c>
      <c r="AA2" s="868" t="s">
        <v>2235</v>
      </c>
      <c r="AB2" s="1306" t="s">
        <v>2236</v>
      </c>
      <c r="AC2" s="437" t="s">
        <v>7</v>
      </c>
      <c r="AD2" s="857" t="s">
        <v>2237</v>
      </c>
      <c r="AE2" s="1306" t="s">
        <v>2299</v>
      </c>
      <c r="AF2" s="811" t="s">
        <v>8</v>
      </c>
      <c r="AG2" s="871" t="s">
        <v>2238</v>
      </c>
      <c r="AH2" s="1304" t="s">
        <v>2247</v>
      </c>
      <c r="AI2" s="368" t="s">
        <v>1875</v>
      </c>
      <c r="AJ2" s="368" t="s">
        <v>2239</v>
      </c>
      <c r="AK2" s="1307" t="s">
        <v>2300</v>
      </c>
      <c r="AL2" s="871" t="s">
        <v>1843</v>
      </c>
      <c r="AM2" s="811" t="s">
        <v>2250</v>
      </c>
      <c r="AN2" s="1304" t="s">
        <v>2301</v>
      </c>
      <c r="AO2" s="257" t="s">
        <v>2177</v>
      </c>
      <c r="AP2" s="871" t="s">
        <v>1876</v>
      </c>
      <c r="AQ2" s="811" t="s">
        <v>2012</v>
      </c>
      <c r="AR2" s="749" t="s">
        <v>2013</v>
      </c>
      <c r="AS2" s="750" t="s">
        <v>2059</v>
      </c>
      <c r="AT2" s="750" t="s">
        <v>2135</v>
      </c>
      <c r="AU2" s="982" t="s">
        <v>1874</v>
      </c>
      <c r="AV2" s="991" t="s">
        <v>2242</v>
      </c>
      <c r="AW2" s="991" t="s">
        <v>2293</v>
      </c>
      <c r="AX2" s="258"/>
      <c r="AY2" s="258"/>
      <c r="AZ2" s="258"/>
      <c r="BA2" s="258"/>
      <c r="BB2" s="258"/>
      <c r="BC2" s="258"/>
      <c r="BD2" s="258"/>
      <c r="BE2" s="258"/>
      <c r="BF2" s="258"/>
      <c r="BG2" s="258"/>
      <c r="BH2" s="258"/>
      <c r="BI2" s="258"/>
      <c r="BJ2" s="258"/>
      <c r="BK2" s="258"/>
      <c r="BL2" s="258"/>
      <c r="BM2" s="258"/>
      <c r="BN2" s="258"/>
      <c r="BO2" s="258"/>
      <c r="BP2" s="258"/>
      <c r="BQ2" s="258"/>
      <c r="BR2" s="258"/>
      <c r="BS2" s="258"/>
      <c r="BT2" s="258"/>
      <c r="BU2" s="258"/>
      <c r="BV2" s="258"/>
      <c r="BW2" s="258"/>
      <c r="BX2" s="258"/>
      <c r="BY2" s="258"/>
      <c r="BZ2" s="258"/>
      <c r="CA2" s="258"/>
      <c r="CB2" s="258"/>
      <c r="CC2" s="258"/>
      <c r="CD2" s="258"/>
      <c r="CE2" s="258"/>
      <c r="CF2" s="258"/>
      <c r="CG2" s="258"/>
      <c r="CH2" s="258"/>
      <c r="CI2" s="258"/>
      <c r="CJ2" s="258"/>
      <c r="CK2" s="258"/>
      <c r="CL2" s="258"/>
      <c r="CM2" s="258"/>
      <c r="CN2" s="258"/>
      <c r="CO2" s="258"/>
      <c r="CP2" s="258"/>
      <c r="CQ2" s="258"/>
      <c r="CR2" s="258"/>
      <c r="CS2" s="258"/>
      <c r="CT2" s="258"/>
      <c r="CU2" s="258"/>
      <c r="CV2" s="258"/>
      <c r="CW2" s="258"/>
      <c r="CX2" s="258"/>
      <c r="CY2" s="258"/>
      <c r="CZ2" s="258"/>
      <c r="DA2" s="258"/>
      <c r="DB2" s="258"/>
      <c r="DC2" s="258"/>
      <c r="DD2" s="258"/>
      <c r="DE2" s="258"/>
      <c r="DF2" s="258"/>
      <c r="DG2" s="258"/>
      <c r="DH2" s="258"/>
      <c r="DI2" s="258"/>
      <c r="DJ2" s="258"/>
      <c r="DK2" s="258"/>
      <c r="DL2" s="258"/>
      <c r="DM2" s="258"/>
      <c r="DN2" s="258"/>
      <c r="DO2" s="258"/>
      <c r="DP2" s="258"/>
      <c r="DQ2" s="258"/>
      <c r="DR2" s="258"/>
      <c r="DS2" s="258"/>
      <c r="DT2" s="258"/>
      <c r="DU2" s="258"/>
    </row>
    <row r="3" spans="1:125" s="105" customFormat="1" ht="129" customHeight="1" thickBot="1" x14ac:dyDescent="0.9">
      <c r="A3" s="104"/>
      <c r="B3" s="1416" t="s">
        <v>1816</v>
      </c>
      <c r="C3" s="1417"/>
      <c r="D3" s="244"/>
      <c r="E3" s="245">
        <v>0.08</v>
      </c>
      <c r="F3" s="246"/>
      <c r="G3" s="247"/>
      <c r="H3" s="247"/>
      <c r="I3" s="247"/>
      <c r="J3" s="248">
        <f t="shared" ref="J3:O3" si="0">+(J4+J17+J48+J57+J77+J109)/6</f>
        <v>0.23222048675539217</v>
      </c>
      <c r="K3" s="504">
        <f t="shared" si="0"/>
        <v>0.28247799844447724</v>
      </c>
      <c r="L3" s="504">
        <f t="shared" si="0"/>
        <v>0.29285203758620826</v>
      </c>
      <c r="M3" s="505">
        <f t="shared" si="0"/>
        <v>0.21726216822485131</v>
      </c>
      <c r="N3" s="505">
        <f t="shared" si="0"/>
        <v>0.25962902970153884</v>
      </c>
      <c r="O3" s="505">
        <f t="shared" si="0"/>
        <v>0</v>
      </c>
      <c r="P3" s="249"/>
      <c r="Q3" s="249"/>
      <c r="R3" s="249"/>
      <c r="S3" s="249"/>
      <c r="T3" s="249"/>
      <c r="U3" s="843"/>
      <c r="V3" s="249"/>
      <c r="W3" s="249"/>
      <c r="X3" s="249"/>
      <c r="Y3" s="249"/>
      <c r="Z3" s="249"/>
      <c r="AA3" s="249"/>
      <c r="AB3" s="249"/>
      <c r="AC3" s="504">
        <f>+(AC4+AC17+AC48+AC57+AC77+AC109)/6</f>
        <v>0.91685226242112661</v>
      </c>
      <c r="AD3" s="504">
        <f>+(AD4+AD17+AD48+AD57+AD77+AD109)/6</f>
        <v>0.88535453902418837</v>
      </c>
      <c r="AE3" s="504">
        <f>+(AE4+AE17+AE48+AE57+AE77+AE109)/6</f>
        <v>0.49872630262426565</v>
      </c>
      <c r="AF3" s="505">
        <f>F4+F17+F48+F57+F77+F109</f>
        <v>0.75143767106226866</v>
      </c>
      <c r="AG3" s="505">
        <f>H4+H17+H48+H57+H77+H109</f>
        <v>0.85320446441075104</v>
      </c>
      <c r="AH3" s="505">
        <f>I4+I17+I48+I57+I77+I109</f>
        <v>0.48518363125457903</v>
      </c>
      <c r="AI3" s="504">
        <f>+(AI4+AI17+AI48+AI57+AI77+AI109)/6</f>
        <v>0.21689546793257833</v>
      </c>
      <c r="AJ3" s="504">
        <v>0.54534437455673601</v>
      </c>
      <c r="AK3" s="504">
        <f>+(AK4+AK17+AK48+AK57+AK77+AK109)/6</f>
        <v>0.63495673370693095</v>
      </c>
      <c r="AL3" s="505">
        <f>+(AL4+AL17+AL48+AL57+AL77+AL109)/6</f>
        <v>0.19300125399793866</v>
      </c>
      <c r="AM3" s="505">
        <f>+(AM4*E4+AM17*E17+AM48*E48+AM57*E57+AM77*E77+AM109*E109)</f>
        <v>0.50552782129594898</v>
      </c>
      <c r="AN3" s="505">
        <f>+(AN4*E4+AN17*E17+AN48*E48+AN57*E57+AN77*E77+AN109*E109)</f>
        <v>0.61640078657492781</v>
      </c>
      <c r="AO3" s="249"/>
      <c r="AP3" s="249"/>
      <c r="AQ3" s="249"/>
      <c r="AR3" s="249"/>
      <c r="AS3" s="779"/>
      <c r="AT3" s="993"/>
      <c r="AU3" s="783"/>
      <c r="AV3" s="992"/>
    </row>
    <row r="4" spans="1:125" s="607" customFormat="1" ht="67.2" customHeight="1" thickBot="1" x14ac:dyDescent="0.5">
      <c r="A4" s="721"/>
      <c r="B4" s="1418" t="s">
        <v>1584</v>
      </c>
      <c r="C4" s="1334"/>
      <c r="D4" s="722"/>
      <c r="E4" s="723">
        <v>0.15</v>
      </c>
      <c r="F4" s="724">
        <f>+E4*AF4</f>
        <v>9.6000000000000002E-2</v>
      </c>
      <c r="G4" s="725"/>
      <c r="H4" s="724">
        <f>+E4*AG4</f>
        <v>0.12074999999999998</v>
      </c>
      <c r="I4" s="724">
        <f>+E4*AH4</f>
        <v>8.8607142857142857E-2</v>
      </c>
      <c r="J4" s="616">
        <f>+(J5+J9+J12)/2</f>
        <v>0.24124999999999999</v>
      </c>
      <c r="K4" s="616">
        <f>+(K5+K9+K12)/3</f>
        <v>0.23564814814814816</v>
      </c>
      <c r="L4" s="616">
        <f>+(L5+L9+L12)/3</f>
        <v>0.28537037037037033</v>
      </c>
      <c r="M4" s="615">
        <f>+(M5+M9+M12)/2</f>
        <v>0.24783333333333332</v>
      </c>
      <c r="N4" s="615">
        <f>+(N5+N9+N12)/3</f>
        <v>0.17905555555555552</v>
      </c>
      <c r="O4" s="615">
        <f>+(O5+O9+O12)/3</f>
        <v>0</v>
      </c>
      <c r="P4" s="620"/>
      <c r="Q4" s="620"/>
      <c r="R4" s="620"/>
      <c r="S4" s="620"/>
      <c r="T4" s="620"/>
      <c r="U4" s="844"/>
      <c r="V4" s="620"/>
      <c r="W4" s="620"/>
      <c r="X4" s="620"/>
      <c r="Y4" s="620"/>
      <c r="Z4" s="620"/>
      <c r="AA4" s="620"/>
      <c r="AB4" s="620"/>
      <c r="AC4" s="616">
        <f>+(AC5+AC9+AC12)/2</f>
        <v>0.875</v>
      </c>
      <c r="AD4" s="616">
        <f>+(AD5+AD9+AD12)/3</f>
        <v>0.77777777777777768</v>
      </c>
      <c r="AE4" s="616">
        <f>+(AE5+AE9+AE12)/3</f>
        <v>0.53769841269841268</v>
      </c>
      <c r="AF4" s="615">
        <f>+AF5+AF9+AF12</f>
        <v>0.64</v>
      </c>
      <c r="AG4" s="615">
        <f>+AG5+AG9+AG12</f>
        <v>0.80499999999999994</v>
      </c>
      <c r="AH4" s="615">
        <f>+AH5+AH9+AH12</f>
        <v>0.59071428571428575</v>
      </c>
      <c r="AI4" s="616">
        <f>(AI5+AI9+AI12)/2</f>
        <v>0.21</v>
      </c>
      <c r="AJ4" s="616">
        <v>0.47580555555555559</v>
      </c>
      <c r="AK4" s="616">
        <f>+((AK5-AJ5)/3)+((AK9-AJ9)/3)+((AK12-AJ12)/3)+AJ4</f>
        <v>0.55813888888888896</v>
      </c>
      <c r="AL4" s="726">
        <f>(AL5+AL9+AL12)</f>
        <v>0.15870000000000001</v>
      </c>
      <c r="AM4" s="726">
        <f>(AM5*E5+AM9*E9+AM12*E12)</f>
        <v>0.41844000000000003</v>
      </c>
      <c r="AN4" s="726">
        <f>(AN5*E5+AN9*E9+AN12*E12)</f>
        <v>0.5194399999999999</v>
      </c>
      <c r="AO4" s="620"/>
      <c r="AP4" s="727" t="s">
        <v>1984</v>
      </c>
      <c r="AQ4" s="620"/>
      <c r="AR4" s="620"/>
      <c r="AS4" s="780"/>
      <c r="AT4" s="780"/>
      <c r="AU4" s="620"/>
      <c r="AV4" s="753"/>
    </row>
    <row r="5" spans="1:125" ht="67.2" customHeight="1" thickBot="1" x14ac:dyDescent="0.4">
      <c r="A5" s="223"/>
      <c r="B5" s="1419" t="s">
        <v>1817</v>
      </c>
      <c r="C5" s="1375"/>
      <c r="D5" s="225"/>
      <c r="E5" s="228">
        <v>0.3</v>
      </c>
      <c r="F5" s="177"/>
      <c r="G5" s="127"/>
      <c r="H5" s="127"/>
      <c r="I5" s="127"/>
      <c r="J5" s="133"/>
      <c r="K5" s="133">
        <f>+AVERAGE(K6:K8)</f>
        <v>0.30444444444444446</v>
      </c>
      <c r="L5" s="133">
        <f>+AVERAGE(L6:L8)</f>
        <v>0.34611111111111109</v>
      </c>
      <c r="M5" s="133"/>
      <c r="N5" s="133">
        <f>+N6+N7+N8</f>
        <v>0.13749999999999998</v>
      </c>
      <c r="O5" s="133"/>
      <c r="P5" s="132"/>
      <c r="Q5" s="132"/>
      <c r="R5" s="132"/>
      <c r="S5" s="132"/>
      <c r="T5" s="132"/>
      <c r="U5" s="839"/>
      <c r="V5" s="132"/>
      <c r="W5" s="132"/>
      <c r="X5" s="132"/>
      <c r="Y5" s="132"/>
      <c r="Z5" s="132"/>
      <c r="AA5" s="132"/>
      <c r="AB5" s="132"/>
      <c r="AC5" s="154"/>
      <c r="AD5" s="154">
        <f>+AVERAGE(AD6:AD8)</f>
        <v>0.33333333333333331</v>
      </c>
      <c r="AE5" s="154">
        <f>+AVERAGE(AE6:AE8)</f>
        <v>0</v>
      </c>
      <c r="AF5" s="154"/>
      <c r="AG5" s="154">
        <f>+(AG6+AG7+AG8)*E5</f>
        <v>0.105</v>
      </c>
      <c r="AH5" s="154">
        <f>+(AH6+AH7+AH8)*E5</f>
        <v>0</v>
      </c>
      <c r="AI5" s="133"/>
      <c r="AJ5" s="133">
        <v>0.11549999999999999</v>
      </c>
      <c r="AK5" s="133">
        <f>+AVERAGE(AK6:AK8)</f>
        <v>0.11666666666666665</v>
      </c>
      <c r="AL5" s="133"/>
      <c r="AM5" s="133">
        <f>+(AM6+AM7+AM8)</f>
        <v>0.12249999999999998</v>
      </c>
      <c r="AN5" s="133">
        <f>+(AN6+AN7+AN8)</f>
        <v>0.12249999999999998</v>
      </c>
      <c r="AO5" s="127"/>
      <c r="AP5" s="127"/>
      <c r="AQ5" s="127"/>
      <c r="AR5" s="127"/>
      <c r="AS5" s="564"/>
      <c r="AT5" s="564"/>
      <c r="AU5" s="127"/>
      <c r="AV5" s="490"/>
    </row>
    <row r="6" spans="1:125" ht="67.2" customHeight="1" thickBot="1" x14ac:dyDescent="0.4">
      <c r="A6" s="223"/>
      <c r="B6" s="1390" t="s">
        <v>955</v>
      </c>
      <c r="C6" s="1390" t="s">
        <v>1162</v>
      </c>
      <c r="D6" s="225" t="s">
        <v>516</v>
      </c>
      <c r="E6" s="185">
        <v>0.35</v>
      </c>
      <c r="F6" s="186">
        <v>40</v>
      </c>
      <c r="G6" s="134">
        <v>0</v>
      </c>
      <c r="H6" s="134">
        <v>10</v>
      </c>
      <c r="I6" s="134">
        <v>15</v>
      </c>
      <c r="J6" s="139"/>
      <c r="K6" s="139">
        <f>+H6/F6</f>
        <v>0.25</v>
      </c>
      <c r="L6" s="139">
        <f>+I6/F6</f>
        <v>0.375</v>
      </c>
      <c r="M6" s="139"/>
      <c r="N6" s="139">
        <f>+(H6/F6)*E6</f>
        <v>8.7499999999999994E-2</v>
      </c>
      <c r="O6" s="139"/>
      <c r="P6" s="134"/>
      <c r="Q6" s="496">
        <v>1</v>
      </c>
      <c r="R6" s="496">
        <v>7</v>
      </c>
      <c r="S6" s="496">
        <v>6</v>
      </c>
      <c r="T6" s="496">
        <v>0</v>
      </c>
      <c r="U6" s="496">
        <v>0</v>
      </c>
      <c r="V6" s="134">
        <f>+Q6+R6+S6+T6+U6</f>
        <v>14</v>
      </c>
      <c r="W6" s="134">
        <f>+V6+P6+AB6</f>
        <v>14</v>
      </c>
      <c r="X6" s="496">
        <v>0</v>
      </c>
      <c r="Y6" s="496">
        <v>0</v>
      </c>
      <c r="Z6" s="134"/>
      <c r="AA6" s="134"/>
      <c r="AB6" s="134">
        <f>+X6+Y6+Z6+AA6</f>
        <v>0</v>
      </c>
      <c r="AC6" s="140"/>
      <c r="AD6" s="139">
        <v>1</v>
      </c>
      <c r="AE6" s="139">
        <f>+AB6/I6</f>
        <v>0</v>
      </c>
      <c r="AF6" s="141"/>
      <c r="AG6" s="141">
        <f>+AD6*E6</f>
        <v>0.35</v>
      </c>
      <c r="AH6" s="141">
        <f>+AE6*E6</f>
        <v>0</v>
      </c>
      <c r="AI6" s="139"/>
      <c r="AJ6" s="156">
        <v>0.35</v>
      </c>
      <c r="AK6" s="156">
        <f>+W6/F6</f>
        <v>0.35</v>
      </c>
      <c r="AL6" s="139"/>
      <c r="AM6" s="156">
        <f>+AJ6*E6</f>
        <v>0.12249999999999998</v>
      </c>
      <c r="AN6" s="156">
        <f>+AK6*E6</f>
        <v>0.12249999999999998</v>
      </c>
      <c r="AO6" s="206" t="s">
        <v>1846</v>
      </c>
      <c r="AP6" s="127"/>
      <c r="AQ6" s="526" t="s">
        <v>1991</v>
      </c>
      <c r="AR6" s="526" t="s">
        <v>2010</v>
      </c>
      <c r="AS6" s="688" t="s">
        <v>2107</v>
      </c>
      <c r="AT6" s="684" t="s">
        <v>1859</v>
      </c>
      <c r="AU6" s="526" t="s">
        <v>2196</v>
      </c>
      <c r="AV6" s="526" t="s">
        <v>1887</v>
      </c>
      <c r="AW6" s="526" t="s">
        <v>2294</v>
      </c>
    </row>
    <row r="7" spans="1:125" ht="67.2" customHeight="1" thickBot="1" x14ac:dyDescent="0.4">
      <c r="A7" s="223"/>
      <c r="B7" s="1390" t="s">
        <v>956</v>
      </c>
      <c r="C7" s="1390" t="s">
        <v>1163</v>
      </c>
      <c r="D7" s="225" t="s">
        <v>516</v>
      </c>
      <c r="E7" s="188">
        <v>0.5</v>
      </c>
      <c r="F7" s="186">
        <v>1</v>
      </c>
      <c r="G7" s="134">
        <v>0</v>
      </c>
      <c r="H7" s="134">
        <v>0.33</v>
      </c>
      <c r="I7" s="134" t="s">
        <v>2262</v>
      </c>
      <c r="J7" s="139"/>
      <c r="K7" s="139">
        <f>+H7/F7</f>
        <v>0.33</v>
      </c>
      <c r="L7" s="139">
        <f>+I7/F7</f>
        <v>0.33</v>
      </c>
      <c r="M7" s="139"/>
      <c r="N7" s="139"/>
      <c r="O7" s="139"/>
      <c r="P7" s="134"/>
      <c r="Q7" s="496"/>
      <c r="R7" s="496">
        <v>0</v>
      </c>
      <c r="S7" s="496"/>
      <c r="T7" s="496">
        <v>0</v>
      </c>
      <c r="U7" s="496">
        <v>0</v>
      </c>
      <c r="V7" s="134">
        <f t="shared" ref="V7:V70" si="1">+Q7+R7+S7+T7+U7</f>
        <v>0</v>
      </c>
      <c r="W7" s="134">
        <f t="shared" ref="W7:W16" si="2">+V7+P7+AB7</f>
        <v>0</v>
      </c>
      <c r="X7" s="496">
        <v>0</v>
      </c>
      <c r="Y7" s="496">
        <v>0</v>
      </c>
      <c r="Z7" s="134"/>
      <c r="AA7" s="134"/>
      <c r="AB7" s="134">
        <f t="shared" ref="AB7:AB16" si="3">+X7+Y7+Z7+AA7</f>
        <v>0</v>
      </c>
      <c r="AC7" s="140"/>
      <c r="AD7" s="139">
        <f>+V7/H7</f>
        <v>0</v>
      </c>
      <c r="AE7" s="139">
        <f>+AB7/I7</f>
        <v>0</v>
      </c>
      <c r="AF7" s="141"/>
      <c r="AG7" s="141"/>
      <c r="AH7" s="141">
        <f t="shared" ref="AH7:AH16" si="4">+AE7*E7</f>
        <v>0</v>
      </c>
      <c r="AI7" s="139"/>
      <c r="AJ7" s="156">
        <v>0</v>
      </c>
      <c r="AK7" s="156">
        <f t="shared" ref="AK7:AK15" si="5">+W7/F7</f>
        <v>0</v>
      </c>
      <c r="AL7" s="139"/>
      <c r="AM7" s="156">
        <f>+AJ7*E7</f>
        <v>0</v>
      </c>
      <c r="AN7" s="156">
        <f t="shared" ref="AN7:AN16" si="6">+AK7*E7</f>
        <v>0</v>
      </c>
      <c r="AO7" s="206" t="s">
        <v>1846</v>
      </c>
      <c r="AP7" s="127"/>
      <c r="AQ7" s="526" t="s">
        <v>1991</v>
      </c>
      <c r="AR7" s="526" t="s">
        <v>2010</v>
      </c>
      <c r="AS7" s="683" t="s">
        <v>2099</v>
      </c>
      <c r="AT7" s="688" t="s">
        <v>2141</v>
      </c>
      <c r="AU7" s="526" t="s">
        <v>2196</v>
      </c>
      <c r="AV7" s="526" t="s">
        <v>1887</v>
      </c>
      <c r="AW7" s="526" t="s">
        <v>2294</v>
      </c>
    </row>
    <row r="8" spans="1:125" ht="123" customHeight="1" thickBot="1" x14ac:dyDescent="0.4">
      <c r="A8" s="223"/>
      <c r="B8" s="1390" t="s">
        <v>957</v>
      </c>
      <c r="C8" s="1390" t="s">
        <v>1164</v>
      </c>
      <c r="D8" s="225" t="s">
        <v>516</v>
      </c>
      <c r="E8" s="229">
        <v>0.15</v>
      </c>
      <c r="F8" s="186">
        <v>3</v>
      </c>
      <c r="G8" s="134">
        <v>0</v>
      </c>
      <c r="H8" s="134">
        <v>1</v>
      </c>
      <c r="I8" s="134">
        <v>1</v>
      </c>
      <c r="J8" s="139"/>
      <c r="K8" s="139">
        <f t="shared" ref="K8" si="7">+H8/F8</f>
        <v>0.33333333333333331</v>
      </c>
      <c r="L8" s="139">
        <f t="shared" ref="L8:L15" si="8">+I8/F8</f>
        <v>0.33333333333333331</v>
      </c>
      <c r="M8" s="139"/>
      <c r="N8" s="139">
        <f t="shared" ref="N8" si="9">+(H8/F8)*E8</f>
        <v>4.9999999999999996E-2</v>
      </c>
      <c r="O8" s="139"/>
      <c r="P8" s="134"/>
      <c r="Q8" s="496">
        <v>0</v>
      </c>
      <c r="R8" s="496">
        <v>0</v>
      </c>
      <c r="S8" s="496">
        <v>0</v>
      </c>
      <c r="T8" s="496">
        <v>0</v>
      </c>
      <c r="U8" s="496">
        <v>0</v>
      </c>
      <c r="V8" s="134">
        <f t="shared" si="1"/>
        <v>0</v>
      </c>
      <c r="W8" s="134">
        <f t="shared" si="2"/>
        <v>0</v>
      </c>
      <c r="X8" s="496">
        <v>0</v>
      </c>
      <c r="Y8" s="496">
        <v>0</v>
      </c>
      <c r="Z8" s="134"/>
      <c r="AA8" s="134"/>
      <c r="AB8" s="134">
        <f t="shared" si="3"/>
        <v>0</v>
      </c>
      <c r="AC8" s="140"/>
      <c r="AD8" s="139">
        <f t="shared" ref="AD8" si="10">+V8/H8</f>
        <v>0</v>
      </c>
      <c r="AE8" s="139">
        <f t="shared" ref="AE8:AE13" si="11">+AB8/I8</f>
        <v>0</v>
      </c>
      <c r="AF8" s="141"/>
      <c r="AG8" s="141">
        <f>+AD8*E8</f>
        <v>0</v>
      </c>
      <c r="AH8" s="141">
        <f t="shared" si="4"/>
        <v>0</v>
      </c>
      <c r="AI8" s="139"/>
      <c r="AJ8" s="139">
        <v>0</v>
      </c>
      <c r="AK8" s="156">
        <f t="shared" si="5"/>
        <v>0</v>
      </c>
      <c r="AL8" s="139"/>
      <c r="AM8" s="156">
        <f>+AJ8*E8</f>
        <v>0</v>
      </c>
      <c r="AN8" s="156">
        <f t="shared" si="6"/>
        <v>0</v>
      </c>
      <c r="AO8" s="206" t="s">
        <v>1846</v>
      </c>
      <c r="AP8" s="543" t="s">
        <v>1913</v>
      </c>
      <c r="AQ8" s="127"/>
      <c r="AR8" s="526" t="s">
        <v>2010</v>
      </c>
      <c r="AS8" s="688" t="s">
        <v>2107</v>
      </c>
      <c r="AT8" s="688" t="s">
        <v>2141</v>
      </c>
      <c r="AU8" s="526" t="s">
        <v>2196</v>
      </c>
      <c r="AV8" s="526" t="s">
        <v>1887</v>
      </c>
      <c r="AW8" s="526" t="s">
        <v>2294</v>
      </c>
    </row>
    <row r="9" spans="1:125" ht="67.2" customHeight="1" thickBot="1" x14ac:dyDescent="0.4">
      <c r="A9" s="223"/>
      <c r="B9" s="1419" t="s">
        <v>1818</v>
      </c>
      <c r="C9" s="1375"/>
      <c r="D9" s="225"/>
      <c r="E9" s="230">
        <v>0.4</v>
      </c>
      <c r="F9" s="186"/>
      <c r="G9" s="134"/>
      <c r="H9" s="134"/>
      <c r="I9" s="134"/>
      <c r="J9" s="133">
        <f>+AVERAGE(J10:J11)</f>
        <v>0.25</v>
      </c>
      <c r="K9" s="133">
        <f>+AVERAGE(K10:K11)</f>
        <v>0.25</v>
      </c>
      <c r="L9" s="133">
        <f>+AVERAGE(L10:L11)</f>
        <v>0.1875</v>
      </c>
      <c r="M9" s="133">
        <f>+M10+M11</f>
        <v>0.25</v>
      </c>
      <c r="N9" s="133">
        <f>+N10+N11</f>
        <v>0.25</v>
      </c>
      <c r="O9" s="133"/>
      <c r="P9" s="132"/>
      <c r="Q9" s="132"/>
      <c r="R9" s="132"/>
      <c r="S9" s="132"/>
      <c r="T9" s="132"/>
      <c r="U9" s="839"/>
      <c r="V9" s="134"/>
      <c r="W9" s="134"/>
      <c r="X9" s="132"/>
      <c r="Y9" s="132"/>
      <c r="Z9" s="132"/>
      <c r="AA9" s="132"/>
      <c r="AB9" s="132"/>
      <c r="AC9" s="154">
        <f>+AVERAGE(AC10:AC11)</f>
        <v>0.75</v>
      </c>
      <c r="AD9" s="154">
        <f>+AVERAGE(AD10:AD11)</f>
        <v>1</v>
      </c>
      <c r="AE9" s="154">
        <f>+AVERAGE(AE10:AE11)</f>
        <v>1</v>
      </c>
      <c r="AF9" s="154">
        <f>+(AF10+AF11)*E9</f>
        <v>0.34</v>
      </c>
      <c r="AG9" s="154">
        <f>+(AG10+AG11)*E9</f>
        <v>0.4</v>
      </c>
      <c r="AH9" s="154">
        <f>+(AH10+AH11)*E9</f>
        <v>0.4</v>
      </c>
      <c r="AI9" s="133">
        <f>+AVERAGE(AI10:AI11)</f>
        <v>0.1875</v>
      </c>
      <c r="AJ9" s="133">
        <v>0.625</v>
      </c>
      <c r="AK9" s="133">
        <f>+AVERAGE(AK10:AK11)</f>
        <v>0.8125</v>
      </c>
      <c r="AL9" s="133">
        <f>+(AL10+AL11)*E9</f>
        <v>8.5000000000000006E-2</v>
      </c>
      <c r="AM9" s="133">
        <f>+(AM10+AM11)</f>
        <v>0.57499999999999996</v>
      </c>
      <c r="AN9" s="133">
        <f>+(AN10+AN11)</f>
        <v>0.78749999999999987</v>
      </c>
      <c r="AO9" s="127"/>
      <c r="AP9" s="127"/>
      <c r="AQ9" s="127"/>
      <c r="AR9" s="127"/>
      <c r="AS9" s="564"/>
      <c r="AT9" s="564"/>
      <c r="AU9" s="127"/>
      <c r="AV9" s="490"/>
    </row>
    <row r="10" spans="1:125" ht="163.95" customHeight="1" thickBot="1" x14ac:dyDescent="0.4">
      <c r="A10" s="223"/>
      <c r="B10" s="1390" t="s">
        <v>958</v>
      </c>
      <c r="C10" s="1390" t="s">
        <v>1165</v>
      </c>
      <c r="D10" s="225" t="s">
        <v>516</v>
      </c>
      <c r="E10" s="185">
        <v>0.7</v>
      </c>
      <c r="F10" s="186">
        <v>1</v>
      </c>
      <c r="G10" s="134">
        <v>0.25</v>
      </c>
      <c r="H10" s="134">
        <v>0.25</v>
      </c>
      <c r="I10" s="134">
        <v>0.25</v>
      </c>
      <c r="J10" s="139">
        <f>+G10/F10</f>
        <v>0.25</v>
      </c>
      <c r="K10" s="139">
        <f>+H10/F10</f>
        <v>0.25</v>
      </c>
      <c r="L10" s="139">
        <f t="shared" si="8"/>
        <v>0.25</v>
      </c>
      <c r="M10" s="139">
        <f>+(G10/F10)*E10</f>
        <v>0.17499999999999999</v>
      </c>
      <c r="N10" s="139">
        <f>+(H10/F10)*E10</f>
        <v>0.17499999999999999</v>
      </c>
      <c r="O10" s="139"/>
      <c r="P10" s="134">
        <v>0.25</v>
      </c>
      <c r="Q10" s="496">
        <v>0</v>
      </c>
      <c r="R10" s="496">
        <v>0.18</v>
      </c>
      <c r="S10" s="496">
        <v>7.0000000000000007E-2</v>
      </c>
      <c r="T10" s="496">
        <v>0</v>
      </c>
      <c r="U10" s="496">
        <v>0</v>
      </c>
      <c r="V10" s="134">
        <f t="shared" si="1"/>
        <v>0.25</v>
      </c>
      <c r="W10" s="134">
        <f t="shared" si="2"/>
        <v>0.75</v>
      </c>
      <c r="X10" s="496">
        <v>0</v>
      </c>
      <c r="Y10" s="496">
        <v>0.25</v>
      </c>
      <c r="Z10" s="134"/>
      <c r="AA10" s="134"/>
      <c r="AB10" s="134">
        <f t="shared" si="3"/>
        <v>0.25</v>
      </c>
      <c r="AC10" s="156">
        <f>+(P10/G10)</f>
        <v>1</v>
      </c>
      <c r="AD10" s="156">
        <f t="shared" ref="AD10" si="12">+V10/H10</f>
        <v>1</v>
      </c>
      <c r="AE10" s="156">
        <f t="shared" si="11"/>
        <v>1</v>
      </c>
      <c r="AF10" s="156">
        <f>+AC10*E10</f>
        <v>0.7</v>
      </c>
      <c r="AG10" s="156">
        <f t="shared" ref="AG10:AG16" si="13">+AD10*E10</f>
        <v>0.7</v>
      </c>
      <c r="AH10" s="156">
        <f t="shared" si="4"/>
        <v>0.7</v>
      </c>
      <c r="AI10" s="156">
        <f>+P10/F10</f>
        <v>0.25</v>
      </c>
      <c r="AJ10" s="156">
        <v>0.5</v>
      </c>
      <c r="AK10" s="156">
        <f t="shared" si="5"/>
        <v>0.75</v>
      </c>
      <c r="AL10" s="139">
        <f>+AI10*E10</f>
        <v>0.17499999999999999</v>
      </c>
      <c r="AM10" s="156">
        <f>+AJ10*E10</f>
        <v>0.35</v>
      </c>
      <c r="AN10" s="156">
        <f t="shared" si="6"/>
        <v>0.52499999999999991</v>
      </c>
      <c r="AO10" s="206" t="s">
        <v>1846</v>
      </c>
      <c r="AP10" s="127"/>
      <c r="AQ10" s="526" t="s">
        <v>1991</v>
      </c>
      <c r="AR10" s="526" t="s">
        <v>2010</v>
      </c>
      <c r="AS10" s="688" t="s">
        <v>2107</v>
      </c>
      <c r="AT10" s="688" t="s">
        <v>2141</v>
      </c>
      <c r="AU10" s="526" t="s">
        <v>2196</v>
      </c>
      <c r="AV10" s="526" t="s">
        <v>1887</v>
      </c>
      <c r="AW10" s="526" t="s">
        <v>2294</v>
      </c>
    </row>
    <row r="11" spans="1:125" ht="97.2" customHeight="1" thickBot="1" x14ac:dyDescent="0.4">
      <c r="A11" s="223"/>
      <c r="B11" s="1390" t="s">
        <v>959</v>
      </c>
      <c r="C11" s="1390" t="s">
        <v>1166</v>
      </c>
      <c r="D11" s="225" t="s">
        <v>960</v>
      </c>
      <c r="E11" s="229">
        <v>0.3</v>
      </c>
      <c r="F11" s="186">
        <v>8</v>
      </c>
      <c r="G11" s="134">
        <v>2</v>
      </c>
      <c r="H11" s="134">
        <v>2</v>
      </c>
      <c r="I11" s="134">
        <v>1</v>
      </c>
      <c r="J11" s="139">
        <f>+G11/F11</f>
        <v>0.25</v>
      </c>
      <c r="K11" s="139">
        <f>+H11/F11</f>
        <v>0.25</v>
      </c>
      <c r="L11" s="139">
        <f>+I11/F11</f>
        <v>0.125</v>
      </c>
      <c r="M11" s="139">
        <f>+(G11/F11)*E11</f>
        <v>7.4999999999999997E-2</v>
      </c>
      <c r="N11" s="139">
        <f>+(H11/F11)*E11</f>
        <v>7.4999999999999997E-2</v>
      </c>
      <c r="O11" s="139"/>
      <c r="P11" s="134">
        <v>1</v>
      </c>
      <c r="Q11" s="496">
        <v>0</v>
      </c>
      <c r="R11" s="496">
        <v>1</v>
      </c>
      <c r="S11" s="496">
        <v>0</v>
      </c>
      <c r="T11" s="496">
        <v>0</v>
      </c>
      <c r="U11" s="496">
        <v>4</v>
      </c>
      <c r="V11" s="134">
        <f t="shared" si="1"/>
        <v>5</v>
      </c>
      <c r="W11" s="134">
        <f t="shared" si="2"/>
        <v>7</v>
      </c>
      <c r="X11" s="496">
        <v>1</v>
      </c>
      <c r="Y11" s="496">
        <v>0</v>
      </c>
      <c r="Z11" s="134"/>
      <c r="AA11" s="134"/>
      <c r="AB11" s="134">
        <f t="shared" si="3"/>
        <v>1</v>
      </c>
      <c r="AC11" s="156">
        <f>+(P11/G11)</f>
        <v>0.5</v>
      </c>
      <c r="AD11" s="156">
        <v>1</v>
      </c>
      <c r="AE11" s="156">
        <f t="shared" si="11"/>
        <v>1</v>
      </c>
      <c r="AF11" s="156">
        <f>+AC11*E11</f>
        <v>0.15</v>
      </c>
      <c r="AG11" s="156">
        <f t="shared" si="13"/>
        <v>0.3</v>
      </c>
      <c r="AH11" s="156">
        <f t="shared" si="4"/>
        <v>0.3</v>
      </c>
      <c r="AI11" s="156">
        <f>+P11/F11</f>
        <v>0.125</v>
      </c>
      <c r="AJ11" s="156">
        <v>0.75</v>
      </c>
      <c r="AK11" s="156">
        <f t="shared" si="5"/>
        <v>0.875</v>
      </c>
      <c r="AL11" s="139">
        <f>+AI11*E11</f>
        <v>3.7499999999999999E-2</v>
      </c>
      <c r="AM11" s="156">
        <f>+AJ11*E11</f>
        <v>0.22499999999999998</v>
      </c>
      <c r="AN11" s="156">
        <f t="shared" si="6"/>
        <v>0.26250000000000001</v>
      </c>
      <c r="AO11" s="206" t="s">
        <v>1846</v>
      </c>
      <c r="AP11" s="127"/>
      <c r="AQ11" s="526" t="s">
        <v>1991</v>
      </c>
      <c r="AR11" s="526" t="s">
        <v>2010</v>
      </c>
      <c r="AS11" s="688" t="s">
        <v>2107</v>
      </c>
      <c r="AT11" s="688" t="s">
        <v>2141</v>
      </c>
      <c r="AU11" s="526" t="s">
        <v>2196</v>
      </c>
      <c r="AV11" s="526" t="s">
        <v>1887</v>
      </c>
      <c r="AW11" s="526" t="s">
        <v>2294</v>
      </c>
    </row>
    <row r="12" spans="1:125" ht="67.2" customHeight="1" thickBot="1" x14ac:dyDescent="0.4">
      <c r="A12" s="223"/>
      <c r="B12" s="1419" t="s">
        <v>1819</v>
      </c>
      <c r="C12" s="1375"/>
      <c r="D12" s="225"/>
      <c r="E12" s="231">
        <v>0.3</v>
      </c>
      <c r="F12" s="177"/>
      <c r="G12" s="127"/>
      <c r="H12" s="127"/>
      <c r="I12" s="127"/>
      <c r="J12" s="133">
        <f>+AVERAGE(J13:J16)</f>
        <v>0.23249999999999998</v>
      </c>
      <c r="K12" s="133">
        <f>+AVERAGE(K13:K16)</f>
        <v>0.1525</v>
      </c>
      <c r="L12" s="133">
        <f>+AVERAGE(L13:L16)</f>
        <v>0.32250000000000001</v>
      </c>
      <c r="M12" s="133">
        <f>+M13+M14+M15+M16</f>
        <v>0.24566666666666664</v>
      </c>
      <c r="N12" s="133">
        <f>+N13+N14+N15+N16</f>
        <v>0.14966666666666667</v>
      </c>
      <c r="O12" s="133"/>
      <c r="P12" s="132"/>
      <c r="Q12" s="132"/>
      <c r="R12" s="132"/>
      <c r="S12" s="132"/>
      <c r="T12" s="132"/>
      <c r="U12" s="839"/>
      <c r="V12" s="134"/>
      <c r="W12" s="134"/>
      <c r="X12" s="132"/>
      <c r="Y12" s="132"/>
      <c r="Z12" s="132"/>
      <c r="AA12" s="132"/>
      <c r="AB12" s="132"/>
      <c r="AC12" s="154">
        <f>+AVERAGE(AC13:AC16)</f>
        <v>1</v>
      </c>
      <c r="AD12" s="154">
        <f>+AVERAGE(AD13:AD16)</f>
        <v>1</v>
      </c>
      <c r="AE12" s="154">
        <f>+AVERAGE(AE13:AE16)</f>
        <v>0.61309523809523814</v>
      </c>
      <c r="AF12" s="154">
        <f>+(AF13+AF14+AF15+AF16)*E12</f>
        <v>0.3</v>
      </c>
      <c r="AG12" s="154">
        <f>+(AG13+AG14+AG15+AG16)*E12</f>
        <v>0.3</v>
      </c>
      <c r="AH12" s="154">
        <f>+(AH13+AH14+AH15+AH16)*E12</f>
        <v>0.1907142857142857</v>
      </c>
      <c r="AI12" s="133">
        <f>+AVERAGE(AI13:AI16)</f>
        <v>0.23249999999999998</v>
      </c>
      <c r="AJ12" s="133">
        <v>0.47691666666666666</v>
      </c>
      <c r="AK12" s="133">
        <f>+AVERAGE(AK13:AK16)</f>
        <v>0.53525</v>
      </c>
      <c r="AL12" s="133">
        <f>+(AL13+AL14+AL15+AL16)*E12</f>
        <v>7.3699999999999988E-2</v>
      </c>
      <c r="AM12" s="133">
        <f>+(AM13+AM14+AM15+AM16)</f>
        <v>0.50563333333333338</v>
      </c>
      <c r="AN12" s="133">
        <f>+(AN13+AN14+AN15+AN16)</f>
        <v>0.55896666666666661</v>
      </c>
      <c r="AO12" s="127"/>
      <c r="AP12" s="127"/>
      <c r="AQ12" s="127"/>
      <c r="AR12" s="127"/>
      <c r="AS12" s="564"/>
      <c r="AT12" s="564"/>
      <c r="AU12" s="127"/>
      <c r="AV12" s="490"/>
    </row>
    <row r="13" spans="1:125" ht="135.6" customHeight="1" thickBot="1" x14ac:dyDescent="0.4">
      <c r="A13" s="223"/>
      <c r="B13" s="1390" t="s">
        <v>961</v>
      </c>
      <c r="C13" s="1390" t="s">
        <v>1167</v>
      </c>
      <c r="D13" s="145" t="s">
        <v>962</v>
      </c>
      <c r="E13" s="188">
        <v>0.3</v>
      </c>
      <c r="F13" s="848">
        <v>3000</v>
      </c>
      <c r="G13" s="134">
        <v>350</v>
      </c>
      <c r="H13" s="134">
        <v>350</v>
      </c>
      <c r="I13" s="134">
        <v>350</v>
      </c>
      <c r="J13" s="139">
        <f>+G13/F13</f>
        <v>0.11666666666666667</v>
      </c>
      <c r="K13" s="139">
        <f t="shared" ref="K13:K16" si="14">+H13/F13</f>
        <v>0.11666666666666667</v>
      </c>
      <c r="L13" s="139">
        <f t="shared" si="8"/>
        <v>0.11666666666666667</v>
      </c>
      <c r="M13" s="139">
        <f>+(G13/F13)*E13</f>
        <v>3.4999999999999996E-2</v>
      </c>
      <c r="N13" s="139">
        <f t="shared" ref="N13:N16" si="15">+(H13/F13)*E13</f>
        <v>3.4999999999999996E-2</v>
      </c>
      <c r="O13" s="139"/>
      <c r="P13" s="134">
        <v>350</v>
      </c>
      <c r="Q13" s="496">
        <v>0</v>
      </c>
      <c r="R13" s="496">
        <v>160</v>
      </c>
      <c r="S13" s="496">
        <v>155</v>
      </c>
      <c r="T13" s="496">
        <v>58</v>
      </c>
      <c r="U13" s="496">
        <v>0</v>
      </c>
      <c r="V13" s="134">
        <f t="shared" si="1"/>
        <v>373</v>
      </c>
      <c r="W13" s="134">
        <f t="shared" si="2"/>
        <v>923</v>
      </c>
      <c r="X13" s="496">
        <v>100</v>
      </c>
      <c r="Y13" s="496">
        <v>100</v>
      </c>
      <c r="Z13" s="134"/>
      <c r="AA13" s="134"/>
      <c r="AB13" s="134">
        <f t="shared" si="3"/>
        <v>200</v>
      </c>
      <c r="AC13" s="156">
        <f>+(P13/G13)</f>
        <v>1</v>
      </c>
      <c r="AD13" s="156">
        <v>1</v>
      </c>
      <c r="AE13" s="156">
        <f t="shared" si="11"/>
        <v>0.5714285714285714</v>
      </c>
      <c r="AF13" s="156">
        <f>+AC13*E13</f>
        <v>0.3</v>
      </c>
      <c r="AG13" s="156">
        <f t="shared" si="13"/>
        <v>0.3</v>
      </c>
      <c r="AH13" s="156">
        <f t="shared" si="4"/>
        <v>0.1714285714285714</v>
      </c>
      <c r="AI13" s="156">
        <f>+P13/F13</f>
        <v>0.11666666666666667</v>
      </c>
      <c r="AJ13" s="156">
        <v>0.24099999999999999</v>
      </c>
      <c r="AK13" s="156">
        <f t="shared" si="5"/>
        <v>0.30766666666666664</v>
      </c>
      <c r="AL13" s="156">
        <f>+AI13*E13</f>
        <v>3.4999999999999996E-2</v>
      </c>
      <c r="AM13" s="156">
        <f>+AJ13*E13</f>
        <v>7.2299999999999989E-2</v>
      </c>
      <c r="AN13" s="156">
        <f t="shared" si="6"/>
        <v>9.2299999999999993E-2</v>
      </c>
      <c r="AO13" s="206" t="s">
        <v>1846</v>
      </c>
      <c r="AP13" s="1162" t="s">
        <v>1944</v>
      </c>
      <c r="AQ13" s="526" t="s">
        <v>1991</v>
      </c>
      <c r="AR13" s="526" t="s">
        <v>2010</v>
      </c>
      <c r="AS13" s="688" t="s">
        <v>2107</v>
      </c>
      <c r="AT13" s="688" t="s">
        <v>2141</v>
      </c>
      <c r="AU13" s="506" t="s">
        <v>1859</v>
      </c>
      <c r="AV13" s="506" t="s">
        <v>1859</v>
      </c>
      <c r="AW13" s="506" t="s">
        <v>1859</v>
      </c>
    </row>
    <row r="14" spans="1:125" ht="67.2" customHeight="1" thickBot="1" x14ac:dyDescent="0.4">
      <c r="A14" s="223"/>
      <c r="B14" s="1390" t="s">
        <v>963</v>
      </c>
      <c r="C14" s="1390" t="s">
        <v>1168</v>
      </c>
      <c r="D14" s="145" t="s">
        <v>964</v>
      </c>
      <c r="E14" s="188">
        <v>0.2</v>
      </c>
      <c r="F14" s="848">
        <v>6</v>
      </c>
      <c r="G14" s="134">
        <v>1</v>
      </c>
      <c r="H14" s="134">
        <v>1</v>
      </c>
      <c r="I14" s="134">
        <v>1</v>
      </c>
      <c r="J14" s="139">
        <f>+G14/F14</f>
        <v>0.16666666666666666</v>
      </c>
      <c r="K14" s="139">
        <f t="shared" si="14"/>
        <v>0.16666666666666666</v>
      </c>
      <c r="L14" s="139">
        <f>+I14/F14</f>
        <v>0.16666666666666666</v>
      </c>
      <c r="M14" s="139">
        <f>+(G14/F14)*E14</f>
        <v>3.3333333333333333E-2</v>
      </c>
      <c r="N14" s="139">
        <f t="shared" si="15"/>
        <v>3.3333333333333333E-2</v>
      </c>
      <c r="O14" s="139"/>
      <c r="P14" s="134">
        <v>1</v>
      </c>
      <c r="Q14" s="496">
        <v>0</v>
      </c>
      <c r="R14" s="496">
        <v>0.6</v>
      </c>
      <c r="S14" s="496">
        <v>0.2</v>
      </c>
      <c r="T14" s="496">
        <v>0.2</v>
      </c>
      <c r="U14" s="496">
        <v>0</v>
      </c>
      <c r="V14" s="168">
        <f t="shared" si="1"/>
        <v>1</v>
      </c>
      <c r="W14" s="602">
        <f>+V14+P14+AB14</f>
        <v>2.5</v>
      </c>
      <c r="X14" s="1049">
        <v>0.33</v>
      </c>
      <c r="Y14" s="1049">
        <v>0.17</v>
      </c>
      <c r="Z14" s="602"/>
      <c r="AA14" s="602"/>
      <c r="AB14" s="602">
        <f t="shared" si="3"/>
        <v>0.5</v>
      </c>
      <c r="AC14" s="156">
        <f>+(P14/G14)</f>
        <v>1</v>
      </c>
      <c r="AD14" s="156">
        <f t="shared" ref="AD14:AD15" si="16">+V14/H14</f>
        <v>1</v>
      </c>
      <c r="AE14" s="156">
        <f>+AB14/I14</f>
        <v>0.5</v>
      </c>
      <c r="AF14" s="156">
        <f>+AC14*E14</f>
        <v>0.2</v>
      </c>
      <c r="AG14" s="156">
        <f t="shared" si="13"/>
        <v>0.2</v>
      </c>
      <c r="AH14" s="156">
        <f t="shared" si="4"/>
        <v>0.1</v>
      </c>
      <c r="AI14" s="156">
        <f>+P14/F14</f>
        <v>0.16666666666666666</v>
      </c>
      <c r="AJ14" s="156">
        <v>0.33333333333333331</v>
      </c>
      <c r="AK14" s="156">
        <f t="shared" si="5"/>
        <v>0.41666666666666669</v>
      </c>
      <c r="AL14" s="156">
        <f>+AI14*E14</f>
        <v>3.3333333333333333E-2</v>
      </c>
      <c r="AM14" s="156">
        <f>+AJ14*E14</f>
        <v>6.6666666666666666E-2</v>
      </c>
      <c r="AN14" s="156">
        <f t="shared" si="6"/>
        <v>8.3333333333333343E-2</v>
      </c>
      <c r="AO14" s="206" t="s">
        <v>1846</v>
      </c>
      <c r="AP14" s="1162" t="s">
        <v>1944</v>
      </c>
      <c r="AQ14" s="526" t="s">
        <v>1991</v>
      </c>
      <c r="AR14" s="526" t="s">
        <v>2010</v>
      </c>
      <c r="AS14" s="688" t="s">
        <v>2107</v>
      </c>
      <c r="AT14" s="688" t="s">
        <v>2141</v>
      </c>
      <c r="AU14" s="506" t="s">
        <v>1859</v>
      </c>
      <c r="AV14" s="506" t="s">
        <v>1859</v>
      </c>
      <c r="AW14" s="506" t="s">
        <v>1859</v>
      </c>
    </row>
    <row r="15" spans="1:125" ht="67.2" customHeight="1" thickBot="1" x14ac:dyDescent="0.4">
      <c r="A15" s="223"/>
      <c r="B15" s="1390" t="s">
        <v>965</v>
      </c>
      <c r="C15" s="1390" t="s">
        <v>1169</v>
      </c>
      <c r="D15" s="145" t="s">
        <v>964</v>
      </c>
      <c r="E15" s="188">
        <v>0.2</v>
      </c>
      <c r="F15" s="848">
        <v>6</v>
      </c>
      <c r="G15" s="134">
        <v>1</v>
      </c>
      <c r="H15" s="134">
        <v>1</v>
      </c>
      <c r="I15" s="134">
        <v>1</v>
      </c>
      <c r="J15" s="139">
        <f>+G15/F15</f>
        <v>0.16666666666666666</v>
      </c>
      <c r="K15" s="139">
        <f t="shared" si="14"/>
        <v>0.16666666666666666</v>
      </c>
      <c r="L15" s="139">
        <f t="shared" si="8"/>
        <v>0.16666666666666666</v>
      </c>
      <c r="M15" s="139">
        <f>+(G15/F15)*E15</f>
        <v>3.3333333333333333E-2</v>
      </c>
      <c r="N15" s="139">
        <f t="shared" si="15"/>
        <v>3.3333333333333333E-2</v>
      </c>
      <c r="O15" s="139"/>
      <c r="P15" s="134">
        <v>1</v>
      </c>
      <c r="Q15" s="496">
        <v>0</v>
      </c>
      <c r="R15" s="496">
        <v>0.5</v>
      </c>
      <c r="S15" s="496">
        <v>0.4</v>
      </c>
      <c r="T15" s="496">
        <v>0.1</v>
      </c>
      <c r="U15" s="496">
        <v>0</v>
      </c>
      <c r="V15" s="134">
        <f t="shared" si="1"/>
        <v>1</v>
      </c>
      <c r="W15" s="134">
        <f t="shared" si="2"/>
        <v>2.5</v>
      </c>
      <c r="X15" s="496">
        <v>0.33</v>
      </c>
      <c r="Y15" s="496">
        <v>0.17</v>
      </c>
      <c r="Z15" s="134"/>
      <c r="AA15" s="134"/>
      <c r="AB15" s="134">
        <f t="shared" si="3"/>
        <v>0.5</v>
      </c>
      <c r="AC15" s="156">
        <f>+(P15/G15)</f>
        <v>1</v>
      </c>
      <c r="AD15" s="156">
        <f t="shared" si="16"/>
        <v>1</v>
      </c>
      <c r="AE15" s="156">
        <f>+AB15/I15</f>
        <v>0.5</v>
      </c>
      <c r="AF15" s="156">
        <f>+AC15*E15</f>
        <v>0.2</v>
      </c>
      <c r="AG15" s="156">
        <f t="shared" si="13"/>
        <v>0.2</v>
      </c>
      <c r="AH15" s="156">
        <f t="shared" si="4"/>
        <v>0.1</v>
      </c>
      <c r="AI15" s="156">
        <f>+P15/F15</f>
        <v>0.16666666666666666</v>
      </c>
      <c r="AJ15" s="156">
        <v>0.33333333333333331</v>
      </c>
      <c r="AK15" s="156">
        <f t="shared" si="5"/>
        <v>0.41666666666666669</v>
      </c>
      <c r="AL15" s="156">
        <f>+AI15*E15</f>
        <v>3.3333333333333333E-2</v>
      </c>
      <c r="AM15" s="156">
        <f>+AJ15*E15</f>
        <v>6.6666666666666666E-2</v>
      </c>
      <c r="AN15" s="156">
        <f t="shared" si="6"/>
        <v>8.3333333333333343E-2</v>
      </c>
      <c r="AO15" s="206" t="s">
        <v>1846</v>
      </c>
      <c r="AP15" s="604" t="s">
        <v>1944</v>
      </c>
      <c r="AQ15" s="526" t="s">
        <v>1991</v>
      </c>
      <c r="AR15" s="526" t="s">
        <v>2010</v>
      </c>
      <c r="AS15" s="688" t="s">
        <v>2107</v>
      </c>
      <c r="AT15" s="688" t="s">
        <v>2141</v>
      </c>
      <c r="AU15" s="506" t="s">
        <v>1859</v>
      </c>
      <c r="AV15" s="506" t="s">
        <v>1859</v>
      </c>
      <c r="AW15" s="506" t="s">
        <v>1859</v>
      </c>
    </row>
    <row r="16" spans="1:125" ht="67.2" customHeight="1" thickBot="1" x14ac:dyDescent="0.4">
      <c r="A16" s="223"/>
      <c r="B16" s="1390" t="s">
        <v>966</v>
      </c>
      <c r="C16" s="1390" t="s">
        <v>1170</v>
      </c>
      <c r="D16" s="145" t="s">
        <v>964</v>
      </c>
      <c r="E16" s="188">
        <v>0.3</v>
      </c>
      <c r="F16" s="186">
        <v>50</v>
      </c>
      <c r="G16" s="134">
        <v>24</v>
      </c>
      <c r="H16" s="134">
        <v>8</v>
      </c>
      <c r="I16" s="134">
        <v>42</v>
      </c>
      <c r="J16" s="139">
        <f>+G16/F16</f>
        <v>0.48</v>
      </c>
      <c r="K16" s="139">
        <f t="shared" si="14"/>
        <v>0.16</v>
      </c>
      <c r="L16" s="139">
        <f>+I16/F16</f>
        <v>0.84</v>
      </c>
      <c r="M16" s="139">
        <f>+(G16/F16)*E16</f>
        <v>0.14399999999999999</v>
      </c>
      <c r="N16" s="139">
        <f t="shared" si="15"/>
        <v>4.8000000000000001E-2</v>
      </c>
      <c r="O16" s="139"/>
      <c r="P16" s="134">
        <v>24</v>
      </c>
      <c r="Q16" s="496">
        <v>26</v>
      </c>
      <c r="R16" s="496">
        <v>1</v>
      </c>
      <c r="S16" s="496">
        <v>3</v>
      </c>
      <c r="T16" s="496">
        <v>2</v>
      </c>
      <c r="U16" s="496">
        <v>0</v>
      </c>
      <c r="V16" s="134">
        <f t="shared" si="1"/>
        <v>32</v>
      </c>
      <c r="W16" s="134">
        <f t="shared" si="2"/>
        <v>93</v>
      </c>
      <c r="X16" s="496">
        <v>34</v>
      </c>
      <c r="Y16" s="496">
        <v>3</v>
      </c>
      <c r="Z16" s="134"/>
      <c r="AA16" s="134"/>
      <c r="AB16" s="134">
        <f t="shared" si="3"/>
        <v>37</v>
      </c>
      <c r="AC16" s="156">
        <f>+(P16/G16)</f>
        <v>1</v>
      </c>
      <c r="AD16" s="156">
        <v>1</v>
      </c>
      <c r="AE16" s="156">
        <f>+AB16/I16</f>
        <v>0.88095238095238093</v>
      </c>
      <c r="AF16" s="156">
        <f>+AC16*E16</f>
        <v>0.3</v>
      </c>
      <c r="AG16" s="156">
        <f t="shared" si="13"/>
        <v>0.3</v>
      </c>
      <c r="AH16" s="156">
        <f t="shared" si="4"/>
        <v>0.26428571428571429</v>
      </c>
      <c r="AI16" s="156">
        <f>+P16/F16</f>
        <v>0.48</v>
      </c>
      <c r="AJ16" s="156">
        <v>1</v>
      </c>
      <c r="AK16" s="156">
        <v>1</v>
      </c>
      <c r="AL16" s="156">
        <f>+AI16*E16</f>
        <v>0.14399999999999999</v>
      </c>
      <c r="AM16" s="156">
        <f>+AJ16*E16</f>
        <v>0.3</v>
      </c>
      <c r="AN16" s="190">
        <f t="shared" si="6"/>
        <v>0.3</v>
      </c>
      <c r="AO16" s="603" t="s">
        <v>1846</v>
      </c>
      <c r="AP16" s="544" t="s">
        <v>1901</v>
      </c>
      <c r="AQ16" s="177"/>
      <c r="AR16" s="526" t="s">
        <v>2030</v>
      </c>
      <c r="AS16" s="688" t="s">
        <v>2107</v>
      </c>
      <c r="AT16" s="688" t="s">
        <v>2141</v>
      </c>
      <c r="AU16" s="506" t="s">
        <v>1859</v>
      </c>
      <c r="AV16" s="506" t="s">
        <v>1859</v>
      </c>
      <c r="AW16" s="506" t="s">
        <v>1859</v>
      </c>
    </row>
    <row r="17" spans="1:49" ht="99" customHeight="1" thickBot="1" x14ac:dyDescent="0.4">
      <c r="A17" s="223"/>
      <c r="B17" s="1420" t="s">
        <v>1820</v>
      </c>
      <c r="C17" s="1375"/>
      <c r="D17" s="225"/>
      <c r="E17" s="194">
        <v>0.2</v>
      </c>
      <c r="F17" s="226">
        <f>+E17*AF17</f>
        <v>0.14985474006116206</v>
      </c>
      <c r="G17" s="127"/>
      <c r="H17" s="226">
        <f>+E17*AG17</f>
        <v>0.17789623529411763</v>
      </c>
      <c r="I17" s="226">
        <f>+E17*AH17</f>
        <v>9.7990600000000011E-2</v>
      </c>
      <c r="J17" s="125">
        <f>+(J18+J23+J26+J30+J32+J36+J40+J43)/6</f>
        <v>0.19706348655814188</v>
      </c>
      <c r="K17" s="125">
        <f>+(K18+K23+K26+K30+K32+K36+K40+K43)/7</f>
        <v>0.30753522141119316</v>
      </c>
      <c r="L17" s="125">
        <f>+(L18+L23+L26+L30+L32+L36+L40+L43)/8</f>
        <v>0.32124337991608437</v>
      </c>
      <c r="M17" s="126">
        <f>+(M18+M23+M26+M30+M32+M36+M40+M43)/6</f>
        <v>0.16739826874293517</v>
      </c>
      <c r="N17" s="126">
        <f>+(N18+N23+N26+N30+N32+N36+N40+N43)/8</f>
        <v>0.26339477894605123</v>
      </c>
      <c r="O17" s="126"/>
      <c r="P17" s="127"/>
      <c r="Q17" s="127"/>
      <c r="R17" s="127"/>
      <c r="S17" s="127"/>
      <c r="T17" s="127"/>
      <c r="U17" s="176"/>
      <c r="V17" s="819"/>
      <c r="W17" s="127"/>
      <c r="X17" s="127"/>
      <c r="Y17" s="127"/>
      <c r="Z17" s="127"/>
      <c r="AA17" s="127"/>
      <c r="AB17" s="127"/>
      <c r="AC17" s="125">
        <f>+(AC18+AC23+AC26+AC30+AC32+AC36+AC40+AC43)/6</f>
        <v>0.92647808358817529</v>
      </c>
      <c r="AD17" s="125">
        <f>+(AD18+AD23+AD26+AD30+AD32+AD36+AD40+AD43)/7</f>
        <v>0.91988702147525692</v>
      </c>
      <c r="AE17" s="125">
        <f>+(AE18+AE23+AE26+AE30+AE32+AE36+AE40+AE43)/8</f>
        <v>0.45078333333333337</v>
      </c>
      <c r="AF17" s="126">
        <f>+AF18+AF23+AF26+AF30+AF32+AF36+AF40+AF43</f>
        <v>0.74927370030581031</v>
      </c>
      <c r="AG17" s="126">
        <f>+AG18+AG23+AG26+AG30+AG32+AG36+AG40+AG43</f>
        <v>0.88948117647058811</v>
      </c>
      <c r="AH17" s="126">
        <f>+AH18+AH23+AH26+AH30+AH32+AH36+AH40+AH43</f>
        <v>0.48995300000000003</v>
      </c>
      <c r="AI17" s="125">
        <f>(AI18+AI23+AI26+AI30+AI32+AI36+AI40+AI43)/6</f>
        <v>0.19974545886160069</v>
      </c>
      <c r="AJ17" s="125">
        <v>0.46666914224150913</v>
      </c>
      <c r="AK17" s="125">
        <f>(AK18+AK23+AK26+AK30+AK32+AK36+AK40+AK43)/8</f>
        <v>0.57519437099290527</v>
      </c>
      <c r="AL17" s="227">
        <f>(AL18+AL23+AL26+AL30+AL32+AL36+AL40+AL43)</f>
        <v>0.14653217466808169</v>
      </c>
      <c r="AM17" s="227">
        <f>(AM18*E18+AM23*E23+AM26*E26+AM30*E30+AM32*E32+AM36*E36+AM40*E40+AM43*E43)</f>
        <v>0.52144215270407368</v>
      </c>
      <c r="AN17" s="994">
        <f>(AN18*E18+AN23*E23+AN26*E26+AN30*E30+AN32*E32+AN36*E36+AN40*E40+AN43*E43)</f>
        <v>0.61756573237784029</v>
      </c>
      <c r="AO17" s="127"/>
      <c r="AP17" s="605" t="s">
        <v>1883</v>
      </c>
      <c r="AQ17" s="127"/>
      <c r="AR17" s="127"/>
      <c r="AS17" s="564"/>
      <c r="AT17" s="564"/>
      <c r="AU17" s="127"/>
      <c r="AV17" s="490"/>
    </row>
    <row r="18" spans="1:49" ht="67.2" customHeight="1" thickBot="1" x14ac:dyDescent="0.4">
      <c r="A18" s="223"/>
      <c r="B18" s="1419" t="s">
        <v>1752</v>
      </c>
      <c r="C18" s="1375"/>
      <c r="D18" s="225"/>
      <c r="E18" s="192">
        <v>0.15</v>
      </c>
      <c r="F18" s="177"/>
      <c r="G18" s="127"/>
      <c r="H18" s="127"/>
      <c r="I18" s="127"/>
      <c r="J18" s="133">
        <f>+AVERAGE(J19:J22)</f>
        <v>0.27777777777777773</v>
      </c>
      <c r="K18" s="133">
        <f>+AVERAGE(K19:K22)</f>
        <v>0.29083333333333333</v>
      </c>
      <c r="L18" s="133">
        <f>+AVERAGE(L19:L22)</f>
        <v>0.27666666666666667</v>
      </c>
      <c r="M18" s="133">
        <f>+M19+M20+M21+M22</f>
        <v>0.27083333333333337</v>
      </c>
      <c r="N18" s="133">
        <f>+N19+N20+N21+N22</f>
        <v>0.28733333333333333</v>
      </c>
      <c r="O18" s="133"/>
      <c r="P18" s="132"/>
      <c r="Q18" s="132"/>
      <c r="R18" s="132"/>
      <c r="S18" s="132"/>
      <c r="T18" s="132"/>
      <c r="U18" s="839"/>
      <c r="V18" s="134"/>
      <c r="W18" s="132"/>
      <c r="X18" s="132"/>
      <c r="Y18" s="132"/>
      <c r="Z18" s="132"/>
      <c r="AA18" s="132"/>
      <c r="AB18" s="132"/>
      <c r="AC18" s="154">
        <f>+AVERAGE(AC19:AC22)</f>
        <v>1</v>
      </c>
      <c r="AD18" s="154">
        <f>+AVERAGE(AD19:AD22)</f>
        <v>1</v>
      </c>
      <c r="AE18" s="154">
        <f>+AVERAGE(AE19:AE22)</f>
        <v>0.62000000000000011</v>
      </c>
      <c r="AF18" s="154">
        <f>+(AF19+AF20+AF21+AF22)*E18</f>
        <v>0.14249999999999999</v>
      </c>
      <c r="AG18" s="154">
        <f>+(AG19+AG20+AG21+AG22)*E18</f>
        <v>0.15</v>
      </c>
      <c r="AH18" s="154">
        <f>+(AH19+AH20+AH21+AH22)*E18</f>
        <v>8.9925000000000005E-2</v>
      </c>
      <c r="AI18" s="133">
        <f>+AVERAGE(AI19:AI22)</f>
        <v>0.27777777777777773</v>
      </c>
      <c r="AJ18" s="133">
        <v>0.62817499999999993</v>
      </c>
      <c r="AK18" s="133">
        <f>+AVERAGE(AK19:AK22)</f>
        <v>0.82687500000000003</v>
      </c>
      <c r="AL18" s="133">
        <f>+(AL19+AL20+AL21+AL22)*E18</f>
        <v>4.0625000000000001E-2</v>
      </c>
      <c r="AM18" s="133">
        <f>+(AM19+AM20+AM21+AM22)</f>
        <v>0.70063500000000001</v>
      </c>
      <c r="AN18" s="133">
        <f>+(AN19+AN20+AN21+AN22)</f>
        <v>0.80675000000000008</v>
      </c>
      <c r="AO18" s="127"/>
      <c r="AP18" s="127"/>
      <c r="AQ18" s="127"/>
      <c r="AR18" s="127"/>
      <c r="AS18" s="564"/>
      <c r="AT18" s="564"/>
      <c r="AU18" s="127"/>
      <c r="AV18" s="490"/>
    </row>
    <row r="19" spans="1:49" ht="95.4" customHeight="1" thickBot="1" x14ac:dyDescent="0.4">
      <c r="A19" s="223"/>
      <c r="B19" s="1390" t="s">
        <v>967</v>
      </c>
      <c r="C19" s="1390" t="s">
        <v>1171</v>
      </c>
      <c r="D19" s="225" t="s">
        <v>516</v>
      </c>
      <c r="E19" s="188">
        <v>0.05</v>
      </c>
      <c r="F19" s="186">
        <v>1</v>
      </c>
      <c r="G19" s="134">
        <v>0.25</v>
      </c>
      <c r="H19" s="134">
        <v>0.25</v>
      </c>
      <c r="I19" s="134">
        <v>0.25</v>
      </c>
      <c r="J19" s="139">
        <f>+G19/F19</f>
        <v>0.25</v>
      </c>
      <c r="K19" s="139">
        <f t="shared" ref="K19:K22" si="17">+H19/F19</f>
        <v>0.25</v>
      </c>
      <c r="L19" s="139">
        <f t="shared" ref="L19:L22" si="18">+I19/F19</f>
        <v>0.25</v>
      </c>
      <c r="M19" s="139">
        <f>+(G19/F19)*E19</f>
        <v>1.2500000000000001E-2</v>
      </c>
      <c r="N19" s="139">
        <f t="shared" ref="N19:N47" si="19">+(H19/F19)*E19</f>
        <v>1.2500000000000001E-2</v>
      </c>
      <c r="O19" s="139"/>
      <c r="P19" s="168">
        <v>0.25</v>
      </c>
      <c r="Q19" s="496">
        <v>0.05</v>
      </c>
      <c r="R19" s="496">
        <v>0.13</v>
      </c>
      <c r="S19" s="496">
        <v>0.02</v>
      </c>
      <c r="T19" s="496">
        <v>0.03</v>
      </c>
      <c r="U19" s="496">
        <v>0.02</v>
      </c>
      <c r="V19" s="134">
        <f t="shared" si="1"/>
        <v>0.24999999999999997</v>
      </c>
      <c r="W19" s="134">
        <f t="shared" ref="W19:W21" si="20">+V19+P19+AB19</f>
        <v>0.66</v>
      </c>
      <c r="X19" s="496">
        <v>7.4999999999999997E-2</v>
      </c>
      <c r="Y19" s="496">
        <v>8.5000000000000006E-2</v>
      </c>
      <c r="Z19" s="134"/>
      <c r="AA19" s="134"/>
      <c r="AB19" s="134">
        <f t="shared" ref="AB19:AB22" si="21">+X19+Y19+Z19+AA19</f>
        <v>0.16</v>
      </c>
      <c r="AC19" s="156">
        <v>1</v>
      </c>
      <c r="AD19" s="156">
        <f t="shared" ref="AD19:AD22" si="22">+V19/H19</f>
        <v>0.99999999999999989</v>
      </c>
      <c r="AE19" s="156">
        <f t="shared" ref="AE19:AE22" si="23">+AB19/I19</f>
        <v>0.64</v>
      </c>
      <c r="AF19" s="156">
        <f>+AC19*E19</f>
        <v>0.05</v>
      </c>
      <c r="AG19" s="156">
        <f t="shared" ref="AG19:AG22" si="24">+AD19*E19</f>
        <v>4.9999999999999996E-2</v>
      </c>
      <c r="AH19" s="156">
        <f t="shared" ref="AH19:AH22" si="25">+AE19*E19</f>
        <v>3.2000000000000001E-2</v>
      </c>
      <c r="AI19" s="156">
        <f>+P19/F19</f>
        <v>0.25</v>
      </c>
      <c r="AJ19" s="156">
        <v>0.48</v>
      </c>
      <c r="AK19" s="156">
        <f t="shared" ref="AK19:AK22" si="26">+W19/F19</f>
        <v>0.66</v>
      </c>
      <c r="AL19" s="156">
        <f>+AI19*E19</f>
        <v>1.2500000000000001E-2</v>
      </c>
      <c r="AM19" s="139">
        <f>+AJ19*E19</f>
        <v>2.4E-2</v>
      </c>
      <c r="AN19" s="139">
        <f t="shared" ref="AN19:AN22" si="27">+AK19*E19</f>
        <v>3.3000000000000002E-2</v>
      </c>
      <c r="AO19" s="206" t="s">
        <v>1846</v>
      </c>
      <c r="AP19" s="506" t="s">
        <v>1942</v>
      </c>
      <c r="AQ19" s="127"/>
      <c r="AR19" s="526" t="s">
        <v>2010</v>
      </c>
      <c r="AS19" s="688" t="s">
        <v>2107</v>
      </c>
      <c r="AT19" s="688" t="s">
        <v>2141</v>
      </c>
      <c r="AU19" s="506" t="s">
        <v>1859</v>
      </c>
      <c r="AV19" s="526" t="s">
        <v>1887</v>
      </c>
    </row>
    <row r="20" spans="1:49" ht="136.94999999999999" customHeight="1" thickBot="1" x14ac:dyDescent="0.4">
      <c r="A20" s="223"/>
      <c r="B20" s="1390" t="s">
        <v>968</v>
      </c>
      <c r="C20" s="1390" t="s">
        <v>1172</v>
      </c>
      <c r="D20" s="225" t="s">
        <v>969</v>
      </c>
      <c r="E20" s="188">
        <v>0.05</v>
      </c>
      <c r="F20" s="186">
        <v>1</v>
      </c>
      <c r="G20" s="134">
        <v>0</v>
      </c>
      <c r="H20" s="134">
        <v>0.33</v>
      </c>
      <c r="I20" s="134">
        <v>0.33</v>
      </c>
      <c r="J20" s="139"/>
      <c r="K20" s="139">
        <f t="shared" si="17"/>
        <v>0.33</v>
      </c>
      <c r="L20" s="139">
        <f t="shared" si="18"/>
        <v>0.33</v>
      </c>
      <c r="M20" s="139"/>
      <c r="N20" s="139">
        <f t="shared" si="19"/>
        <v>1.6500000000000001E-2</v>
      </c>
      <c r="O20" s="139"/>
      <c r="P20" s="134"/>
      <c r="Q20" s="496">
        <v>0</v>
      </c>
      <c r="R20" s="496">
        <v>6.4500000000000002E-2</v>
      </c>
      <c r="S20" s="496">
        <v>0.21410000000000001</v>
      </c>
      <c r="T20" s="496">
        <v>0.25409999999999999</v>
      </c>
      <c r="U20" s="496">
        <v>0.3</v>
      </c>
      <c r="V20" s="134">
        <f t="shared" si="1"/>
        <v>0.8327</v>
      </c>
      <c r="W20" s="134">
        <f t="shared" si="20"/>
        <v>1.0472000000000001</v>
      </c>
      <c r="X20" s="496">
        <v>8.2500000000000004E-2</v>
      </c>
      <c r="Y20" s="496" t="s">
        <v>2303</v>
      </c>
      <c r="Z20" s="134"/>
      <c r="AA20" s="134"/>
      <c r="AB20" s="134">
        <f t="shared" si="21"/>
        <v>0.21450000000000002</v>
      </c>
      <c r="AC20" s="156"/>
      <c r="AD20" s="156">
        <v>1</v>
      </c>
      <c r="AE20" s="156">
        <f t="shared" si="23"/>
        <v>0.65</v>
      </c>
      <c r="AF20" s="156"/>
      <c r="AG20" s="156">
        <f t="shared" si="24"/>
        <v>0.05</v>
      </c>
      <c r="AH20" s="156">
        <f t="shared" si="25"/>
        <v>3.2500000000000001E-2</v>
      </c>
      <c r="AI20" s="156"/>
      <c r="AJ20" s="156">
        <v>0.53269999999999995</v>
      </c>
      <c r="AK20" s="156">
        <v>1</v>
      </c>
      <c r="AL20" s="156"/>
      <c r="AM20" s="139">
        <f>+AJ20*E20</f>
        <v>2.6634999999999999E-2</v>
      </c>
      <c r="AN20" s="139">
        <f t="shared" si="27"/>
        <v>0.05</v>
      </c>
      <c r="AO20" s="206" t="s">
        <v>1846</v>
      </c>
      <c r="AP20" s="543" t="s">
        <v>1913</v>
      </c>
      <c r="AQ20" s="127"/>
      <c r="AR20" s="526" t="s">
        <v>2010</v>
      </c>
      <c r="AS20" s="683" t="s">
        <v>2096</v>
      </c>
      <c r="AT20" s="688" t="s">
        <v>2141</v>
      </c>
      <c r="AU20" s="506" t="s">
        <v>1859</v>
      </c>
      <c r="AV20" s="526" t="s">
        <v>1887</v>
      </c>
    </row>
    <row r="21" spans="1:49" ht="97.2" customHeight="1" thickBot="1" x14ac:dyDescent="0.4">
      <c r="A21" s="223"/>
      <c r="B21" s="1390" t="s">
        <v>970</v>
      </c>
      <c r="C21" s="1390" t="s">
        <v>1173</v>
      </c>
      <c r="D21" s="225" t="s">
        <v>790</v>
      </c>
      <c r="E21" s="188">
        <v>0.4</v>
      </c>
      <c r="F21" s="186">
        <v>3</v>
      </c>
      <c r="G21" s="134">
        <v>1</v>
      </c>
      <c r="H21" s="134">
        <v>1</v>
      </c>
      <c r="I21" s="134">
        <v>1</v>
      </c>
      <c r="J21" s="139">
        <f>+G21/F21</f>
        <v>0.33333333333333331</v>
      </c>
      <c r="K21" s="139">
        <f t="shared" si="17"/>
        <v>0.33333333333333331</v>
      </c>
      <c r="L21" s="139"/>
      <c r="M21" s="139">
        <f>+(G21/F21)*E21</f>
        <v>0.13333333333333333</v>
      </c>
      <c r="N21" s="139">
        <f t="shared" si="19"/>
        <v>0.13333333333333333</v>
      </c>
      <c r="O21" s="139"/>
      <c r="P21" s="134">
        <v>1</v>
      </c>
      <c r="Q21" s="496">
        <v>1</v>
      </c>
      <c r="R21" s="496">
        <v>0.2</v>
      </c>
      <c r="S21" s="496">
        <v>0</v>
      </c>
      <c r="T21" s="496">
        <v>0.8</v>
      </c>
      <c r="U21" s="496">
        <v>0</v>
      </c>
      <c r="V21" s="134">
        <f t="shared" si="1"/>
        <v>2</v>
      </c>
      <c r="W21" s="134">
        <f t="shared" si="20"/>
        <v>3.6</v>
      </c>
      <c r="X21" s="496">
        <v>0.25</v>
      </c>
      <c r="Y21" s="496">
        <v>0.35</v>
      </c>
      <c r="Z21" s="134"/>
      <c r="AA21" s="134"/>
      <c r="AB21" s="134">
        <f t="shared" si="21"/>
        <v>0.6</v>
      </c>
      <c r="AC21" s="156">
        <f>+(P21/G21)</f>
        <v>1</v>
      </c>
      <c r="AD21" s="156">
        <v>1</v>
      </c>
      <c r="AE21" s="156">
        <f t="shared" si="23"/>
        <v>0.6</v>
      </c>
      <c r="AF21" s="156">
        <f>+AC21*E21</f>
        <v>0.4</v>
      </c>
      <c r="AG21" s="156">
        <f t="shared" si="24"/>
        <v>0.4</v>
      </c>
      <c r="AH21" s="156">
        <f t="shared" si="25"/>
        <v>0.24</v>
      </c>
      <c r="AI21" s="156">
        <f>+P21/F21</f>
        <v>0.33333333333333331</v>
      </c>
      <c r="AJ21" s="156">
        <v>1</v>
      </c>
      <c r="AK21" s="156">
        <v>1</v>
      </c>
      <c r="AL21" s="156">
        <f>+AI21*E21</f>
        <v>0.13333333333333333</v>
      </c>
      <c r="AM21" s="139">
        <f>+AJ21*E21</f>
        <v>0.4</v>
      </c>
      <c r="AN21" s="139">
        <f t="shared" si="27"/>
        <v>0.4</v>
      </c>
      <c r="AO21" s="206" t="s">
        <v>1846</v>
      </c>
      <c r="AP21" s="526" t="s">
        <v>1886</v>
      </c>
      <c r="AQ21" s="526" t="s">
        <v>1991</v>
      </c>
      <c r="AR21" s="526" t="s">
        <v>2010</v>
      </c>
      <c r="AS21" s="526" t="s">
        <v>2010</v>
      </c>
      <c r="AT21" s="688" t="s">
        <v>2141</v>
      </c>
      <c r="AU21" s="526" t="s">
        <v>2196</v>
      </c>
      <c r="AV21" s="526" t="s">
        <v>1887</v>
      </c>
      <c r="AW21" s="526" t="s">
        <v>2294</v>
      </c>
    </row>
    <row r="22" spans="1:49" ht="81" customHeight="1" thickBot="1" x14ac:dyDescent="0.4">
      <c r="A22" s="223"/>
      <c r="B22" s="1390" t="s">
        <v>971</v>
      </c>
      <c r="C22" s="1390" t="s">
        <v>1174</v>
      </c>
      <c r="D22" s="225" t="s">
        <v>790</v>
      </c>
      <c r="E22" s="188">
        <v>0.5</v>
      </c>
      <c r="F22" s="186">
        <v>4</v>
      </c>
      <c r="G22" s="134">
        <v>1</v>
      </c>
      <c r="H22" s="134">
        <v>1</v>
      </c>
      <c r="I22" s="134">
        <v>1</v>
      </c>
      <c r="J22" s="139">
        <f>+G22/F22</f>
        <v>0.25</v>
      </c>
      <c r="K22" s="139">
        <f t="shared" si="17"/>
        <v>0.25</v>
      </c>
      <c r="L22" s="139">
        <f t="shared" si="18"/>
        <v>0.25</v>
      </c>
      <c r="M22" s="139">
        <f>+(G22/F22)*E22</f>
        <v>0.125</v>
      </c>
      <c r="N22" s="139">
        <f t="shared" si="19"/>
        <v>0.125</v>
      </c>
      <c r="O22" s="139"/>
      <c r="P22" s="134">
        <v>1</v>
      </c>
      <c r="Q22" s="496">
        <v>0.25</v>
      </c>
      <c r="R22" s="496">
        <v>0.18</v>
      </c>
      <c r="S22" s="496">
        <v>0.32</v>
      </c>
      <c r="T22" s="496">
        <v>0</v>
      </c>
      <c r="U22" s="496">
        <v>0.25</v>
      </c>
      <c r="V22" s="134">
        <f t="shared" si="1"/>
        <v>1</v>
      </c>
      <c r="W22" s="134">
        <f>+V22+P22+AB22</f>
        <v>2.59</v>
      </c>
      <c r="X22" s="496">
        <v>0.25</v>
      </c>
      <c r="Y22" s="496">
        <v>0.34</v>
      </c>
      <c r="Z22" s="134"/>
      <c r="AA22" s="134"/>
      <c r="AB22" s="134">
        <f t="shared" si="21"/>
        <v>0.59000000000000008</v>
      </c>
      <c r="AC22" s="156">
        <f>+(P22/G22)</f>
        <v>1</v>
      </c>
      <c r="AD22" s="156">
        <f t="shared" si="22"/>
        <v>1</v>
      </c>
      <c r="AE22" s="156">
        <f t="shared" si="23"/>
        <v>0.59000000000000008</v>
      </c>
      <c r="AF22" s="156">
        <f>+AC22*E22</f>
        <v>0.5</v>
      </c>
      <c r="AG22" s="156">
        <f t="shared" si="24"/>
        <v>0.5</v>
      </c>
      <c r="AH22" s="156">
        <f t="shared" si="25"/>
        <v>0.29500000000000004</v>
      </c>
      <c r="AI22" s="156">
        <f>+P22/F22</f>
        <v>0.25</v>
      </c>
      <c r="AJ22" s="156">
        <v>0.5</v>
      </c>
      <c r="AK22" s="156">
        <f t="shared" si="26"/>
        <v>0.64749999999999996</v>
      </c>
      <c r="AL22" s="156">
        <f>+AI22*E22</f>
        <v>0.125</v>
      </c>
      <c r="AM22" s="139">
        <f>+AJ22*E22</f>
        <v>0.25</v>
      </c>
      <c r="AN22" s="139">
        <f t="shared" si="27"/>
        <v>0.32374999999999998</v>
      </c>
      <c r="AO22" s="206" t="s">
        <v>1846</v>
      </c>
      <c r="AP22" s="526" t="s">
        <v>1886</v>
      </c>
      <c r="AQ22" s="526" t="s">
        <v>1991</v>
      </c>
      <c r="AR22" s="526" t="s">
        <v>2010</v>
      </c>
      <c r="AS22" s="526" t="s">
        <v>2010</v>
      </c>
      <c r="AT22" s="688" t="s">
        <v>2141</v>
      </c>
      <c r="AU22" s="526" t="s">
        <v>2196</v>
      </c>
      <c r="AV22" s="526" t="s">
        <v>1887</v>
      </c>
      <c r="AW22" s="526" t="s">
        <v>2294</v>
      </c>
    </row>
    <row r="23" spans="1:49" ht="67.2" customHeight="1" thickBot="1" x14ac:dyDescent="0.4">
      <c r="A23" s="223"/>
      <c r="B23" s="1419" t="s">
        <v>1821</v>
      </c>
      <c r="C23" s="1375"/>
      <c r="D23" s="175"/>
      <c r="E23" s="192">
        <v>0.05</v>
      </c>
      <c r="F23" s="177"/>
      <c r="G23" s="127"/>
      <c r="H23" s="127"/>
      <c r="I23" s="127"/>
      <c r="J23" s="133">
        <f>+AVERAGE(J24:J25)</f>
        <v>0.25</v>
      </c>
      <c r="K23" s="133">
        <f>+AVERAGE(K24:K25)</f>
        <v>0.25</v>
      </c>
      <c r="L23" s="133">
        <f>+AVERAGE(L24:L25)</f>
        <v>0.25</v>
      </c>
      <c r="M23" s="133">
        <f>+M24+M25</f>
        <v>0.25</v>
      </c>
      <c r="N23" s="133">
        <f>+N24+N25</f>
        <v>0.25</v>
      </c>
      <c r="O23" s="133"/>
      <c r="P23" s="132"/>
      <c r="Q23" s="132"/>
      <c r="R23" s="132"/>
      <c r="S23" s="132"/>
      <c r="T23" s="132"/>
      <c r="U23" s="839"/>
      <c r="V23" s="134"/>
      <c r="W23" s="132"/>
      <c r="X23" s="132"/>
      <c r="Y23" s="132"/>
      <c r="Z23" s="132"/>
      <c r="AA23" s="132"/>
      <c r="AB23" s="132"/>
      <c r="AC23" s="154">
        <f>+AVERAGE(AC24:AC25)</f>
        <v>1</v>
      </c>
      <c r="AD23" s="154">
        <f>+AVERAGE(AD24:AD25)</f>
        <v>1</v>
      </c>
      <c r="AE23" s="154">
        <f>+AVERAGE(AE24:AE25)</f>
        <v>0.25</v>
      </c>
      <c r="AF23" s="154">
        <f>+(AF24+AF25)*E23</f>
        <v>0.05</v>
      </c>
      <c r="AG23" s="154">
        <f>+(AG24+AG25)*E23</f>
        <v>0.05</v>
      </c>
      <c r="AH23" s="154">
        <f>+(AH24+AH25)*E23</f>
        <v>1.2500000000000001E-2</v>
      </c>
      <c r="AI23" s="133">
        <f>+AVERAGE(AI24:AI25)</f>
        <v>0.25</v>
      </c>
      <c r="AJ23" s="133">
        <v>0.53749999999999998</v>
      </c>
      <c r="AK23" s="133">
        <f>+AVERAGE(AK24:AK25)</f>
        <v>0.6</v>
      </c>
      <c r="AL23" s="133">
        <f>+(AL24+AL25)*E23</f>
        <v>1.2500000000000001E-2</v>
      </c>
      <c r="AM23" s="133">
        <f>+(AM24+AM25)</f>
        <v>0.55999999999999994</v>
      </c>
      <c r="AN23" s="133">
        <f>+(AN24+AN25)</f>
        <v>0.62250000000000005</v>
      </c>
      <c r="AO23" s="127"/>
      <c r="AP23" s="127"/>
      <c r="AQ23" s="127"/>
      <c r="AR23" s="127"/>
      <c r="AS23" s="564"/>
      <c r="AT23" s="564"/>
      <c r="AU23" s="127"/>
      <c r="AV23" s="490"/>
    </row>
    <row r="24" spans="1:49" ht="67.2" customHeight="1" thickBot="1" x14ac:dyDescent="0.4">
      <c r="A24" s="223"/>
      <c r="B24" s="1390" t="s">
        <v>972</v>
      </c>
      <c r="C24" s="1379" t="s">
        <v>1175</v>
      </c>
      <c r="D24" s="232" t="s">
        <v>1550</v>
      </c>
      <c r="E24" s="188">
        <v>0.8</v>
      </c>
      <c r="F24" s="186">
        <v>4</v>
      </c>
      <c r="G24" s="134">
        <v>1</v>
      </c>
      <c r="H24" s="134">
        <v>1</v>
      </c>
      <c r="I24" s="134">
        <v>1</v>
      </c>
      <c r="J24" s="139">
        <f>+G24/F24</f>
        <v>0.25</v>
      </c>
      <c r="K24" s="139">
        <f t="shared" ref="K24:K25" si="28">+H24/F24</f>
        <v>0.25</v>
      </c>
      <c r="L24" s="139">
        <f t="shared" ref="L24:L25" si="29">+I24/F24</f>
        <v>0.25</v>
      </c>
      <c r="M24" s="139">
        <f>+(G24/F24)*E24</f>
        <v>0.2</v>
      </c>
      <c r="N24" s="139">
        <f t="shared" si="19"/>
        <v>0.2</v>
      </c>
      <c r="O24" s="139"/>
      <c r="P24" s="134">
        <v>1</v>
      </c>
      <c r="Q24" s="496"/>
      <c r="R24" s="496">
        <v>0.3</v>
      </c>
      <c r="S24" s="496">
        <v>0.6</v>
      </c>
      <c r="T24" s="496">
        <v>0.2</v>
      </c>
      <c r="U24" s="496">
        <v>0.2</v>
      </c>
      <c r="V24" s="134">
        <f t="shared" si="1"/>
        <v>1.2999999999999998</v>
      </c>
      <c r="W24" s="134">
        <f>+V24+P24+AB24</f>
        <v>2.5499999999999998</v>
      </c>
      <c r="X24" s="496">
        <v>0.25</v>
      </c>
      <c r="Y24" s="496">
        <v>0</v>
      </c>
      <c r="Z24" s="134"/>
      <c r="AA24" s="134"/>
      <c r="AB24" s="134">
        <f t="shared" ref="AB24:AB25" si="30">+X24+Y24+Z24+AA24</f>
        <v>0.25</v>
      </c>
      <c r="AC24" s="156">
        <f>+(P24/G24)</f>
        <v>1</v>
      </c>
      <c r="AD24" s="156">
        <v>1</v>
      </c>
      <c r="AE24" s="156">
        <f t="shared" ref="AE24:AE25" si="31">+AB24/I24</f>
        <v>0.25</v>
      </c>
      <c r="AF24" s="156">
        <f>+AC24*E24</f>
        <v>0.8</v>
      </c>
      <c r="AG24" s="156">
        <f t="shared" ref="AG24:AG25" si="32">+AD24*E24</f>
        <v>0.8</v>
      </c>
      <c r="AH24" s="156">
        <f t="shared" ref="AH24:AH25" si="33">+AE24*E24</f>
        <v>0.2</v>
      </c>
      <c r="AI24" s="156">
        <f>+P24/F24</f>
        <v>0.25</v>
      </c>
      <c r="AJ24" s="156">
        <v>0.57499999999999996</v>
      </c>
      <c r="AK24" s="156">
        <f t="shared" ref="AK24:AK25" si="34">+W24/F24</f>
        <v>0.63749999999999996</v>
      </c>
      <c r="AL24" s="156">
        <f>+AI24*E24</f>
        <v>0.2</v>
      </c>
      <c r="AM24" s="156">
        <f>+AJ24*E24</f>
        <v>0.45999999999999996</v>
      </c>
      <c r="AN24" s="156">
        <f t="shared" ref="AN24:AN25" si="35">+AK24*E24</f>
        <v>0.51</v>
      </c>
      <c r="AO24" s="206" t="s">
        <v>1846</v>
      </c>
      <c r="AP24" s="127"/>
      <c r="AQ24" s="526" t="s">
        <v>1991</v>
      </c>
      <c r="AR24" s="526" t="s">
        <v>2010</v>
      </c>
      <c r="AS24" s="688" t="s">
        <v>2107</v>
      </c>
      <c r="AT24" s="688" t="s">
        <v>2141</v>
      </c>
      <c r="AU24" s="127"/>
      <c r="AV24" s="526" t="s">
        <v>1887</v>
      </c>
      <c r="AW24" s="526" t="s">
        <v>2294</v>
      </c>
    </row>
    <row r="25" spans="1:49" ht="67.2" customHeight="1" thickBot="1" x14ac:dyDescent="0.4">
      <c r="A25" s="223"/>
      <c r="B25" s="1390" t="s">
        <v>973</v>
      </c>
      <c r="C25" s="1390" t="s">
        <v>1176</v>
      </c>
      <c r="D25" s="232" t="s">
        <v>1550</v>
      </c>
      <c r="E25" s="229">
        <v>0.2</v>
      </c>
      <c r="F25" s="186">
        <v>4</v>
      </c>
      <c r="G25" s="134">
        <v>1</v>
      </c>
      <c r="H25" s="134">
        <v>1</v>
      </c>
      <c r="I25" s="134">
        <v>1</v>
      </c>
      <c r="J25" s="139">
        <f>+G25/F25</f>
        <v>0.25</v>
      </c>
      <c r="K25" s="139">
        <f t="shared" si="28"/>
        <v>0.25</v>
      </c>
      <c r="L25" s="139">
        <f t="shared" si="29"/>
        <v>0.25</v>
      </c>
      <c r="M25" s="139">
        <f>+(G25/F25)*E25</f>
        <v>0.05</v>
      </c>
      <c r="N25" s="139">
        <f t="shared" si="19"/>
        <v>0.05</v>
      </c>
      <c r="O25" s="139"/>
      <c r="P25" s="134">
        <v>1</v>
      </c>
      <c r="Q25" s="496"/>
      <c r="R25" s="496">
        <v>0.5</v>
      </c>
      <c r="S25" s="496">
        <v>0.5</v>
      </c>
      <c r="T25" s="496">
        <v>0</v>
      </c>
      <c r="U25" s="496">
        <v>0</v>
      </c>
      <c r="V25" s="134">
        <f t="shared" si="1"/>
        <v>1</v>
      </c>
      <c r="W25" s="134">
        <f>+V25+P25+AB25</f>
        <v>2.25</v>
      </c>
      <c r="X25" s="496">
        <v>0</v>
      </c>
      <c r="Y25" s="496">
        <v>0.25</v>
      </c>
      <c r="Z25" s="134"/>
      <c r="AA25" s="134"/>
      <c r="AB25" s="134">
        <f t="shared" si="30"/>
        <v>0.25</v>
      </c>
      <c r="AC25" s="156">
        <f>+(P25/G25)</f>
        <v>1</v>
      </c>
      <c r="AD25" s="156">
        <f>+V25/H25</f>
        <v>1</v>
      </c>
      <c r="AE25" s="156">
        <f t="shared" si="31"/>
        <v>0.25</v>
      </c>
      <c r="AF25" s="156">
        <f>+AC25*E25</f>
        <v>0.2</v>
      </c>
      <c r="AG25" s="156">
        <f t="shared" si="32"/>
        <v>0.2</v>
      </c>
      <c r="AH25" s="156">
        <f t="shared" si="33"/>
        <v>0.05</v>
      </c>
      <c r="AI25" s="156">
        <f>+P25/F25</f>
        <v>0.25</v>
      </c>
      <c r="AJ25" s="156">
        <v>0.5</v>
      </c>
      <c r="AK25" s="156">
        <f t="shared" si="34"/>
        <v>0.5625</v>
      </c>
      <c r="AL25" s="156">
        <f>+AI25*E25</f>
        <v>0.05</v>
      </c>
      <c r="AM25" s="156">
        <f>+AJ25*E25</f>
        <v>0.1</v>
      </c>
      <c r="AN25" s="156">
        <f t="shared" si="35"/>
        <v>0.1125</v>
      </c>
      <c r="AO25" s="206" t="s">
        <v>1846</v>
      </c>
      <c r="AP25" s="127"/>
      <c r="AQ25" s="526" t="s">
        <v>1991</v>
      </c>
      <c r="AR25" s="526" t="s">
        <v>2010</v>
      </c>
      <c r="AS25" s="688" t="s">
        <v>2107</v>
      </c>
      <c r="AT25" s="688" t="s">
        <v>2141</v>
      </c>
      <c r="AU25" s="127"/>
      <c r="AV25" s="526" t="s">
        <v>1887</v>
      </c>
      <c r="AW25" s="526" t="s">
        <v>2294</v>
      </c>
    </row>
    <row r="26" spans="1:49" ht="67.2" customHeight="1" thickBot="1" x14ac:dyDescent="0.4">
      <c r="A26" s="223"/>
      <c r="B26" s="1419" t="s">
        <v>1822</v>
      </c>
      <c r="C26" s="1375"/>
      <c r="D26" s="175"/>
      <c r="E26" s="231">
        <v>0.2</v>
      </c>
      <c r="F26" s="177"/>
      <c r="G26" s="127"/>
      <c r="H26" s="127"/>
      <c r="I26" s="127"/>
      <c r="J26" s="133">
        <f>+AVERAGE(J27:J29)</f>
        <v>0.20186882933709449</v>
      </c>
      <c r="K26" s="133">
        <f>+AVERAGE(K27:K29)</f>
        <v>0.27736248236953459</v>
      </c>
      <c r="L26" s="133">
        <f>+AVERAGE(L27:L29)</f>
        <v>0.27736248236953459</v>
      </c>
      <c r="M26" s="133">
        <f>+M27+M28+M29</f>
        <v>0.17686882933709452</v>
      </c>
      <c r="N26" s="133">
        <f>+N27+N28+N29</f>
        <v>0.24104372355430184</v>
      </c>
      <c r="O26" s="133"/>
      <c r="P26" s="132"/>
      <c r="Q26" s="132"/>
      <c r="R26" s="132"/>
      <c r="S26" s="132"/>
      <c r="T26" s="132"/>
      <c r="U26" s="839"/>
      <c r="V26" s="134"/>
      <c r="W26" s="132"/>
      <c r="X26" s="132"/>
      <c r="Y26" s="132"/>
      <c r="Z26" s="132"/>
      <c r="AA26" s="132"/>
      <c r="AB26" s="132"/>
      <c r="AC26" s="154">
        <f>+AVERAGE(AC27:AC29)</f>
        <v>0.80886850152905199</v>
      </c>
      <c r="AD26" s="154">
        <f>+AVERAGE(AD27:AD29)</f>
        <v>1</v>
      </c>
      <c r="AE26" s="154">
        <f>+AVERAGE(AE27:AE29)</f>
        <v>0.76666666666666661</v>
      </c>
      <c r="AF26" s="154">
        <f>+(AF27+AF28+AF29)*E26</f>
        <v>0.14177370030581041</v>
      </c>
      <c r="AG26" s="154">
        <f>+(AG27+AG28+AG29)*E26</f>
        <v>0.2</v>
      </c>
      <c r="AH26" s="154">
        <f>+(AH27+AH28+AH29)*E26</f>
        <v>0.13400000000000001</v>
      </c>
      <c r="AI26" s="133">
        <f>+AVERAGE(AI27:AI29)</f>
        <v>0.17248472026328163</v>
      </c>
      <c r="AJ26" s="133">
        <v>0.555892493339602</v>
      </c>
      <c r="AK26" s="133">
        <f>+AVERAGE(AK27:AK29)</f>
        <v>0.8095737345243692</v>
      </c>
      <c r="AL26" s="133">
        <f>+(AL27+AL28+AL29)*E26</f>
        <v>2.9496944052656328E-2</v>
      </c>
      <c r="AM26" s="133">
        <f>+(AM27+AM28+AM29)</f>
        <v>0.53483874000940301</v>
      </c>
      <c r="AN26" s="133">
        <f>+(AN27+AN28+AN29)</f>
        <v>0.72736060178655382</v>
      </c>
      <c r="AO26" s="127"/>
      <c r="AP26" s="127"/>
      <c r="AQ26" s="127"/>
      <c r="AR26" s="127"/>
      <c r="AS26" s="564"/>
      <c r="AT26" s="564"/>
      <c r="AU26" s="127"/>
      <c r="AV26" s="490"/>
    </row>
    <row r="27" spans="1:49" ht="103.2" customHeight="1" thickBot="1" x14ac:dyDescent="0.4">
      <c r="A27" s="223"/>
      <c r="B27" s="1390" t="s">
        <v>974</v>
      </c>
      <c r="C27" s="1379" t="s">
        <v>1177</v>
      </c>
      <c r="D27" s="600" t="s">
        <v>975</v>
      </c>
      <c r="E27" s="197">
        <v>0.5</v>
      </c>
      <c r="F27" s="186">
        <v>10635</v>
      </c>
      <c r="G27" s="134">
        <v>1635</v>
      </c>
      <c r="H27" s="134">
        <v>3000</v>
      </c>
      <c r="I27" s="134">
        <v>3000</v>
      </c>
      <c r="J27" s="139">
        <f>+G27/F27</f>
        <v>0.15373765867418901</v>
      </c>
      <c r="K27" s="139">
        <f t="shared" ref="K27:K29" si="36">+H27/F27</f>
        <v>0.28208744710860367</v>
      </c>
      <c r="L27" s="139">
        <f t="shared" ref="L27:L29" si="37">+I27/F27</f>
        <v>0.28208744710860367</v>
      </c>
      <c r="M27" s="139">
        <f>+(G27/F27)*E27</f>
        <v>7.6868829337094505E-2</v>
      </c>
      <c r="N27" s="139">
        <f t="shared" si="19"/>
        <v>0.14104372355430184</v>
      </c>
      <c r="O27" s="139"/>
      <c r="P27" s="134">
        <v>1010</v>
      </c>
      <c r="Q27" s="496">
        <v>154</v>
      </c>
      <c r="R27" s="496">
        <v>1606</v>
      </c>
      <c r="S27" s="496">
        <v>1102</v>
      </c>
      <c r="T27" s="496">
        <v>570</v>
      </c>
      <c r="U27" s="496">
        <v>0</v>
      </c>
      <c r="V27" s="134">
        <f t="shared" si="1"/>
        <v>3432</v>
      </c>
      <c r="W27" s="134">
        <f t="shared" ref="W27:W28" si="38">+V27+P27+AB27</f>
        <v>5942</v>
      </c>
      <c r="X27" s="496">
        <v>680</v>
      </c>
      <c r="Y27" s="496">
        <v>820</v>
      </c>
      <c r="Z27" s="134"/>
      <c r="AA27" s="134"/>
      <c r="AB27" s="134">
        <f t="shared" ref="AB27:AB29" si="39">+X27+Y27+Z27+AA27</f>
        <v>1500</v>
      </c>
      <c r="AC27" s="156">
        <f>+(P27/G27)</f>
        <v>0.61773700305810397</v>
      </c>
      <c r="AD27" s="156">
        <v>1</v>
      </c>
      <c r="AE27" s="156">
        <f t="shared" ref="AE27:AE28" si="40">+AB27/I27</f>
        <v>0.5</v>
      </c>
      <c r="AF27" s="156">
        <f>+AC27*E27</f>
        <v>0.30886850152905199</v>
      </c>
      <c r="AG27" s="156">
        <f t="shared" ref="AG27:AG29" si="41">+AD27*E27</f>
        <v>0.5</v>
      </c>
      <c r="AH27" s="156">
        <f t="shared" ref="AH27:AH29" si="42">+AE27*E27</f>
        <v>0.25</v>
      </c>
      <c r="AI27" s="156">
        <f>+P27/F27</f>
        <v>9.496944052656324E-2</v>
      </c>
      <c r="AJ27" s="156">
        <v>0.41767748001880584</v>
      </c>
      <c r="AK27" s="156">
        <f t="shared" ref="AK27:AK28" si="43">+W27/F27</f>
        <v>0.55872120357310762</v>
      </c>
      <c r="AL27" s="156">
        <f>+AI27*E27</f>
        <v>4.748472026328162E-2</v>
      </c>
      <c r="AM27" s="156">
        <f>+AJ27*E27</f>
        <v>0.20883874000940292</v>
      </c>
      <c r="AN27" s="156">
        <f t="shared" ref="AN27:AN29" si="44">+AK27*E27</f>
        <v>0.27936060178655381</v>
      </c>
      <c r="AO27" s="233" t="s">
        <v>1859</v>
      </c>
      <c r="AP27" s="526" t="s">
        <v>1886</v>
      </c>
      <c r="AQ27" s="526" t="s">
        <v>1991</v>
      </c>
      <c r="AR27" s="526" t="s">
        <v>2010</v>
      </c>
      <c r="AS27" s="688" t="s">
        <v>2107</v>
      </c>
      <c r="AT27" s="688" t="s">
        <v>2141</v>
      </c>
      <c r="AU27" s="526" t="s">
        <v>2196</v>
      </c>
      <c r="AV27" s="526" t="s">
        <v>1887</v>
      </c>
      <c r="AW27" s="526" t="s">
        <v>2294</v>
      </c>
    </row>
    <row r="28" spans="1:49" ht="67.2" customHeight="1" thickBot="1" x14ac:dyDescent="0.4">
      <c r="A28" s="223"/>
      <c r="B28" s="1390" t="s">
        <v>976</v>
      </c>
      <c r="C28" s="1379" t="s">
        <v>1178</v>
      </c>
      <c r="D28" s="600" t="s">
        <v>975</v>
      </c>
      <c r="E28" s="197">
        <v>0.4</v>
      </c>
      <c r="F28" s="186">
        <v>600</v>
      </c>
      <c r="G28" s="134">
        <v>150</v>
      </c>
      <c r="H28" s="134">
        <v>150</v>
      </c>
      <c r="I28" s="134">
        <v>150</v>
      </c>
      <c r="J28" s="139">
        <f>+G28/F28</f>
        <v>0.25</v>
      </c>
      <c r="K28" s="139">
        <f t="shared" si="36"/>
        <v>0.25</v>
      </c>
      <c r="L28" s="139">
        <f t="shared" si="37"/>
        <v>0.25</v>
      </c>
      <c r="M28" s="139">
        <f>+(G28/F28)*E28</f>
        <v>0.1</v>
      </c>
      <c r="N28" s="139">
        <f t="shared" si="19"/>
        <v>0.1</v>
      </c>
      <c r="O28" s="139"/>
      <c r="P28" s="134">
        <v>150</v>
      </c>
      <c r="Q28" s="496">
        <v>42</v>
      </c>
      <c r="R28" s="496">
        <v>90</v>
      </c>
      <c r="S28" s="496">
        <v>60</v>
      </c>
      <c r="T28" s="496">
        <v>60</v>
      </c>
      <c r="U28" s="496">
        <v>0</v>
      </c>
      <c r="V28" s="134">
        <f t="shared" si="1"/>
        <v>252</v>
      </c>
      <c r="W28" s="134">
        <f t="shared" si="38"/>
        <v>522</v>
      </c>
      <c r="X28" s="496">
        <v>50</v>
      </c>
      <c r="Y28" s="496">
        <v>70</v>
      </c>
      <c r="Z28" s="134"/>
      <c r="AA28" s="134"/>
      <c r="AB28" s="134">
        <f t="shared" si="39"/>
        <v>120</v>
      </c>
      <c r="AC28" s="156">
        <f>+(P28/G28)</f>
        <v>1</v>
      </c>
      <c r="AD28" s="156">
        <v>1</v>
      </c>
      <c r="AE28" s="156">
        <f t="shared" si="40"/>
        <v>0.8</v>
      </c>
      <c r="AF28" s="156">
        <f>+AC28*E28</f>
        <v>0.4</v>
      </c>
      <c r="AG28" s="156">
        <f t="shared" si="41"/>
        <v>0.4</v>
      </c>
      <c r="AH28" s="156">
        <f t="shared" si="42"/>
        <v>0.32000000000000006</v>
      </c>
      <c r="AI28" s="156">
        <f>+P28/F28</f>
        <v>0.25</v>
      </c>
      <c r="AJ28" s="156">
        <v>0.67</v>
      </c>
      <c r="AK28" s="156">
        <f t="shared" si="43"/>
        <v>0.87</v>
      </c>
      <c r="AL28" s="156">
        <f>+AI28*E28</f>
        <v>0.1</v>
      </c>
      <c r="AM28" s="156">
        <f>+AJ28*E28</f>
        <v>0.26800000000000002</v>
      </c>
      <c r="AN28" s="156">
        <f t="shared" si="44"/>
        <v>0.34800000000000003</v>
      </c>
      <c r="AO28" s="233" t="s">
        <v>1859</v>
      </c>
      <c r="AP28" s="526" t="s">
        <v>1886</v>
      </c>
      <c r="AQ28" s="526" t="s">
        <v>1991</v>
      </c>
      <c r="AR28" s="526" t="s">
        <v>2010</v>
      </c>
      <c r="AS28" s="688" t="s">
        <v>2107</v>
      </c>
      <c r="AT28" s="688" t="s">
        <v>2141</v>
      </c>
      <c r="AU28" s="526" t="s">
        <v>2196</v>
      </c>
      <c r="AV28" s="526" t="s">
        <v>1887</v>
      </c>
      <c r="AW28" s="526" t="s">
        <v>2294</v>
      </c>
    </row>
    <row r="29" spans="1:49" ht="67.2" customHeight="1" thickBot="1" x14ac:dyDescent="0.4">
      <c r="A29" s="223"/>
      <c r="B29" s="1390" t="s">
        <v>977</v>
      </c>
      <c r="C29" s="1379" t="s">
        <v>1179</v>
      </c>
      <c r="D29" s="224" t="s">
        <v>975</v>
      </c>
      <c r="E29" s="188">
        <v>0.1</v>
      </c>
      <c r="F29" s="186">
        <v>1</v>
      </c>
      <c r="G29" s="134">
        <v>0</v>
      </c>
      <c r="H29" s="134">
        <v>0.3</v>
      </c>
      <c r="I29" s="134">
        <v>0.3</v>
      </c>
      <c r="J29" s="139"/>
      <c r="K29" s="139">
        <f t="shared" si="36"/>
        <v>0.3</v>
      </c>
      <c r="L29" s="139">
        <f t="shared" si="37"/>
        <v>0.3</v>
      </c>
      <c r="M29" s="139"/>
      <c r="N29" s="139"/>
      <c r="O29" s="139"/>
      <c r="P29" s="134"/>
      <c r="Q29" s="496"/>
      <c r="R29" s="496"/>
      <c r="S29" s="496"/>
      <c r="T29" s="496">
        <v>0.57999999999999996</v>
      </c>
      <c r="U29" s="496">
        <v>0</v>
      </c>
      <c r="V29" s="134">
        <f t="shared" si="1"/>
        <v>0.57999999999999996</v>
      </c>
      <c r="W29" s="134">
        <f>+V29+P29+AB29</f>
        <v>1.48</v>
      </c>
      <c r="X29" s="497">
        <v>0.5</v>
      </c>
      <c r="Y29" s="496">
        <v>0.4</v>
      </c>
      <c r="Z29" s="134"/>
      <c r="AA29" s="134"/>
      <c r="AB29" s="134">
        <f t="shared" si="39"/>
        <v>0.9</v>
      </c>
      <c r="AC29" s="156"/>
      <c r="AD29" s="156">
        <v>1</v>
      </c>
      <c r="AE29" s="156">
        <v>1</v>
      </c>
      <c r="AF29" s="156"/>
      <c r="AG29" s="156">
        <f t="shared" si="41"/>
        <v>0.1</v>
      </c>
      <c r="AH29" s="156">
        <f t="shared" si="42"/>
        <v>0.1</v>
      </c>
      <c r="AI29" s="156"/>
      <c r="AJ29" s="156">
        <v>0.57999999999999996</v>
      </c>
      <c r="AK29" s="156">
        <v>1</v>
      </c>
      <c r="AL29" s="156"/>
      <c r="AM29" s="156">
        <f>+AJ29*E29</f>
        <v>5.7999999999999996E-2</v>
      </c>
      <c r="AN29" s="156">
        <f t="shared" si="44"/>
        <v>0.1</v>
      </c>
      <c r="AO29" s="206" t="s">
        <v>1846</v>
      </c>
      <c r="AP29" s="526" t="s">
        <v>1886</v>
      </c>
      <c r="AQ29" s="678"/>
      <c r="AR29" s="526" t="s">
        <v>2010</v>
      </c>
      <c r="AS29" s="683" t="s">
        <v>2101</v>
      </c>
      <c r="AT29" s="688" t="s">
        <v>2141</v>
      </c>
      <c r="AU29" s="526" t="s">
        <v>2196</v>
      </c>
      <c r="AV29" s="684" t="s">
        <v>1859</v>
      </c>
      <c r="AW29" s="526" t="s">
        <v>2294</v>
      </c>
    </row>
    <row r="30" spans="1:49" ht="67.2" customHeight="1" thickBot="1" x14ac:dyDescent="0.4">
      <c r="A30" s="223"/>
      <c r="B30" s="1419" t="s">
        <v>1755</v>
      </c>
      <c r="C30" s="1375"/>
      <c r="D30" s="225"/>
      <c r="E30" s="231">
        <v>0.3</v>
      </c>
      <c r="F30" s="177"/>
      <c r="G30" s="127"/>
      <c r="H30" s="127"/>
      <c r="I30" s="127"/>
      <c r="J30" s="133">
        <f>+AVERAGE(J31)</f>
        <v>0.06</v>
      </c>
      <c r="K30" s="133">
        <f>+AVERAGE(K31)</f>
        <v>0.06</v>
      </c>
      <c r="L30" s="133">
        <f>+AVERAGE(L31)</f>
        <v>0.25</v>
      </c>
      <c r="M30" s="133">
        <f>+M31</f>
        <v>0.06</v>
      </c>
      <c r="N30" s="133">
        <f>+N31</f>
        <v>0.06</v>
      </c>
      <c r="O30" s="133"/>
      <c r="P30" s="132"/>
      <c r="Q30" s="132"/>
      <c r="R30" s="132"/>
      <c r="S30" s="132"/>
      <c r="T30" s="132"/>
      <c r="U30" s="839"/>
      <c r="V30" s="134"/>
      <c r="W30" s="132"/>
      <c r="X30" s="132"/>
      <c r="Y30" s="132"/>
      <c r="Z30" s="132"/>
      <c r="AA30" s="132"/>
      <c r="AB30" s="132"/>
      <c r="AC30" s="154">
        <f>+AVERAGE(AC31)</f>
        <v>1</v>
      </c>
      <c r="AD30" s="154">
        <f>+AVERAGE(AD31)</f>
        <v>1</v>
      </c>
      <c r="AE30" s="154">
        <f>+AVERAGE(AE31)</f>
        <v>0.62</v>
      </c>
      <c r="AF30" s="154">
        <f>+(AF31)*E30</f>
        <v>0.3</v>
      </c>
      <c r="AG30" s="154">
        <f>+(AG31)*E30</f>
        <v>0.3</v>
      </c>
      <c r="AH30" s="154">
        <f>+(AH31)*E30</f>
        <v>0.186</v>
      </c>
      <c r="AI30" s="133">
        <f>+AVERAGE(AI31)</f>
        <v>0.15</v>
      </c>
      <c r="AJ30" s="133">
        <v>0.62375999999999998</v>
      </c>
      <c r="AK30" s="133">
        <f>+AVERAGE(AK31)</f>
        <v>0.68009359999999996</v>
      </c>
      <c r="AL30" s="133">
        <f>+(AL31)*E30</f>
        <v>4.4999999999999998E-2</v>
      </c>
      <c r="AM30" s="133">
        <f>+(AM31)</f>
        <v>0.62375999999999998</v>
      </c>
      <c r="AN30" s="133">
        <f>+(AN31)</f>
        <v>0.68009359999999996</v>
      </c>
      <c r="AO30" s="127"/>
      <c r="AP30" s="127"/>
      <c r="AQ30" s="127"/>
      <c r="AR30" s="127"/>
      <c r="AS30" s="564"/>
      <c r="AT30" s="984"/>
      <c r="AU30" s="127"/>
      <c r="AV30" s="490"/>
    </row>
    <row r="31" spans="1:49" ht="103.2" customHeight="1" thickBot="1" x14ac:dyDescent="0.4">
      <c r="A31" s="223"/>
      <c r="B31" s="1390" t="s">
        <v>978</v>
      </c>
      <c r="C31" s="1390" t="s">
        <v>1180</v>
      </c>
      <c r="D31" s="235" t="s">
        <v>969</v>
      </c>
      <c r="E31" s="197">
        <v>1</v>
      </c>
      <c r="F31" s="186">
        <v>5</v>
      </c>
      <c r="G31" s="134">
        <v>0.3</v>
      </c>
      <c r="H31" s="134">
        <v>0.3</v>
      </c>
      <c r="I31" s="134">
        <v>0.2</v>
      </c>
      <c r="J31" s="139">
        <f>+G31/F31</f>
        <v>0.06</v>
      </c>
      <c r="K31" s="139">
        <f t="shared" ref="K31" si="45">+H31/F31</f>
        <v>0.06</v>
      </c>
      <c r="L31" s="139">
        <f>+I31/F31*6.25</f>
        <v>0.25</v>
      </c>
      <c r="M31" s="139">
        <f>+(G31/F31)*E31</f>
        <v>0.06</v>
      </c>
      <c r="N31" s="139">
        <f t="shared" si="19"/>
        <v>0.06</v>
      </c>
      <c r="O31" s="139"/>
      <c r="P31" s="134">
        <v>0.75</v>
      </c>
      <c r="Q31" s="496">
        <v>0</v>
      </c>
      <c r="R31" s="496">
        <v>5.4600000000000003E-2</v>
      </c>
      <c r="S31" s="496">
        <v>0.20399999999999999</v>
      </c>
      <c r="T31" s="496">
        <v>0.55079999999999996</v>
      </c>
      <c r="U31" s="496"/>
      <c r="V31" s="134">
        <f t="shared" si="1"/>
        <v>0.8093999999999999</v>
      </c>
      <c r="W31" s="134">
        <f>+V31+P31+AB31</f>
        <v>1.6833999999999998</v>
      </c>
      <c r="X31" s="496">
        <v>0.05</v>
      </c>
      <c r="Y31" s="134" t="s">
        <v>2304</v>
      </c>
      <c r="Z31" s="134"/>
      <c r="AA31" s="134"/>
      <c r="AB31" s="134">
        <f t="shared" ref="AB31" si="46">+X31+Y31+Z31+AA31</f>
        <v>0.124</v>
      </c>
      <c r="AC31" s="156">
        <v>1</v>
      </c>
      <c r="AD31" s="156">
        <v>1</v>
      </c>
      <c r="AE31" s="156">
        <f>+AB31/I31</f>
        <v>0.62</v>
      </c>
      <c r="AF31" s="156">
        <f>+AC31*E31</f>
        <v>1</v>
      </c>
      <c r="AG31" s="156">
        <f t="shared" ref="AG31" si="47">+AD31*E31</f>
        <v>1</v>
      </c>
      <c r="AH31" s="156">
        <f t="shared" ref="AH31" si="48">+AE31*E31</f>
        <v>0.62</v>
      </c>
      <c r="AI31" s="156">
        <f>+P31/F31</f>
        <v>0.15</v>
      </c>
      <c r="AJ31" s="697">
        <v>0.62375999999999998</v>
      </c>
      <c r="AK31" s="697">
        <f>+W31/F31*2.02</f>
        <v>0.68009359999999996</v>
      </c>
      <c r="AL31" s="156">
        <f>+AI31*E31</f>
        <v>0.15</v>
      </c>
      <c r="AM31" s="139">
        <f>+AJ31*E31</f>
        <v>0.62375999999999998</v>
      </c>
      <c r="AN31" s="156">
        <f t="shared" ref="AN31" si="49">+AK31*E31</f>
        <v>0.68009359999999996</v>
      </c>
      <c r="AO31" s="233" t="s">
        <v>1859</v>
      </c>
      <c r="AP31" s="543" t="s">
        <v>1943</v>
      </c>
      <c r="AQ31" s="526" t="s">
        <v>1991</v>
      </c>
      <c r="AR31" s="526" t="s">
        <v>2010</v>
      </c>
      <c r="AS31" s="564"/>
      <c r="AT31" s="688" t="s">
        <v>2141</v>
      </c>
      <c r="AU31" s="526" t="s">
        <v>2196</v>
      </c>
      <c r="AV31" s="526" t="s">
        <v>1887</v>
      </c>
      <c r="AW31" s="526" t="s">
        <v>2294</v>
      </c>
    </row>
    <row r="32" spans="1:49" ht="67.2" customHeight="1" thickBot="1" x14ac:dyDescent="0.4">
      <c r="A32" s="223"/>
      <c r="B32" s="1419" t="s">
        <v>1756</v>
      </c>
      <c r="C32" s="1375"/>
      <c r="D32" s="225"/>
      <c r="E32" s="231">
        <v>0.05</v>
      </c>
      <c r="F32" s="177"/>
      <c r="G32" s="127"/>
      <c r="H32" s="127"/>
      <c r="I32" s="127"/>
      <c r="J32" s="133"/>
      <c r="K32" s="133">
        <f>+AVERAGE(K33:K35)</f>
        <v>0.76666666666666661</v>
      </c>
      <c r="L32" s="133">
        <f>+AVERAGE(L33:L35)</f>
        <v>0.5</v>
      </c>
      <c r="M32" s="133"/>
      <c r="N32" s="133">
        <f>+N33+N34+N35</f>
        <v>0.72</v>
      </c>
      <c r="O32" s="133"/>
      <c r="P32" s="132"/>
      <c r="Q32" s="132"/>
      <c r="R32" s="132"/>
      <c r="S32" s="132"/>
      <c r="T32" s="132"/>
      <c r="U32" s="839"/>
      <c r="V32" s="134"/>
      <c r="W32" s="132"/>
      <c r="X32" s="132"/>
      <c r="Y32" s="132"/>
      <c r="Z32" s="132"/>
      <c r="AA32" s="132"/>
      <c r="AB32" s="132"/>
      <c r="AC32" s="154"/>
      <c r="AD32" s="154">
        <f>+AVERAGE(AD33:AD35)</f>
        <v>0.66666666666666663</v>
      </c>
      <c r="AE32" s="154">
        <f>+AVERAGE(AE33:AE35)</f>
        <v>0.60000000000000009</v>
      </c>
      <c r="AF32" s="154"/>
      <c r="AG32" s="154">
        <f>+(AG33+AG34+AG35)*E32</f>
        <v>0.03</v>
      </c>
      <c r="AH32" s="154">
        <f>+(AH33+AH34+AH35)*E32</f>
        <v>1.2000000000000004E-2</v>
      </c>
      <c r="AI32" s="133"/>
      <c r="AJ32" s="133">
        <v>0.66666666666666663</v>
      </c>
      <c r="AK32" s="133">
        <f>+AVERAGE(AK33:AK35)</f>
        <v>0.76666666666666661</v>
      </c>
      <c r="AL32" s="133"/>
      <c r="AM32" s="133">
        <f>+(AM33+AM34+AM35)</f>
        <v>0.6</v>
      </c>
      <c r="AN32" s="133">
        <f>+(AN33+AN34+AN35)</f>
        <v>0.72</v>
      </c>
      <c r="AO32" s="127"/>
      <c r="AP32" s="127"/>
      <c r="AQ32" s="127"/>
      <c r="AR32" s="127"/>
      <c r="AS32" s="564"/>
      <c r="AT32" s="564"/>
      <c r="AU32" s="127"/>
      <c r="AV32" s="490"/>
    </row>
    <row r="33" spans="1:49" ht="67.2" customHeight="1" thickBot="1" x14ac:dyDescent="0.4">
      <c r="A33" s="223"/>
      <c r="B33" s="1390" t="s">
        <v>979</v>
      </c>
      <c r="C33" s="1390" t="s">
        <v>1181</v>
      </c>
      <c r="D33" s="225" t="s">
        <v>516</v>
      </c>
      <c r="E33" s="188">
        <v>0.3</v>
      </c>
      <c r="F33" s="186">
        <v>1</v>
      </c>
      <c r="G33" s="134">
        <v>0</v>
      </c>
      <c r="H33" s="134">
        <v>1</v>
      </c>
      <c r="I33" s="134">
        <v>0</v>
      </c>
      <c r="J33" s="139"/>
      <c r="K33" s="139">
        <f t="shared" ref="K33:K35" si="50">+H33/F33</f>
        <v>1</v>
      </c>
      <c r="L33" s="139"/>
      <c r="M33" s="139"/>
      <c r="N33" s="139">
        <f t="shared" si="19"/>
        <v>0.3</v>
      </c>
      <c r="O33" s="139"/>
      <c r="P33" s="134"/>
      <c r="Q33" s="496">
        <v>0.25</v>
      </c>
      <c r="R33" s="496">
        <v>0.75</v>
      </c>
      <c r="S33" s="496">
        <v>0</v>
      </c>
      <c r="T33" s="496">
        <v>0</v>
      </c>
      <c r="U33" s="496">
        <v>0</v>
      </c>
      <c r="V33" s="134">
        <f t="shared" si="1"/>
        <v>1</v>
      </c>
      <c r="W33" s="134">
        <f t="shared" ref="W33:W34" si="51">+V33+P33+AB33</f>
        <v>1.3</v>
      </c>
      <c r="X33" s="496"/>
      <c r="Y33" s="134">
        <v>0.3</v>
      </c>
      <c r="Z33" s="134"/>
      <c r="AA33" s="134"/>
      <c r="AB33" s="134">
        <f t="shared" ref="AB33:AB35" si="52">+X33+Y33+Z33+AA33</f>
        <v>0.3</v>
      </c>
      <c r="AC33" s="139"/>
      <c r="AD33" s="139">
        <f t="shared" ref="AD33:AD35" si="53">+V33/H33</f>
        <v>1</v>
      </c>
      <c r="AE33" s="139"/>
      <c r="AF33" s="139"/>
      <c r="AG33" s="139">
        <f t="shared" ref="AG33:AG35" si="54">+AD33*E33</f>
        <v>0.3</v>
      </c>
      <c r="AH33" s="139">
        <f t="shared" ref="AH33:AH35" si="55">+AE33*E33</f>
        <v>0</v>
      </c>
      <c r="AI33" s="139"/>
      <c r="AJ33" s="139">
        <v>1</v>
      </c>
      <c r="AK33" s="139">
        <v>1</v>
      </c>
      <c r="AL33" s="139"/>
      <c r="AM33" s="139">
        <f>+AJ33*E33</f>
        <v>0.3</v>
      </c>
      <c r="AN33" s="139">
        <f t="shared" ref="AN33:AN35" si="56">+AK33*E33</f>
        <v>0.3</v>
      </c>
      <c r="AO33" s="206" t="s">
        <v>1846</v>
      </c>
      <c r="AP33" s="526" t="s">
        <v>1886</v>
      </c>
      <c r="AQ33" s="678"/>
      <c r="AR33" s="526" t="s">
        <v>2030</v>
      </c>
      <c r="AS33" s="564"/>
      <c r="AT33" s="688" t="s">
        <v>2141</v>
      </c>
      <c r="AU33" s="526" t="s">
        <v>2196</v>
      </c>
      <c r="AV33" s="526" t="s">
        <v>1887</v>
      </c>
      <c r="AW33" s="526" t="s">
        <v>2294</v>
      </c>
    </row>
    <row r="34" spans="1:49" ht="67.2" customHeight="1" thickBot="1" x14ac:dyDescent="0.4">
      <c r="A34" s="223"/>
      <c r="B34" s="1390" t="s">
        <v>980</v>
      </c>
      <c r="C34" s="1390" t="s">
        <v>1182</v>
      </c>
      <c r="D34" s="225" t="s">
        <v>516</v>
      </c>
      <c r="E34" s="188">
        <v>0.3</v>
      </c>
      <c r="F34" s="186">
        <v>1</v>
      </c>
      <c r="G34" s="134">
        <v>0</v>
      </c>
      <c r="H34" s="134">
        <v>1</v>
      </c>
      <c r="I34" s="134">
        <v>0</v>
      </c>
      <c r="J34" s="139"/>
      <c r="K34" s="139">
        <f t="shared" si="50"/>
        <v>1</v>
      </c>
      <c r="L34" s="139"/>
      <c r="M34" s="139"/>
      <c r="N34" s="139">
        <f t="shared" si="19"/>
        <v>0.3</v>
      </c>
      <c r="O34" s="139"/>
      <c r="P34" s="134"/>
      <c r="Q34" s="496">
        <v>0.1</v>
      </c>
      <c r="R34" s="496">
        <v>0.9</v>
      </c>
      <c r="S34" s="496">
        <v>0</v>
      </c>
      <c r="T34" s="496">
        <v>0</v>
      </c>
      <c r="U34" s="496">
        <v>0</v>
      </c>
      <c r="V34" s="134">
        <f t="shared" si="1"/>
        <v>1</v>
      </c>
      <c r="W34" s="134">
        <f t="shared" si="51"/>
        <v>1.3</v>
      </c>
      <c r="X34" s="496"/>
      <c r="Y34" s="134">
        <v>0.3</v>
      </c>
      <c r="Z34" s="134"/>
      <c r="AA34" s="134"/>
      <c r="AB34" s="134">
        <f t="shared" si="52"/>
        <v>0.3</v>
      </c>
      <c r="AC34" s="139"/>
      <c r="AD34" s="139">
        <f t="shared" si="53"/>
        <v>1</v>
      </c>
      <c r="AE34" s="139"/>
      <c r="AF34" s="139"/>
      <c r="AG34" s="139">
        <f t="shared" si="54"/>
        <v>0.3</v>
      </c>
      <c r="AH34" s="139">
        <f t="shared" si="55"/>
        <v>0</v>
      </c>
      <c r="AI34" s="139"/>
      <c r="AJ34" s="139">
        <v>1</v>
      </c>
      <c r="AK34" s="139">
        <v>1</v>
      </c>
      <c r="AL34" s="139"/>
      <c r="AM34" s="139">
        <f>+AJ34*E34</f>
        <v>0.3</v>
      </c>
      <c r="AN34" s="139">
        <f t="shared" si="56"/>
        <v>0.3</v>
      </c>
      <c r="AO34" s="206" t="s">
        <v>1846</v>
      </c>
      <c r="AP34" s="526" t="s">
        <v>1886</v>
      </c>
      <c r="AQ34" s="678"/>
      <c r="AR34" s="543" t="s">
        <v>1859</v>
      </c>
      <c r="AS34" s="684" t="s">
        <v>1859</v>
      </c>
      <c r="AT34" s="684" t="s">
        <v>1859</v>
      </c>
      <c r="AU34" s="526" t="s">
        <v>2196</v>
      </c>
      <c r="AV34" s="526" t="s">
        <v>1887</v>
      </c>
      <c r="AW34" s="526" t="s">
        <v>2294</v>
      </c>
    </row>
    <row r="35" spans="1:49" ht="131.4" customHeight="1" thickBot="1" x14ac:dyDescent="0.4">
      <c r="A35" s="223"/>
      <c r="B35" s="1390" t="s">
        <v>981</v>
      </c>
      <c r="C35" s="1390" t="s">
        <v>1183</v>
      </c>
      <c r="D35" s="225" t="s">
        <v>516</v>
      </c>
      <c r="E35" s="188">
        <v>0.4</v>
      </c>
      <c r="F35" s="186">
        <v>1</v>
      </c>
      <c r="G35" s="134">
        <v>0</v>
      </c>
      <c r="H35" s="134">
        <v>0.3</v>
      </c>
      <c r="I35" s="134">
        <v>0.5</v>
      </c>
      <c r="J35" s="139"/>
      <c r="K35" s="139">
        <f t="shared" si="50"/>
        <v>0.3</v>
      </c>
      <c r="L35" s="139">
        <f t="shared" ref="L35" si="57">+I35/F35</f>
        <v>0.5</v>
      </c>
      <c r="M35" s="139"/>
      <c r="N35" s="139">
        <f t="shared" si="19"/>
        <v>0.12</v>
      </c>
      <c r="O35" s="139"/>
      <c r="P35" s="134"/>
      <c r="Q35" s="496">
        <v>0</v>
      </c>
      <c r="R35" s="496">
        <v>0</v>
      </c>
      <c r="S35" s="496">
        <v>0</v>
      </c>
      <c r="T35" s="496">
        <v>0</v>
      </c>
      <c r="U35" s="496">
        <v>0</v>
      </c>
      <c r="V35" s="134">
        <f t="shared" si="1"/>
        <v>0</v>
      </c>
      <c r="W35" s="134">
        <f>+V35+P35+AB35</f>
        <v>0.30000000000000004</v>
      </c>
      <c r="X35" s="496">
        <v>0.2</v>
      </c>
      <c r="Y35" s="134">
        <v>0.1</v>
      </c>
      <c r="Z35" s="134"/>
      <c r="AA35" s="134"/>
      <c r="AB35" s="134">
        <f t="shared" si="52"/>
        <v>0.30000000000000004</v>
      </c>
      <c r="AC35" s="139"/>
      <c r="AD35" s="139">
        <f t="shared" si="53"/>
        <v>0</v>
      </c>
      <c r="AE35" s="139">
        <f t="shared" ref="AE35" si="58">+AB35/I35</f>
        <v>0.60000000000000009</v>
      </c>
      <c r="AF35" s="139"/>
      <c r="AG35" s="139">
        <f t="shared" si="54"/>
        <v>0</v>
      </c>
      <c r="AH35" s="139">
        <f t="shared" si="55"/>
        <v>0.24000000000000005</v>
      </c>
      <c r="AI35" s="139"/>
      <c r="AJ35" s="139">
        <v>0</v>
      </c>
      <c r="AK35" s="139">
        <f t="shared" ref="AK35" si="59">+W35/F35</f>
        <v>0.30000000000000004</v>
      </c>
      <c r="AL35" s="139"/>
      <c r="AM35" s="139">
        <f>+AJ35*E35</f>
        <v>0</v>
      </c>
      <c r="AN35" s="139">
        <f t="shared" si="56"/>
        <v>0.12000000000000002</v>
      </c>
      <c r="AO35" s="206" t="s">
        <v>1846</v>
      </c>
      <c r="AP35" s="526" t="s">
        <v>1886</v>
      </c>
      <c r="AQ35" s="526" t="s">
        <v>1991</v>
      </c>
      <c r="AR35" s="543" t="s">
        <v>2031</v>
      </c>
      <c r="AS35" s="683" t="s">
        <v>2098</v>
      </c>
      <c r="AT35" s="684" t="s">
        <v>1859</v>
      </c>
      <c r="AU35" s="526" t="s">
        <v>2196</v>
      </c>
      <c r="AV35" s="526" t="s">
        <v>1887</v>
      </c>
      <c r="AW35" s="526" t="s">
        <v>2294</v>
      </c>
    </row>
    <row r="36" spans="1:49" ht="67.2" customHeight="1" thickBot="1" x14ac:dyDescent="0.4">
      <c r="A36" s="223"/>
      <c r="B36" s="1419" t="s">
        <v>1757</v>
      </c>
      <c r="C36" s="1375"/>
      <c r="D36" s="225"/>
      <c r="E36" s="192">
        <v>0.05</v>
      </c>
      <c r="F36" s="186"/>
      <c r="G36" s="127"/>
      <c r="H36" s="127"/>
      <c r="I36" s="127"/>
      <c r="J36" s="133">
        <f>+AVERAGE(J37:J39)</f>
        <v>0.22500000000000001</v>
      </c>
      <c r="K36" s="133">
        <f>+AVERAGE(K37:K39)</f>
        <v>0.33</v>
      </c>
      <c r="L36" s="133">
        <f>+AVERAGE(L37:L39)</f>
        <v>0.31666666666666665</v>
      </c>
      <c r="M36" s="133">
        <f>+M37+M38+M39</f>
        <v>0.16250000000000001</v>
      </c>
      <c r="N36" s="133">
        <f>+N37+N38+N39</f>
        <v>0.34750000000000003</v>
      </c>
      <c r="O36" s="133"/>
      <c r="P36" s="132"/>
      <c r="Q36" s="132"/>
      <c r="R36" s="132"/>
      <c r="S36" s="132"/>
      <c r="T36" s="132"/>
      <c r="U36" s="839"/>
      <c r="V36" s="134"/>
      <c r="W36" s="132"/>
      <c r="X36" s="132"/>
      <c r="Y36" s="132"/>
      <c r="Z36" s="132"/>
      <c r="AA36" s="132"/>
      <c r="AB36" s="132"/>
      <c r="AC36" s="154">
        <f>+AVERAGE(AC37:AC39)</f>
        <v>0.75</v>
      </c>
      <c r="AD36" s="154">
        <f>+AVERAGE(AD37:AD39)</f>
        <v>0.91176470588235292</v>
      </c>
      <c r="AE36" s="154">
        <f>+AVERAGE(AE37:AE39)</f>
        <v>0.59666666666666668</v>
      </c>
      <c r="AF36" s="154">
        <f>+(AF37+AF38+AF39)*E36</f>
        <v>2.5000000000000001E-2</v>
      </c>
      <c r="AG36" s="154">
        <f>+(AG37+AG38+AG39)*E36</f>
        <v>4.6691176470588236E-2</v>
      </c>
      <c r="AH36" s="154">
        <f>+(AH37+AH38+AH39)*E36</f>
        <v>3.175E-2</v>
      </c>
      <c r="AI36" s="133">
        <f>+AVERAGE(AI37:AI39)</f>
        <v>0.17499999999999999</v>
      </c>
      <c r="AJ36" s="133">
        <v>0.43</v>
      </c>
      <c r="AK36" s="133">
        <f>+AVERAGE(AK37:AK39)</f>
        <v>0.58666666666666656</v>
      </c>
      <c r="AL36" s="133">
        <f>+(AL37+AL38+AL39)*E36</f>
        <v>5.6250000000000007E-3</v>
      </c>
      <c r="AM36" s="133">
        <f>+(AM37+AM38+AM39)</f>
        <v>0.45749999999999996</v>
      </c>
      <c r="AN36" s="133">
        <f>+(AN37+AN38+AN39)</f>
        <v>0.61250000000000004</v>
      </c>
      <c r="AO36" s="127"/>
      <c r="AP36" s="127"/>
      <c r="AQ36" s="127"/>
      <c r="AR36" s="127"/>
      <c r="AS36" s="564"/>
      <c r="AT36" s="564"/>
      <c r="AU36" s="127"/>
      <c r="AV36" s="490"/>
    </row>
    <row r="37" spans="1:49" ht="67.2" customHeight="1" thickBot="1" x14ac:dyDescent="0.4">
      <c r="A37" s="223"/>
      <c r="B37" s="1390" t="s">
        <v>982</v>
      </c>
      <c r="C37" s="1390" t="s">
        <v>1184</v>
      </c>
      <c r="D37" s="225" t="s">
        <v>516</v>
      </c>
      <c r="E37" s="188">
        <v>0.5</v>
      </c>
      <c r="F37" s="186">
        <v>5</v>
      </c>
      <c r="G37" s="134">
        <v>1</v>
      </c>
      <c r="H37" s="134">
        <v>2</v>
      </c>
      <c r="I37" s="134">
        <v>1</v>
      </c>
      <c r="J37" s="139">
        <f>+G37/F37</f>
        <v>0.2</v>
      </c>
      <c r="K37" s="139">
        <f t="shared" ref="K37:K39" si="60">+H37/F37</f>
        <v>0.4</v>
      </c>
      <c r="L37" s="139">
        <f t="shared" ref="L37:L39" si="61">+I37/F37</f>
        <v>0.2</v>
      </c>
      <c r="M37" s="139">
        <f>+(G37/F37)*E37</f>
        <v>0.1</v>
      </c>
      <c r="N37" s="139">
        <f t="shared" si="19"/>
        <v>0.2</v>
      </c>
      <c r="O37" s="139"/>
      <c r="P37" s="134">
        <v>0.5</v>
      </c>
      <c r="Q37" s="496">
        <v>0.2</v>
      </c>
      <c r="R37" s="496">
        <v>0.97</v>
      </c>
      <c r="S37" s="496" t="s">
        <v>2122</v>
      </c>
      <c r="T37" s="496">
        <v>0.6</v>
      </c>
      <c r="U37" s="496">
        <v>0</v>
      </c>
      <c r="V37" s="168">
        <f t="shared" si="1"/>
        <v>2.1999999999999997</v>
      </c>
      <c r="W37" s="134">
        <f t="shared" ref="W37:W38" si="62">+V37+P37+AB37</f>
        <v>3.4499999999999997</v>
      </c>
      <c r="X37" s="496">
        <v>0.46</v>
      </c>
      <c r="Y37" s="496">
        <v>0.28999999999999998</v>
      </c>
      <c r="Z37" s="134"/>
      <c r="AA37" s="134"/>
      <c r="AB37" s="134">
        <f t="shared" ref="AB37:AB39" si="63">+X37+Y37+Z37+AA37</f>
        <v>0.75</v>
      </c>
      <c r="AC37" s="156">
        <f>+(P37/G37)</f>
        <v>0.5</v>
      </c>
      <c r="AD37" s="156">
        <v>1</v>
      </c>
      <c r="AE37" s="156">
        <f t="shared" ref="AE37:AE39" si="64">+AB37/I37</f>
        <v>0.75</v>
      </c>
      <c r="AF37" s="156">
        <f>+AC37*E37</f>
        <v>0.25</v>
      </c>
      <c r="AG37" s="156">
        <f t="shared" ref="AG37:AG39" si="65">+AD37*E37</f>
        <v>0.5</v>
      </c>
      <c r="AH37" s="156">
        <f t="shared" ref="AH37:AH39" si="66">+AE37*E37</f>
        <v>0.375</v>
      </c>
      <c r="AI37" s="156">
        <f>+P37/F37</f>
        <v>0.1</v>
      </c>
      <c r="AJ37" s="156">
        <v>0.53999999999999992</v>
      </c>
      <c r="AK37" s="156">
        <f t="shared" ref="AK37:AK39" si="67">+W37/F37</f>
        <v>0.69</v>
      </c>
      <c r="AL37" s="156">
        <f>+AI37*E37</f>
        <v>0.05</v>
      </c>
      <c r="AM37" s="139">
        <f>+AJ37*E37</f>
        <v>0.26999999999999996</v>
      </c>
      <c r="AN37" s="139">
        <f t="shared" ref="AN37:AN39" si="68">+AK37*E37</f>
        <v>0.34499999999999997</v>
      </c>
      <c r="AO37" s="206" t="s">
        <v>1846</v>
      </c>
      <c r="AP37" s="526" t="s">
        <v>1886</v>
      </c>
      <c r="AQ37" s="526" t="s">
        <v>1991</v>
      </c>
      <c r="AR37" s="526" t="s">
        <v>2010</v>
      </c>
      <c r="AS37" s="688" t="s">
        <v>2107</v>
      </c>
      <c r="AT37" s="688" t="s">
        <v>2141</v>
      </c>
      <c r="AU37" s="526" t="s">
        <v>2196</v>
      </c>
      <c r="AV37" s="526" t="s">
        <v>1887</v>
      </c>
      <c r="AW37" s="526" t="s">
        <v>2294</v>
      </c>
    </row>
    <row r="38" spans="1:49" ht="67.2" customHeight="1" thickBot="1" x14ac:dyDescent="0.4">
      <c r="A38" s="223"/>
      <c r="B38" s="1390" t="s">
        <v>983</v>
      </c>
      <c r="C38" s="1390" t="s">
        <v>1185</v>
      </c>
      <c r="D38" s="225" t="s">
        <v>516</v>
      </c>
      <c r="E38" s="188">
        <v>0.25</v>
      </c>
      <c r="F38" s="186">
        <v>2</v>
      </c>
      <c r="G38" s="134">
        <v>0.5</v>
      </c>
      <c r="H38" s="134">
        <v>0.5</v>
      </c>
      <c r="I38" s="134">
        <v>0.5</v>
      </c>
      <c r="J38" s="139">
        <f>+G38/F38</f>
        <v>0.25</v>
      </c>
      <c r="K38" s="139">
        <f t="shared" si="60"/>
        <v>0.25</v>
      </c>
      <c r="L38" s="139">
        <f t="shared" si="61"/>
        <v>0.25</v>
      </c>
      <c r="M38" s="139">
        <f>+(G38/F38)*E38</f>
        <v>6.25E-2</v>
      </c>
      <c r="N38" s="139">
        <f t="shared" si="19"/>
        <v>6.25E-2</v>
      </c>
      <c r="O38" s="139"/>
      <c r="P38" s="134">
        <v>0.5</v>
      </c>
      <c r="Q38" s="496">
        <v>0</v>
      </c>
      <c r="R38" s="496">
        <v>0.14099999999999999</v>
      </c>
      <c r="S38" s="496">
        <v>0.20899999999999999</v>
      </c>
      <c r="T38" s="496">
        <v>0.1</v>
      </c>
      <c r="U38" s="496">
        <v>0.05</v>
      </c>
      <c r="V38" s="134">
        <f t="shared" si="1"/>
        <v>0.49999999999999994</v>
      </c>
      <c r="W38" s="134">
        <f t="shared" si="62"/>
        <v>1.4</v>
      </c>
      <c r="X38" s="496">
        <v>0.09</v>
      </c>
      <c r="Y38" s="496">
        <v>0.31</v>
      </c>
      <c r="Z38" s="134"/>
      <c r="AA38" s="134"/>
      <c r="AB38" s="134">
        <f t="shared" si="63"/>
        <v>0.4</v>
      </c>
      <c r="AC38" s="156">
        <f>+(P38/G38)</f>
        <v>1</v>
      </c>
      <c r="AD38" s="156">
        <f t="shared" ref="AD38:AD39" si="69">+V38/H38</f>
        <v>0.99999999999999989</v>
      </c>
      <c r="AE38" s="156">
        <f t="shared" si="64"/>
        <v>0.8</v>
      </c>
      <c r="AF38" s="156">
        <f>+AC38*E38</f>
        <v>0.25</v>
      </c>
      <c r="AG38" s="156">
        <f t="shared" si="65"/>
        <v>0.24999999999999997</v>
      </c>
      <c r="AH38" s="156">
        <f t="shared" si="66"/>
        <v>0.2</v>
      </c>
      <c r="AI38" s="156">
        <f>+P38/F38</f>
        <v>0.25</v>
      </c>
      <c r="AJ38" s="156">
        <v>0.5</v>
      </c>
      <c r="AK38" s="156">
        <f t="shared" si="67"/>
        <v>0.7</v>
      </c>
      <c r="AL38" s="156">
        <f>+AI38*E38</f>
        <v>6.25E-2</v>
      </c>
      <c r="AM38" s="139">
        <f>+AJ38*E38</f>
        <v>0.125</v>
      </c>
      <c r="AN38" s="139">
        <f t="shared" si="68"/>
        <v>0.17499999999999999</v>
      </c>
      <c r="AO38" s="206" t="s">
        <v>1846</v>
      </c>
      <c r="AP38" s="526" t="s">
        <v>1886</v>
      </c>
      <c r="AQ38" s="526" t="s">
        <v>1991</v>
      </c>
      <c r="AR38" s="526" t="s">
        <v>2010</v>
      </c>
      <c r="AS38" s="688" t="s">
        <v>2107</v>
      </c>
      <c r="AT38" s="688" t="s">
        <v>2141</v>
      </c>
      <c r="AU38" s="526" t="s">
        <v>2196</v>
      </c>
      <c r="AV38" s="526" t="s">
        <v>1887</v>
      </c>
      <c r="AW38" s="526" t="s">
        <v>2294</v>
      </c>
    </row>
    <row r="39" spans="1:49" ht="118.2" customHeight="1" thickBot="1" x14ac:dyDescent="0.4">
      <c r="A39" s="223"/>
      <c r="B39" s="1390" t="s">
        <v>984</v>
      </c>
      <c r="C39" s="1390" t="s">
        <v>1186</v>
      </c>
      <c r="D39" s="225" t="s">
        <v>516</v>
      </c>
      <c r="E39" s="188">
        <v>0.25</v>
      </c>
      <c r="F39" s="186">
        <v>1</v>
      </c>
      <c r="G39" s="134">
        <v>0</v>
      </c>
      <c r="H39" s="134">
        <v>0.34</v>
      </c>
      <c r="I39" s="134">
        <v>0.5</v>
      </c>
      <c r="J39" s="139"/>
      <c r="K39" s="139">
        <f t="shared" si="60"/>
        <v>0.34</v>
      </c>
      <c r="L39" s="139">
        <f t="shared" si="61"/>
        <v>0.5</v>
      </c>
      <c r="M39" s="139"/>
      <c r="N39" s="139">
        <f t="shared" si="19"/>
        <v>8.5000000000000006E-2</v>
      </c>
      <c r="O39" s="139"/>
      <c r="P39" s="134"/>
      <c r="Q39" s="496">
        <v>0</v>
      </c>
      <c r="R39" s="496">
        <v>7.0000000000000007E-2</v>
      </c>
      <c r="S39" s="496">
        <v>0.08</v>
      </c>
      <c r="T39" s="496">
        <v>0.1</v>
      </c>
      <c r="U39" s="496">
        <v>0</v>
      </c>
      <c r="V39" s="134">
        <f t="shared" si="1"/>
        <v>0.25</v>
      </c>
      <c r="W39" s="134">
        <f>+V39+P39+AB39</f>
        <v>0.37</v>
      </c>
      <c r="X39" s="496">
        <v>0.06</v>
      </c>
      <c r="Y39" s="496">
        <v>0.06</v>
      </c>
      <c r="Z39" s="134"/>
      <c r="AA39" s="134"/>
      <c r="AB39" s="134">
        <f t="shared" si="63"/>
        <v>0.12</v>
      </c>
      <c r="AC39" s="156"/>
      <c r="AD39" s="156">
        <f t="shared" si="69"/>
        <v>0.73529411764705876</v>
      </c>
      <c r="AE39" s="156">
        <f t="shared" si="64"/>
        <v>0.24</v>
      </c>
      <c r="AF39" s="156"/>
      <c r="AG39" s="156">
        <f t="shared" si="65"/>
        <v>0.18382352941176469</v>
      </c>
      <c r="AH39" s="156">
        <f t="shared" si="66"/>
        <v>0.06</v>
      </c>
      <c r="AI39" s="156"/>
      <c r="AJ39" s="156">
        <v>0.25</v>
      </c>
      <c r="AK39" s="156">
        <f t="shared" si="67"/>
        <v>0.37</v>
      </c>
      <c r="AL39" s="156"/>
      <c r="AM39" s="139">
        <f>+AJ39*E39</f>
        <v>6.25E-2</v>
      </c>
      <c r="AN39" s="139">
        <f t="shared" si="68"/>
        <v>9.2499999999999999E-2</v>
      </c>
      <c r="AO39" s="206" t="s">
        <v>1846</v>
      </c>
      <c r="AP39" s="543" t="s">
        <v>1913</v>
      </c>
      <c r="AQ39" s="526" t="s">
        <v>1991</v>
      </c>
      <c r="AR39" s="543" t="s">
        <v>2029</v>
      </c>
      <c r="AS39" s="688" t="s">
        <v>2107</v>
      </c>
      <c r="AT39" s="688" t="s">
        <v>2141</v>
      </c>
      <c r="AU39" s="526" t="s">
        <v>2196</v>
      </c>
      <c r="AV39" s="526" t="s">
        <v>1887</v>
      </c>
      <c r="AW39" s="526" t="s">
        <v>2294</v>
      </c>
    </row>
    <row r="40" spans="1:49" ht="67.2" customHeight="1" thickBot="1" x14ac:dyDescent="0.4">
      <c r="A40" s="223"/>
      <c r="B40" s="1419" t="s">
        <v>1758</v>
      </c>
      <c r="C40" s="1375"/>
      <c r="D40" s="225"/>
      <c r="E40" s="192">
        <v>0.05</v>
      </c>
      <c r="F40" s="177"/>
      <c r="G40" s="127"/>
      <c r="H40" s="127"/>
      <c r="I40" s="127"/>
      <c r="J40" s="133"/>
      <c r="K40" s="133">
        <f>+AVERAGE(K41:K42)</f>
        <v>0</v>
      </c>
      <c r="L40" s="133">
        <f>+AVERAGE(L41:L42)</f>
        <v>0.5</v>
      </c>
      <c r="M40" s="133"/>
      <c r="N40" s="133">
        <f>+N41+N42</f>
        <v>0</v>
      </c>
      <c r="O40" s="133"/>
      <c r="P40" s="132"/>
      <c r="Q40" s="132"/>
      <c r="R40" s="132"/>
      <c r="S40" s="132"/>
      <c r="T40" s="132"/>
      <c r="U40" s="839"/>
      <c r="V40" s="134"/>
      <c r="W40" s="132"/>
      <c r="X40" s="132"/>
      <c r="Y40" s="132"/>
      <c r="Z40" s="132"/>
      <c r="AA40" s="132"/>
      <c r="AB40" s="132"/>
      <c r="AC40" s="154"/>
      <c r="AD40" s="154"/>
      <c r="AE40" s="154">
        <f>+AVERAGE(AE41:AE42)</f>
        <v>0</v>
      </c>
      <c r="AF40" s="154"/>
      <c r="AG40" s="154">
        <f>+(AG41+AG42)*E40</f>
        <v>0</v>
      </c>
      <c r="AH40" s="154">
        <f>+(AH41+AH42)*E40</f>
        <v>0</v>
      </c>
      <c r="AI40" s="133"/>
      <c r="AJ40" s="133">
        <v>0.05</v>
      </c>
      <c r="AK40" s="133">
        <f>+AVERAGE(AK41:AK42)</f>
        <v>0.05</v>
      </c>
      <c r="AL40" s="133"/>
      <c r="AM40" s="133">
        <f>+(AM41+AM42)</f>
        <v>0.05</v>
      </c>
      <c r="AN40" s="133">
        <f>+(AN41+AN42)</f>
        <v>0.05</v>
      </c>
      <c r="AO40" s="127"/>
      <c r="AP40" s="127"/>
      <c r="AQ40" s="127"/>
      <c r="AR40" s="127"/>
      <c r="AS40" s="564"/>
      <c r="AT40" s="564"/>
      <c r="AU40" s="127"/>
      <c r="AV40" s="490"/>
    </row>
    <row r="41" spans="1:49" ht="103.2" customHeight="1" thickBot="1" x14ac:dyDescent="0.4">
      <c r="A41" s="223"/>
      <c r="B41" s="1390" t="s">
        <v>985</v>
      </c>
      <c r="C41" s="1390" t="s">
        <v>1187</v>
      </c>
      <c r="D41" s="225" t="s">
        <v>1549</v>
      </c>
      <c r="E41" s="188">
        <v>0.5</v>
      </c>
      <c r="F41" s="186">
        <v>1</v>
      </c>
      <c r="G41" s="134">
        <v>0</v>
      </c>
      <c r="H41" s="134">
        <v>0</v>
      </c>
      <c r="I41" s="134">
        <v>0.5</v>
      </c>
      <c r="J41" s="139"/>
      <c r="K41" s="139">
        <f t="shared" ref="K41:K42" si="70">+H41/F41</f>
        <v>0</v>
      </c>
      <c r="L41" s="139">
        <f t="shared" ref="L41:L42" si="71">+I41/F41</f>
        <v>0.5</v>
      </c>
      <c r="M41" s="139"/>
      <c r="N41" s="139">
        <f t="shared" si="19"/>
        <v>0</v>
      </c>
      <c r="O41" s="139"/>
      <c r="P41" s="134"/>
      <c r="Q41" s="496"/>
      <c r="R41" s="496">
        <v>0.1</v>
      </c>
      <c r="S41" s="496">
        <v>0</v>
      </c>
      <c r="T41" s="496">
        <v>0</v>
      </c>
      <c r="U41" s="496">
        <v>0</v>
      </c>
      <c r="V41" s="134">
        <f t="shared" si="1"/>
        <v>0.1</v>
      </c>
      <c r="W41" s="134">
        <f>+V41+P41+AB41</f>
        <v>0.1</v>
      </c>
      <c r="X41" s="496">
        <v>0</v>
      </c>
      <c r="Y41" s="496">
        <v>0</v>
      </c>
      <c r="Z41" s="134"/>
      <c r="AA41" s="134"/>
      <c r="AB41" s="134">
        <f t="shared" ref="AB41:AB42" si="72">+X41+Y41+Z41+AA41</f>
        <v>0</v>
      </c>
      <c r="AC41" s="156"/>
      <c r="AD41" s="156"/>
      <c r="AE41" s="156">
        <f>+AB41/I41</f>
        <v>0</v>
      </c>
      <c r="AF41" s="156"/>
      <c r="AG41" s="156">
        <f t="shared" ref="AG41:AG42" si="73">+AD41*E41</f>
        <v>0</v>
      </c>
      <c r="AH41" s="156">
        <f t="shared" ref="AH41:AH42" si="74">+AE41*E41</f>
        <v>0</v>
      </c>
      <c r="AI41" s="156"/>
      <c r="AJ41" s="156">
        <v>0.1</v>
      </c>
      <c r="AK41" s="156">
        <f t="shared" ref="AK41:AK42" si="75">+W41/F41</f>
        <v>0.1</v>
      </c>
      <c r="AL41" s="139"/>
      <c r="AM41" s="139">
        <f>+AJ41*E41</f>
        <v>0.05</v>
      </c>
      <c r="AN41" s="139">
        <f t="shared" ref="AN41:AN42" si="76">+AK41*E41</f>
        <v>0.05</v>
      </c>
      <c r="AO41" s="206" t="s">
        <v>1846</v>
      </c>
      <c r="AP41" s="599" t="s">
        <v>1945</v>
      </c>
      <c r="AQ41" s="678"/>
      <c r="AR41" s="526" t="s">
        <v>2010</v>
      </c>
      <c r="AS41" s="683" t="s">
        <v>2097</v>
      </c>
      <c r="AT41" s="688" t="s">
        <v>2141</v>
      </c>
      <c r="AU41" s="526" t="s">
        <v>2196</v>
      </c>
      <c r="AV41" s="526" t="s">
        <v>1887</v>
      </c>
      <c r="AW41" s="526" t="s">
        <v>2294</v>
      </c>
    </row>
    <row r="42" spans="1:49" ht="85.2" customHeight="1" thickBot="1" x14ac:dyDescent="0.4">
      <c r="A42" s="223"/>
      <c r="B42" s="1390" t="s">
        <v>986</v>
      </c>
      <c r="C42" s="1390" t="s">
        <v>1188</v>
      </c>
      <c r="D42" s="225" t="s">
        <v>1549</v>
      </c>
      <c r="E42" s="188">
        <v>0.5</v>
      </c>
      <c r="F42" s="186">
        <v>1</v>
      </c>
      <c r="G42" s="134">
        <v>0</v>
      </c>
      <c r="H42" s="134">
        <v>0</v>
      </c>
      <c r="I42" s="134">
        <v>0.5</v>
      </c>
      <c r="J42" s="139"/>
      <c r="K42" s="139">
        <f t="shared" si="70"/>
        <v>0</v>
      </c>
      <c r="L42" s="139">
        <f t="shared" si="71"/>
        <v>0.5</v>
      </c>
      <c r="M42" s="139"/>
      <c r="N42" s="139">
        <f t="shared" si="19"/>
        <v>0</v>
      </c>
      <c r="O42" s="139"/>
      <c r="P42" s="134"/>
      <c r="Q42" s="496"/>
      <c r="R42" s="496">
        <v>0</v>
      </c>
      <c r="S42" s="496">
        <v>0</v>
      </c>
      <c r="T42" s="496">
        <v>0</v>
      </c>
      <c r="U42" s="496">
        <v>0</v>
      </c>
      <c r="V42" s="134">
        <f t="shared" si="1"/>
        <v>0</v>
      </c>
      <c r="W42" s="134">
        <f>+V42+P42+AB42</f>
        <v>0</v>
      </c>
      <c r="X42" s="496">
        <v>0</v>
      </c>
      <c r="Y42" s="496">
        <v>0</v>
      </c>
      <c r="Z42" s="134"/>
      <c r="AA42" s="134"/>
      <c r="AB42" s="134">
        <f t="shared" si="72"/>
        <v>0</v>
      </c>
      <c r="AC42" s="156"/>
      <c r="AD42" s="156"/>
      <c r="AE42" s="156">
        <f t="shared" ref="AE42" si="77">+AB42/I42</f>
        <v>0</v>
      </c>
      <c r="AF42" s="156"/>
      <c r="AG42" s="156">
        <f t="shared" si="73"/>
        <v>0</v>
      </c>
      <c r="AH42" s="156">
        <f t="shared" si="74"/>
        <v>0</v>
      </c>
      <c r="AI42" s="156"/>
      <c r="AJ42" s="156">
        <v>0</v>
      </c>
      <c r="AK42" s="156">
        <f t="shared" si="75"/>
        <v>0</v>
      </c>
      <c r="AL42" s="139"/>
      <c r="AM42" s="139">
        <f>+AJ42*E42</f>
        <v>0</v>
      </c>
      <c r="AN42" s="139">
        <f t="shared" si="76"/>
        <v>0</v>
      </c>
      <c r="AO42" s="206" t="s">
        <v>1846</v>
      </c>
      <c r="AP42" s="599" t="s">
        <v>1945</v>
      </c>
      <c r="AQ42" s="678"/>
      <c r="AR42" s="526" t="s">
        <v>2010</v>
      </c>
      <c r="AS42" s="683" t="s">
        <v>2097</v>
      </c>
      <c r="AT42" s="688" t="s">
        <v>2141</v>
      </c>
      <c r="AU42" s="526" t="s">
        <v>2196</v>
      </c>
      <c r="AV42" s="526" t="s">
        <v>1887</v>
      </c>
      <c r="AW42" s="526" t="s">
        <v>2294</v>
      </c>
    </row>
    <row r="43" spans="1:49" ht="67.2" customHeight="1" thickBot="1" x14ac:dyDescent="0.4">
      <c r="A43" s="223"/>
      <c r="B43" s="1419" t="s">
        <v>1759</v>
      </c>
      <c r="C43" s="1375"/>
      <c r="D43" s="225"/>
      <c r="E43" s="192">
        <v>0.15</v>
      </c>
      <c r="F43" s="177"/>
      <c r="G43" s="127"/>
      <c r="H43" s="127"/>
      <c r="I43" s="127"/>
      <c r="J43" s="133">
        <f>+AVERAGE(J44:J47)</f>
        <v>0.16773431223397892</v>
      </c>
      <c r="K43" s="133">
        <f>+AVERAGE(K44:K47)</f>
        <v>0.17788406750881749</v>
      </c>
      <c r="L43" s="133">
        <f>+AVERAGE(L44:L47)</f>
        <v>0.19925122362580694</v>
      </c>
      <c r="M43" s="133">
        <f>+M44+M45+M46+M47</f>
        <v>8.4187449787183122E-2</v>
      </c>
      <c r="N43" s="133">
        <f>+N44+N45+N46+N47</f>
        <v>0.20128117468077469</v>
      </c>
      <c r="O43" s="133"/>
      <c r="P43" s="132"/>
      <c r="Q43" s="132"/>
      <c r="R43" s="132"/>
      <c r="S43" s="132"/>
      <c r="T43" s="132"/>
      <c r="U43" s="839"/>
      <c r="V43" s="134"/>
      <c r="W43" s="132"/>
      <c r="X43" s="132"/>
      <c r="Y43" s="132"/>
      <c r="Z43" s="132"/>
      <c r="AA43" s="132"/>
      <c r="AB43" s="132"/>
      <c r="AC43" s="154">
        <f>+AVERAGE(AC44:AC47)</f>
        <v>1</v>
      </c>
      <c r="AD43" s="154">
        <f>+AVERAGE(AD44:AD47)</f>
        <v>0.86077777777777786</v>
      </c>
      <c r="AE43" s="154">
        <f>+AVERAGE(AE44:AE47)</f>
        <v>0.15293333333333334</v>
      </c>
      <c r="AF43" s="154">
        <f>+(AF44+AF45+AF46+AF47)*E43</f>
        <v>9.0000000000000011E-2</v>
      </c>
      <c r="AG43" s="154">
        <f>+(AG44+AG45+AG46+AG47)*E43</f>
        <v>0.11279</v>
      </c>
      <c r="AH43" s="154">
        <f>+(AH44+AH45+AH46+AH47)*E43</f>
        <v>2.3777999999999997E-2</v>
      </c>
      <c r="AI43" s="133">
        <f>+AVERAGE(AI44:AI47)</f>
        <v>0.17321025512854482</v>
      </c>
      <c r="AJ43" s="133">
        <v>0.24135897792580469</v>
      </c>
      <c r="AK43" s="133">
        <f>+AVERAGE(AK44:AK47)</f>
        <v>0.28167930008553987</v>
      </c>
      <c r="AL43" s="133">
        <f>+(AL44+AL45+AL46+AL47)*E43</f>
        <v>1.3285230615425379E-2</v>
      </c>
      <c r="AM43" s="133">
        <f>+(AM44+AM45+AM46+AM47)</f>
        <v>0.25917436468128752</v>
      </c>
      <c r="AN43" s="133">
        <f>+(AN44+AN45+AN46+AN47)</f>
        <v>0.31202021347019709</v>
      </c>
      <c r="AO43" s="127"/>
      <c r="AP43" s="127"/>
      <c r="AQ43" s="127"/>
      <c r="AR43" s="127"/>
      <c r="AS43" s="564"/>
      <c r="AT43" s="564"/>
      <c r="AU43" s="127"/>
      <c r="AV43" s="490"/>
    </row>
    <row r="44" spans="1:49" ht="95.4" customHeight="1" thickBot="1" x14ac:dyDescent="0.4">
      <c r="A44" s="223"/>
      <c r="B44" s="1390" t="s">
        <v>987</v>
      </c>
      <c r="C44" s="1390" t="s">
        <v>1189</v>
      </c>
      <c r="D44" s="225" t="s">
        <v>48</v>
      </c>
      <c r="E44" s="188">
        <v>0.3</v>
      </c>
      <c r="F44" s="186">
        <v>3</v>
      </c>
      <c r="G44" s="134">
        <v>0</v>
      </c>
      <c r="H44" s="134">
        <v>1</v>
      </c>
      <c r="I44" s="134">
        <v>1</v>
      </c>
      <c r="J44" s="139"/>
      <c r="K44" s="139">
        <f t="shared" ref="K44:K47" si="78">+H44/F44</f>
        <v>0.33333333333333331</v>
      </c>
      <c r="L44" s="139">
        <f t="shared" ref="L44:L47" si="79">+I44/F44</f>
        <v>0.33333333333333331</v>
      </c>
      <c r="M44" s="139"/>
      <c r="N44" s="139">
        <f t="shared" si="19"/>
        <v>9.9999999999999992E-2</v>
      </c>
      <c r="O44" s="139"/>
      <c r="P44" s="134"/>
      <c r="Q44" s="496">
        <v>0</v>
      </c>
      <c r="R44" s="496">
        <v>0</v>
      </c>
      <c r="S44" s="496">
        <v>0.56999999999999995</v>
      </c>
      <c r="T44" s="496">
        <v>0.24</v>
      </c>
      <c r="U44" s="496">
        <v>0</v>
      </c>
      <c r="V44" s="134">
        <f t="shared" si="1"/>
        <v>0.80999999999999994</v>
      </c>
      <c r="W44" s="602">
        <f>+V44+P44+AB44+0.1</f>
        <v>1.1600000000000001</v>
      </c>
      <c r="X44" s="496">
        <v>0.1</v>
      </c>
      <c r="Y44" s="496">
        <v>0.15</v>
      </c>
      <c r="Z44" s="134"/>
      <c r="AA44" s="134"/>
      <c r="AB44" s="134">
        <f t="shared" ref="AB44:AB47" si="80">+X44+Y44+Z44+AA44</f>
        <v>0.25</v>
      </c>
      <c r="AC44" s="156"/>
      <c r="AD44" s="156">
        <f t="shared" ref="AD44:AD46" si="81">+V44/H44</f>
        <v>0.80999999999999994</v>
      </c>
      <c r="AE44" s="156">
        <f t="shared" ref="AE44:AE46" si="82">+AB44/I44</f>
        <v>0.25</v>
      </c>
      <c r="AF44" s="156"/>
      <c r="AG44" s="156">
        <f t="shared" ref="AG44:AG46" si="83">+AD44*E44</f>
        <v>0.24299999999999997</v>
      </c>
      <c r="AH44" s="156">
        <f t="shared" ref="AH44:AH47" si="84">+AE44*E44</f>
        <v>7.4999999999999997E-2</v>
      </c>
      <c r="AI44" s="156"/>
      <c r="AJ44" s="156">
        <v>0.26999999999999996</v>
      </c>
      <c r="AK44" s="156">
        <f t="shared" ref="AK44:AK47" si="85">+W44/F44</f>
        <v>0.38666666666666671</v>
      </c>
      <c r="AL44" s="139"/>
      <c r="AM44" s="139">
        <f>+AJ44*E44</f>
        <v>8.0999999999999989E-2</v>
      </c>
      <c r="AN44" s="139">
        <f t="shared" ref="AN44:AN47" si="86">+AK44*E44</f>
        <v>0.11600000000000001</v>
      </c>
      <c r="AO44" s="206" t="s">
        <v>1846</v>
      </c>
      <c r="AP44" s="543" t="s">
        <v>1913</v>
      </c>
      <c r="AQ44" s="526" t="s">
        <v>1991</v>
      </c>
      <c r="AR44" s="526" t="s">
        <v>2010</v>
      </c>
      <c r="AS44" s="688" t="s">
        <v>2107</v>
      </c>
      <c r="AT44" s="688" t="s">
        <v>2141</v>
      </c>
      <c r="AU44" s="526" t="s">
        <v>2196</v>
      </c>
      <c r="AV44" s="526" t="s">
        <v>1887</v>
      </c>
      <c r="AW44" s="526" t="s">
        <v>2294</v>
      </c>
    </row>
    <row r="45" spans="1:49" ht="67.2" customHeight="1" thickBot="1" x14ac:dyDescent="0.4">
      <c r="A45" s="223"/>
      <c r="B45" s="1390" t="s">
        <v>988</v>
      </c>
      <c r="C45" s="1390" t="s">
        <v>1190</v>
      </c>
      <c r="D45" s="225" t="s">
        <v>48</v>
      </c>
      <c r="E45" s="188">
        <v>0.2</v>
      </c>
      <c r="F45" s="186">
        <v>1</v>
      </c>
      <c r="G45" s="134">
        <v>0.25</v>
      </c>
      <c r="H45" s="134">
        <v>0.25</v>
      </c>
      <c r="I45" s="134">
        <v>0.25</v>
      </c>
      <c r="J45" s="139">
        <f>+G45/F45</f>
        <v>0.25</v>
      </c>
      <c r="K45" s="139">
        <f t="shared" si="78"/>
        <v>0.25</v>
      </c>
      <c r="L45" s="139">
        <f t="shared" si="79"/>
        <v>0.25</v>
      </c>
      <c r="M45" s="139">
        <f>+(G45/F45)*E45</f>
        <v>0.05</v>
      </c>
      <c r="N45" s="139">
        <f t="shared" si="19"/>
        <v>0.05</v>
      </c>
      <c r="O45" s="139"/>
      <c r="P45" s="496">
        <v>0.25</v>
      </c>
      <c r="Q45" s="496">
        <v>0.04</v>
      </c>
      <c r="R45" s="496">
        <v>0.21</v>
      </c>
      <c r="S45" s="496">
        <v>0</v>
      </c>
      <c r="T45" s="496">
        <v>0</v>
      </c>
      <c r="U45" s="496">
        <v>0</v>
      </c>
      <c r="V45" s="134">
        <f t="shared" si="1"/>
        <v>0.25</v>
      </c>
      <c r="W45" s="134">
        <f t="shared" ref="W45:W46" si="87">+V45+P45+AB45</f>
        <v>0.5</v>
      </c>
      <c r="X45" s="496">
        <v>0</v>
      </c>
      <c r="Y45" s="496">
        <v>0</v>
      </c>
      <c r="Z45" s="134"/>
      <c r="AA45" s="134"/>
      <c r="AB45" s="134">
        <f t="shared" si="80"/>
        <v>0</v>
      </c>
      <c r="AC45" s="156">
        <f>+(P45/G45)</f>
        <v>1</v>
      </c>
      <c r="AD45" s="156">
        <f t="shared" si="81"/>
        <v>1</v>
      </c>
      <c r="AE45" s="156">
        <f t="shared" si="82"/>
        <v>0</v>
      </c>
      <c r="AF45" s="156">
        <f>+AC45*E45</f>
        <v>0.2</v>
      </c>
      <c r="AG45" s="156">
        <f t="shared" si="83"/>
        <v>0.2</v>
      </c>
      <c r="AH45" s="156">
        <f>+AE45*E45</f>
        <v>0</v>
      </c>
      <c r="AI45" s="156">
        <f>+P45/F45</f>
        <v>0.25</v>
      </c>
      <c r="AJ45" s="156">
        <v>0.5</v>
      </c>
      <c r="AK45" s="156">
        <f t="shared" si="85"/>
        <v>0.5</v>
      </c>
      <c r="AL45" s="139">
        <f>+AI45*E45</f>
        <v>0.05</v>
      </c>
      <c r="AM45" s="139">
        <f>+AJ45*E45</f>
        <v>0.1</v>
      </c>
      <c r="AN45" s="139">
        <f t="shared" si="86"/>
        <v>0.1</v>
      </c>
      <c r="AO45" s="206" t="s">
        <v>1846</v>
      </c>
      <c r="AP45" s="526" t="s">
        <v>1886</v>
      </c>
      <c r="AQ45" s="526" t="s">
        <v>1991</v>
      </c>
      <c r="AR45" s="526" t="s">
        <v>2010</v>
      </c>
      <c r="AS45" s="688" t="s">
        <v>2107</v>
      </c>
      <c r="AT45" s="688" t="s">
        <v>2141</v>
      </c>
      <c r="AU45" s="526" t="s">
        <v>2196</v>
      </c>
      <c r="AV45" s="526" t="s">
        <v>1887</v>
      </c>
      <c r="AW45" s="526" t="s">
        <v>2294</v>
      </c>
    </row>
    <row r="46" spans="1:49" ht="67.2" customHeight="1" thickBot="1" x14ac:dyDescent="0.4">
      <c r="A46" s="223"/>
      <c r="B46" s="1390" t="s">
        <v>989</v>
      </c>
      <c r="C46" s="1390" t="s">
        <v>1191</v>
      </c>
      <c r="D46" s="225" t="s">
        <v>48</v>
      </c>
      <c r="E46" s="188">
        <v>0.4</v>
      </c>
      <c r="F46" s="234">
        <v>117002000000</v>
      </c>
      <c r="G46" s="208">
        <v>10000000000</v>
      </c>
      <c r="H46" s="208">
        <v>15000000000</v>
      </c>
      <c r="I46" s="208">
        <v>25000000000</v>
      </c>
      <c r="J46" s="139">
        <f>+G46/F46</f>
        <v>8.5468624467957818E-2</v>
      </c>
      <c r="K46" s="139">
        <f t="shared" si="78"/>
        <v>0.12820293670193672</v>
      </c>
      <c r="L46" s="139">
        <f>+I46/F46</f>
        <v>0.21367156116989452</v>
      </c>
      <c r="M46" s="139">
        <f>+(G46/F46)*E46</f>
        <v>3.4187449787183126E-2</v>
      </c>
      <c r="N46" s="139">
        <f t="shared" si="19"/>
        <v>5.1281174680774692E-2</v>
      </c>
      <c r="O46" s="139"/>
      <c r="P46" s="499">
        <v>11281392541.1</v>
      </c>
      <c r="Q46" s="499">
        <v>1551000000</v>
      </c>
      <c r="R46" s="499">
        <v>4063000000</v>
      </c>
      <c r="S46" s="499">
        <v>2564000000</v>
      </c>
      <c r="T46" s="499">
        <v>1832000000</v>
      </c>
      <c r="U46" s="499">
        <v>1575000000</v>
      </c>
      <c r="V46" s="208">
        <f t="shared" si="1"/>
        <v>11585000000</v>
      </c>
      <c r="W46" s="134">
        <f t="shared" si="87"/>
        <v>28086392541.099998</v>
      </c>
      <c r="X46" s="499">
        <v>989000000</v>
      </c>
      <c r="Y46" s="499">
        <v>4231000000</v>
      </c>
      <c r="Z46" s="208"/>
      <c r="AA46" s="208"/>
      <c r="AB46" s="134">
        <f t="shared" si="80"/>
        <v>5220000000</v>
      </c>
      <c r="AC46" s="156">
        <v>1</v>
      </c>
      <c r="AD46" s="156">
        <f t="shared" si="81"/>
        <v>0.77233333333333332</v>
      </c>
      <c r="AE46" s="156">
        <f t="shared" si="82"/>
        <v>0.20880000000000001</v>
      </c>
      <c r="AF46" s="156">
        <f>+AC46*E46</f>
        <v>0.4</v>
      </c>
      <c r="AG46" s="156">
        <f t="shared" si="83"/>
        <v>0.30893333333333334</v>
      </c>
      <c r="AH46" s="156">
        <f t="shared" si="84"/>
        <v>8.3520000000000011E-2</v>
      </c>
      <c r="AI46" s="156">
        <f>+P46/F46</f>
        <v>9.6420510257089628E-2</v>
      </c>
      <c r="AJ46" s="156">
        <v>0.19543591170321872</v>
      </c>
      <c r="AK46" s="156">
        <f t="shared" si="85"/>
        <v>0.2400505336754927</v>
      </c>
      <c r="AL46" s="139">
        <f>+AI46*E46</f>
        <v>3.8568204102835853E-2</v>
      </c>
      <c r="AM46" s="139">
        <f>+AJ46*E46</f>
        <v>7.8174364681287495E-2</v>
      </c>
      <c r="AN46" s="139">
        <f t="shared" si="86"/>
        <v>9.6020213470197083E-2</v>
      </c>
      <c r="AO46" s="206" t="s">
        <v>1846</v>
      </c>
      <c r="AP46" s="526" t="s">
        <v>1886</v>
      </c>
      <c r="AQ46" s="526" t="s">
        <v>1991</v>
      </c>
      <c r="AR46" s="526" t="s">
        <v>2010</v>
      </c>
      <c r="AS46" s="683" t="s">
        <v>2084</v>
      </c>
      <c r="AT46" s="688" t="s">
        <v>2141</v>
      </c>
      <c r="AU46" s="526" t="s">
        <v>2196</v>
      </c>
      <c r="AV46" s="526" t="s">
        <v>1887</v>
      </c>
      <c r="AW46" s="526" t="s">
        <v>2294</v>
      </c>
    </row>
    <row r="47" spans="1:49" ht="93" customHeight="1" thickBot="1" x14ac:dyDescent="0.4">
      <c r="A47" s="223"/>
      <c r="B47" s="1390" t="s">
        <v>990</v>
      </c>
      <c r="C47" s="1390" t="s">
        <v>1192</v>
      </c>
      <c r="D47" s="225" t="s">
        <v>48</v>
      </c>
      <c r="E47" s="188">
        <v>0.1</v>
      </c>
      <c r="F47" s="186">
        <v>30</v>
      </c>
      <c r="G47" s="134">
        <v>0</v>
      </c>
      <c r="H47" s="134">
        <v>0</v>
      </c>
      <c r="I47" s="134">
        <v>0</v>
      </c>
      <c r="J47" s="139"/>
      <c r="K47" s="139">
        <f t="shared" si="78"/>
        <v>0</v>
      </c>
      <c r="L47" s="139">
        <f t="shared" si="79"/>
        <v>0</v>
      </c>
      <c r="M47" s="139"/>
      <c r="N47" s="139">
        <f t="shared" si="19"/>
        <v>0</v>
      </c>
      <c r="O47" s="139"/>
      <c r="P47" s="134"/>
      <c r="Q47" s="496"/>
      <c r="R47" s="496"/>
      <c r="S47" s="496"/>
      <c r="T47" s="496"/>
      <c r="U47" s="496"/>
      <c r="V47" s="134">
        <f t="shared" si="1"/>
        <v>0</v>
      </c>
      <c r="W47" s="134">
        <f>+V47+P47+AB47</f>
        <v>0</v>
      </c>
      <c r="X47" s="496"/>
      <c r="Y47" s="496"/>
      <c r="Z47" s="134"/>
      <c r="AA47" s="134"/>
      <c r="AB47" s="134">
        <f t="shared" si="80"/>
        <v>0</v>
      </c>
      <c r="AC47" s="139"/>
      <c r="AD47" s="139"/>
      <c r="AE47" s="139"/>
      <c r="AF47" s="139"/>
      <c r="AG47" s="139"/>
      <c r="AH47" s="139">
        <f t="shared" si="84"/>
        <v>0</v>
      </c>
      <c r="AI47" s="139"/>
      <c r="AJ47" s="156">
        <v>0</v>
      </c>
      <c r="AK47" s="156">
        <f t="shared" si="85"/>
        <v>0</v>
      </c>
      <c r="AL47" s="139"/>
      <c r="AM47" s="139">
        <f>+AJ47*E47</f>
        <v>0</v>
      </c>
      <c r="AN47" s="139">
        <f t="shared" si="86"/>
        <v>0</v>
      </c>
      <c r="AO47" s="206" t="s">
        <v>1846</v>
      </c>
      <c r="AP47" s="543" t="s">
        <v>1913</v>
      </c>
      <c r="AQ47" s="526" t="s">
        <v>1991</v>
      </c>
      <c r="AR47" s="526" t="s">
        <v>2010</v>
      </c>
      <c r="AS47" s="683" t="s">
        <v>2083</v>
      </c>
      <c r="AT47" s="688" t="s">
        <v>2141</v>
      </c>
      <c r="AU47" s="526" t="s">
        <v>2196</v>
      </c>
      <c r="AV47" s="526" t="s">
        <v>1887</v>
      </c>
      <c r="AW47" s="526" t="s">
        <v>2294</v>
      </c>
    </row>
    <row r="48" spans="1:49" ht="89.4" customHeight="1" thickBot="1" x14ac:dyDescent="0.4">
      <c r="A48" s="223"/>
      <c r="B48" s="1420" t="s">
        <v>1823</v>
      </c>
      <c r="C48" s="1375"/>
      <c r="D48" s="225"/>
      <c r="E48" s="194">
        <v>0.2</v>
      </c>
      <c r="F48" s="226">
        <f>+E48*AF48</f>
        <v>0.18625993100110649</v>
      </c>
      <c r="G48" s="127"/>
      <c r="H48" s="226">
        <f>+E48*AG48</f>
        <v>0.19419076548026978</v>
      </c>
      <c r="I48" s="226">
        <f>+E48*AH48</f>
        <v>0.11481719071729762</v>
      </c>
      <c r="J48" s="125">
        <f>+(J49+J55)</f>
        <v>0.22689134534516447</v>
      </c>
      <c r="K48" s="125">
        <f>+(K49+K55)/2</f>
        <v>0.2540275605253442</v>
      </c>
      <c r="L48" s="125">
        <f>+(L49+L55)/2</f>
        <v>0.31631974529991125</v>
      </c>
      <c r="M48" s="126">
        <f>+(M49+M55)</f>
        <v>0.22571301967260979</v>
      </c>
      <c r="N48" s="126">
        <f>+(N49+N55)/2</f>
        <v>0.25432469935214241</v>
      </c>
      <c r="O48" s="126"/>
      <c r="P48" s="127"/>
      <c r="Q48" s="127"/>
      <c r="R48" s="127"/>
      <c r="S48" s="127"/>
      <c r="T48" s="127"/>
      <c r="U48" s="176"/>
      <c r="V48" s="819"/>
      <c r="W48" s="127"/>
      <c r="X48" s="127"/>
      <c r="Y48" s="127"/>
      <c r="Z48" s="127"/>
      <c r="AA48" s="127"/>
      <c r="AB48" s="127"/>
      <c r="AC48" s="125">
        <f>+(AC49+AC55)</f>
        <v>0.99015771316080659</v>
      </c>
      <c r="AD48" s="125">
        <f>+(AD49+AD55)/2</f>
        <v>0.99113502988969038</v>
      </c>
      <c r="AE48" s="125">
        <f>+(AE49+AE55)/2</f>
        <v>0.75725550794788787</v>
      </c>
      <c r="AF48" s="126">
        <f>+AF49+AF55</f>
        <v>0.93129965500553247</v>
      </c>
      <c r="AG48" s="126">
        <f>+AG49+AG55</f>
        <v>0.97095382740134883</v>
      </c>
      <c r="AH48" s="126">
        <f>+AH49+AH55</f>
        <v>0.57408595358648806</v>
      </c>
      <c r="AI48" s="125">
        <f>(AI49+AI55)</f>
        <v>0.25580038172039926</v>
      </c>
      <c r="AJ48" s="125">
        <v>0.77712521124768763</v>
      </c>
      <c r="AK48" s="125">
        <f>(AK49+AK55)/2</f>
        <v>0.84646360659112929</v>
      </c>
      <c r="AL48" s="227">
        <f>(AL49+AL55)</f>
        <v>0.22738216072471779</v>
      </c>
      <c r="AM48" s="227">
        <f>(AM49*E49+AM55*E55)</f>
        <v>0.53668886120066794</v>
      </c>
      <c r="AN48" s="227">
        <f>(AN49*E49+AN55*E55)</f>
        <v>0.67264416520834114</v>
      </c>
      <c r="AO48" s="564"/>
      <c r="AP48" s="546" t="s">
        <v>1882</v>
      </c>
      <c r="AQ48" s="177"/>
      <c r="AR48" s="127"/>
      <c r="AS48" s="564"/>
      <c r="AT48" s="564"/>
      <c r="AU48" s="127"/>
      <c r="AV48" s="490"/>
    </row>
    <row r="49" spans="1:49" ht="67.2" customHeight="1" thickBot="1" x14ac:dyDescent="0.4">
      <c r="A49" s="223"/>
      <c r="B49" s="1419" t="s">
        <v>1760</v>
      </c>
      <c r="C49" s="1375"/>
      <c r="D49" s="225"/>
      <c r="E49" s="192">
        <v>0.95</v>
      </c>
      <c r="F49" s="177"/>
      <c r="G49" s="127"/>
      <c r="H49" s="127"/>
      <c r="I49" s="127"/>
      <c r="J49" s="133">
        <f>+AVERAGE(J50:J54)</f>
        <v>0.22689134534516447</v>
      </c>
      <c r="K49" s="133">
        <f>+AVERAGE(K50:K54)</f>
        <v>0.2580551210506884</v>
      </c>
      <c r="L49" s="133">
        <f>+AVERAGE(L50:L54)</f>
        <v>0.25763949059982244</v>
      </c>
      <c r="M49" s="133">
        <f>+M50+M51+M52+M53+M54</f>
        <v>0.22571301967260979</v>
      </c>
      <c r="N49" s="133">
        <f>+N50+N51+N52+N53+N54</f>
        <v>0.25864939870428477</v>
      </c>
      <c r="O49" s="133"/>
      <c r="P49" s="132"/>
      <c r="Q49" s="132"/>
      <c r="R49" s="132"/>
      <c r="S49" s="132"/>
      <c r="T49" s="132"/>
      <c r="U49" s="839"/>
      <c r="V49" s="134"/>
      <c r="W49" s="132"/>
      <c r="X49" s="132"/>
      <c r="Y49" s="132"/>
      <c r="Z49" s="132"/>
      <c r="AA49" s="132"/>
      <c r="AB49" s="132"/>
      <c r="AC49" s="154">
        <f>+AVERAGE(AC50:AC54)</f>
        <v>0.99015771316080659</v>
      </c>
      <c r="AD49" s="154">
        <f>+AVERAGE(AD50:AD54)</f>
        <v>0.98227005977938087</v>
      </c>
      <c r="AE49" s="154">
        <f>+AVERAGE(AE50:AE54)</f>
        <v>0.51451101589577575</v>
      </c>
      <c r="AF49" s="154">
        <f>+(AF50+AF51+AF52+AF53+AF54)*E49</f>
        <v>0.93129965500553247</v>
      </c>
      <c r="AG49" s="154">
        <f>+(AG50+AG51+AG52+AG53+AG54)*E49</f>
        <v>0.92095382740134879</v>
      </c>
      <c r="AH49" s="154">
        <f>+(AH50+AH51+AH52+AH53+AH54)*E49</f>
        <v>0.52408595358648802</v>
      </c>
      <c r="AI49" s="133">
        <f>+AVERAGE(AI50:AI54)</f>
        <v>0.25580038172039926</v>
      </c>
      <c r="AJ49" s="133">
        <v>0.55425042249537515</v>
      </c>
      <c r="AK49" s="133">
        <f>+AVERAGE(AK50:AK54)</f>
        <v>0.69292721318225858</v>
      </c>
      <c r="AL49" s="133">
        <f>+(AL50+AL51+AL52+AL53+AL54)*E49</f>
        <v>0.22738216072471779</v>
      </c>
      <c r="AM49" s="133">
        <f>+(AM50+AM51+AM52+AM53+AM54)</f>
        <v>0.51230406442175569</v>
      </c>
      <c r="AN49" s="133">
        <f>+(AN50+AN51+AN52+AN53+AN54)</f>
        <v>0.65541491074562219</v>
      </c>
      <c r="AO49" s="127"/>
      <c r="AP49" s="565"/>
      <c r="AQ49" s="127"/>
      <c r="AR49" s="689"/>
      <c r="AS49" s="564"/>
      <c r="AT49" s="564"/>
      <c r="AU49" s="127"/>
      <c r="AV49" s="490"/>
    </row>
    <row r="50" spans="1:49" ht="67.2" customHeight="1" thickBot="1" x14ac:dyDescent="0.4">
      <c r="A50" s="223"/>
      <c r="B50" s="1390" t="s">
        <v>991</v>
      </c>
      <c r="C50" s="1390" t="s">
        <v>1193</v>
      </c>
      <c r="D50" s="225" t="s">
        <v>683</v>
      </c>
      <c r="E50" s="188">
        <v>0.35</v>
      </c>
      <c r="F50" s="234">
        <v>1727905000000</v>
      </c>
      <c r="G50" s="208">
        <v>393165798563</v>
      </c>
      <c r="H50" s="208">
        <v>458399741720</v>
      </c>
      <c r="I50" s="208">
        <v>445787000000</v>
      </c>
      <c r="J50" s="139">
        <f>+G50/F50</f>
        <v>0.22753901317665035</v>
      </c>
      <c r="K50" s="139">
        <f t="shared" ref="K50:K56" si="88">+H50/F50</f>
        <v>0.26529221324088997</v>
      </c>
      <c r="L50" s="139">
        <f>+I50/F50</f>
        <v>0.25799277159334572</v>
      </c>
      <c r="M50" s="139">
        <f>+(G50/F50)*E50</f>
        <v>7.963865461182762E-2</v>
      </c>
      <c r="N50" s="139">
        <f t="shared" ref="N50:N56" si="89">+(H50/F50)*E50</f>
        <v>9.2852274634311491E-2</v>
      </c>
      <c r="O50" s="139"/>
      <c r="P50" s="208">
        <v>423913849857</v>
      </c>
      <c r="Q50" s="499">
        <v>215410301461</v>
      </c>
      <c r="R50" s="499">
        <v>115150898259</v>
      </c>
      <c r="S50" s="499">
        <v>42205839401</v>
      </c>
      <c r="T50" s="499">
        <v>72764098003</v>
      </c>
      <c r="U50" s="499">
        <f>99664865867-T50</f>
        <v>26900767864</v>
      </c>
      <c r="V50" s="499">
        <f t="shared" si="1"/>
        <v>472431904988</v>
      </c>
      <c r="W50" s="840">
        <f>+V50+P50+AB50</f>
        <v>1265750819964</v>
      </c>
      <c r="X50" s="499">
        <v>95354859032</v>
      </c>
      <c r="Y50" s="499">
        <v>274050206087</v>
      </c>
      <c r="Z50" s="840"/>
      <c r="AA50" s="840"/>
      <c r="AB50" s="1415">
        <f t="shared" ref="AB50:AB54" si="90">+X50+Y50+Z50+AA50</f>
        <v>369405065119</v>
      </c>
      <c r="AC50" s="156">
        <v>1</v>
      </c>
      <c r="AD50" s="156">
        <v>1</v>
      </c>
      <c r="AE50" s="156">
        <f>+AB50/I50</f>
        <v>0.82865822717800208</v>
      </c>
      <c r="AF50" s="156">
        <f>+AC50*E50</f>
        <v>0.35</v>
      </c>
      <c r="AG50" s="156">
        <f t="shared" ref="AG50:AG54" si="91">+AD50*E50</f>
        <v>0.35</v>
      </c>
      <c r="AH50" s="156">
        <f t="shared" ref="AH50:AH54" si="92">+AE50*E50</f>
        <v>0.29003037951230071</v>
      </c>
      <c r="AI50" s="156">
        <f>+P50/F50</f>
        <v>0.24533400265465982</v>
      </c>
      <c r="AJ50" s="156">
        <v>0.51874712721185479</v>
      </c>
      <c r="AK50" s="156">
        <f t="shared" ref="AK50:AK53" si="93">+W50/F50</f>
        <v>0.73253495994513584</v>
      </c>
      <c r="AL50" s="156">
        <f>+AI50*E50</f>
        <v>8.5866900929130935E-2</v>
      </c>
      <c r="AM50" s="139">
        <f>+AJ50*E50</f>
        <v>0.18156149452414916</v>
      </c>
      <c r="AN50" s="139">
        <f t="shared" ref="AN50:AN54" si="94">+AK50*E50</f>
        <v>0.25638723598079755</v>
      </c>
      <c r="AO50" s="206" t="s">
        <v>1846</v>
      </c>
      <c r="AP50" s="526" t="s">
        <v>1886</v>
      </c>
      <c r="AQ50" s="688" t="s">
        <v>1991</v>
      </c>
      <c r="AR50" s="526" t="s">
        <v>2010</v>
      </c>
      <c r="AS50" s="688" t="s">
        <v>2107</v>
      </c>
      <c r="AT50" s="688" t="s">
        <v>2141</v>
      </c>
      <c r="AU50" s="526" t="s">
        <v>2196</v>
      </c>
      <c r="AV50" s="526" t="s">
        <v>1887</v>
      </c>
      <c r="AW50" s="526" t="s">
        <v>2294</v>
      </c>
    </row>
    <row r="51" spans="1:49" ht="67.2" customHeight="1" thickBot="1" x14ac:dyDescent="0.4">
      <c r="A51" s="223"/>
      <c r="B51" s="1390" t="s">
        <v>992</v>
      </c>
      <c r="C51" s="1390" t="s">
        <v>1194</v>
      </c>
      <c r="D51" s="225" t="s">
        <v>683</v>
      </c>
      <c r="E51" s="188">
        <v>0.4</v>
      </c>
      <c r="F51" s="234">
        <v>2912805184493</v>
      </c>
      <c r="G51" s="208">
        <v>662915926390</v>
      </c>
      <c r="H51" s="208">
        <v>732697266239</v>
      </c>
      <c r="I51" s="208">
        <v>751619000000</v>
      </c>
      <c r="J51" s="139">
        <f>+G51/F51</f>
        <v>0.22758677096538693</v>
      </c>
      <c r="K51" s="139">
        <f t="shared" si="88"/>
        <v>0.25154351898976468</v>
      </c>
      <c r="L51" s="139">
        <f t="shared" ref="L51:L54" si="95">+I51/F51</f>
        <v>0.25803957092682328</v>
      </c>
      <c r="M51" s="139">
        <f>+(G51/F51)*E51</f>
        <v>9.1034708386154781E-2</v>
      </c>
      <c r="N51" s="139">
        <f t="shared" si="89"/>
        <v>0.10061740759590587</v>
      </c>
      <c r="O51" s="139"/>
      <c r="P51" s="208">
        <v>630292882901</v>
      </c>
      <c r="Q51" s="499">
        <v>81349836580</v>
      </c>
      <c r="R51" s="499">
        <v>148570009721</v>
      </c>
      <c r="S51" s="499">
        <v>102139673891</v>
      </c>
      <c r="T51" s="499">
        <v>243572411261</v>
      </c>
      <c r="U51" s="499">
        <f>350001145363-T51</f>
        <v>106428734102</v>
      </c>
      <c r="V51" s="499">
        <f t="shared" si="1"/>
        <v>682060665555</v>
      </c>
      <c r="W51" s="840">
        <f t="shared" ref="W51:W54" si="96">+V51+P51+AB51</f>
        <v>1584385263709</v>
      </c>
      <c r="X51" s="499">
        <v>74698301480</v>
      </c>
      <c r="Y51" s="499">
        <v>197333413773</v>
      </c>
      <c r="Z51" s="840"/>
      <c r="AA51" s="840"/>
      <c r="AB51" s="1415">
        <f t="shared" si="90"/>
        <v>272031715253</v>
      </c>
      <c r="AC51" s="156">
        <f>+(P51/G51)</f>
        <v>0.95078856580403304</v>
      </c>
      <c r="AD51" s="156">
        <f t="shared" ref="AD51:AD54" si="97">+V51/H51</f>
        <v>0.93089014656227376</v>
      </c>
      <c r="AE51" s="156">
        <f t="shared" ref="AE51:AE56" si="98">+AB51/I51</f>
        <v>0.36192767246836494</v>
      </c>
      <c r="AF51" s="156">
        <f>+AC51*E51</f>
        <v>0.38031542632161325</v>
      </c>
      <c r="AG51" s="156">
        <f t="shared" si="91"/>
        <v>0.3723560586249095</v>
      </c>
      <c r="AH51" s="156">
        <f t="shared" si="92"/>
        <v>0.14477106898734599</v>
      </c>
      <c r="AI51" s="156">
        <f>+P51/F51</f>
        <v>0.21638689956215118</v>
      </c>
      <c r="AJ51" s="156">
        <v>0.45054628282132331</v>
      </c>
      <c r="AK51" s="156">
        <f t="shared" si="93"/>
        <v>0.54393794413160401</v>
      </c>
      <c r="AL51" s="156">
        <f>+AI51*E51</f>
        <v>8.655475982486048E-2</v>
      </c>
      <c r="AM51" s="139">
        <f>+AJ51*E51</f>
        <v>0.18021851312852932</v>
      </c>
      <c r="AN51" s="139">
        <f t="shared" si="94"/>
        <v>0.21757517765264162</v>
      </c>
      <c r="AO51" s="206" t="s">
        <v>1846</v>
      </c>
      <c r="AP51" s="526" t="s">
        <v>1886</v>
      </c>
      <c r="AQ51" s="526" t="s">
        <v>1991</v>
      </c>
      <c r="AR51" s="526" t="s">
        <v>2010</v>
      </c>
      <c r="AS51" s="688" t="s">
        <v>2107</v>
      </c>
      <c r="AT51" s="688" t="s">
        <v>2141</v>
      </c>
      <c r="AU51" s="526" t="s">
        <v>2196</v>
      </c>
      <c r="AV51" s="526" t="s">
        <v>1887</v>
      </c>
      <c r="AW51" s="526" t="s">
        <v>2294</v>
      </c>
    </row>
    <row r="52" spans="1:49" ht="67.2" customHeight="1" thickBot="1" x14ac:dyDescent="0.4">
      <c r="A52" s="223"/>
      <c r="B52" s="1390" t="s">
        <v>993</v>
      </c>
      <c r="C52" s="1390" t="s">
        <v>1195</v>
      </c>
      <c r="D52" s="225" t="s">
        <v>683</v>
      </c>
      <c r="E52" s="188">
        <v>0.08</v>
      </c>
      <c r="F52" s="234">
        <v>34797802428</v>
      </c>
      <c r="G52" s="208">
        <v>7138513013</v>
      </c>
      <c r="H52" s="208">
        <v>9115167266</v>
      </c>
      <c r="I52" s="208">
        <v>9155000000</v>
      </c>
      <c r="J52" s="139">
        <f>+G52/F52</f>
        <v>0.2051426387562913</v>
      </c>
      <c r="K52" s="139">
        <f t="shared" si="88"/>
        <v>0.26194663541929575</v>
      </c>
      <c r="L52" s="139">
        <f t="shared" si="95"/>
        <v>0.26309132649806194</v>
      </c>
      <c r="M52" s="139">
        <f>+(G52/F52)*E52</f>
        <v>1.6411411100503304E-2</v>
      </c>
      <c r="N52" s="139">
        <f t="shared" si="89"/>
        <v>2.095573083354366E-2</v>
      </c>
      <c r="O52" s="139"/>
      <c r="P52" s="208">
        <v>11515173869</v>
      </c>
      <c r="Q52" s="499">
        <v>8962015901</v>
      </c>
      <c r="R52" s="499">
        <v>1117484230</v>
      </c>
      <c r="S52" s="499">
        <v>1362281185</v>
      </c>
      <c r="T52" s="499">
        <v>3556030402</v>
      </c>
      <c r="U52" s="499">
        <f>6289230002-T52</f>
        <v>2733199600</v>
      </c>
      <c r="V52" s="499">
        <f t="shared" si="1"/>
        <v>17731011318</v>
      </c>
      <c r="W52" s="840">
        <f t="shared" si="96"/>
        <v>32571725943</v>
      </c>
      <c r="X52" s="499">
        <v>323661002</v>
      </c>
      <c r="Y52" s="499">
        <v>3001879754</v>
      </c>
      <c r="Z52" s="840"/>
      <c r="AA52" s="840"/>
      <c r="AB52" s="1415">
        <f t="shared" si="90"/>
        <v>3325540756</v>
      </c>
      <c r="AC52" s="156">
        <v>1</v>
      </c>
      <c r="AD52" s="156">
        <v>1</v>
      </c>
      <c r="AE52" s="156">
        <f t="shared" si="98"/>
        <v>0.36324858066630256</v>
      </c>
      <c r="AF52" s="156">
        <f>+AC52*E52</f>
        <v>0.08</v>
      </c>
      <c r="AG52" s="156">
        <f t="shared" si="91"/>
        <v>0.08</v>
      </c>
      <c r="AH52" s="156">
        <f t="shared" si="92"/>
        <v>2.9059886453304207E-2</v>
      </c>
      <c r="AI52" s="156">
        <f>+P52/F52</f>
        <v>0.33091669776636046</v>
      </c>
      <c r="AJ52" s="156">
        <v>0.84046069424967773</v>
      </c>
      <c r="AK52" s="156">
        <f t="shared" si="93"/>
        <v>0.93602824518571348</v>
      </c>
      <c r="AL52" s="156">
        <f>+AI52*E52</f>
        <v>2.6473335821308838E-2</v>
      </c>
      <c r="AM52" s="139">
        <f>+AJ52*E52</f>
        <v>6.7236855539974216E-2</v>
      </c>
      <c r="AN52" s="139">
        <f t="shared" si="94"/>
        <v>7.4882259614857075E-2</v>
      </c>
      <c r="AO52" s="206" t="s">
        <v>1846</v>
      </c>
      <c r="AP52" s="526" t="s">
        <v>1886</v>
      </c>
      <c r="AQ52" s="526" t="s">
        <v>1991</v>
      </c>
      <c r="AR52" s="526" t="s">
        <v>2010</v>
      </c>
      <c r="AS52" s="688" t="s">
        <v>2107</v>
      </c>
      <c r="AT52" s="688" t="s">
        <v>2141</v>
      </c>
      <c r="AU52" s="526" t="s">
        <v>2196</v>
      </c>
      <c r="AV52" s="526" t="s">
        <v>1887</v>
      </c>
      <c r="AW52" s="526" t="s">
        <v>2294</v>
      </c>
    </row>
    <row r="53" spans="1:49" ht="67.2" customHeight="1" thickBot="1" x14ac:dyDescent="0.4">
      <c r="A53" s="223"/>
      <c r="B53" s="1390" t="s">
        <v>994</v>
      </c>
      <c r="C53" s="1390" t="s">
        <v>1196</v>
      </c>
      <c r="D53" s="225" t="s">
        <v>683</v>
      </c>
      <c r="E53" s="188">
        <v>0.15</v>
      </c>
      <c r="F53" s="234">
        <v>238874034451</v>
      </c>
      <c r="G53" s="208">
        <v>53552764612</v>
      </c>
      <c r="H53" s="208">
        <v>62463944648</v>
      </c>
      <c r="I53" s="208">
        <v>61886000000</v>
      </c>
      <c r="J53" s="139">
        <f>+G53/F53</f>
        <v>0.22418830382749377</v>
      </c>
      <c r="K53" s="139">
        <f t="shared" si="88"/>
        <v>0.26149323760349169</v>
      </c>
      <c r="L53" s="139">
        <f t="shared" si="95"/>
        <v>0.25907378398088143</v>
      </c>
      <c r="M53" s="139">
        <f>+(G53/F53)*E53</f>
        <v>3.3628245574124062E-2</v>
      </c>
      <c r="N53" s="139">
        <f t="shared" si="89"/>
        <v>3.9223985640523755E-2</v>
      </c>
      <c r="O53" s="139"/>
      <c r="P53" s="208">
        <v>56461296000</v>
      </c>
      <c r="Q53" s="499">
        <v>15037510000</v>
      </c>
      <c r="R53" s="499">
        <v>14645008000</v>
      </c>
      <c r="S53" s="499">
        <v>12936485000</v>
      </c>
      <c r="T53" s="499">
        <v>7995157000</v>
      </c>
      <c r="U53" s="499">
        <f>18624405685-T53</f>
        <v>10629248685</v>
      </c>
      <c r="V53" s="499">
        <f t="shared" si="1"/>
        <v>61243408685</v>
      </c>
      <c r="W53" s="840">
        <f t="shared" si="96"/>
        <v>149806247685</v>
      </c>
      <c r="X53" s="499">
        <v>4332879000</v>
      </c>
      <c r="Y53" s="499">
        <v>27768664000</v>
      </c>
      <c r="Z53" s="840"/>
      <c r="AA53" s="840"/>
      <c r="AB53" s="1415">
        <f t="shared" si="90"/>
        <v>32101543000</v>
      </c>
      <c r="AC53" s="156">
        <v>1</v>
      </c>
      <c r="AD53" s="156">
        <f t="shared" si="97"/>
        <v>0.98046015233463035</v>
      </c>
      <c r="AE53" s="156">
        <f t="shared" si="98"/>
        <v>0.51872059916620883</v>
      </c>
      <c r="AF53" s="156">
        <f>+AC53*E53</f>
        <v>0.15</v>
      </c>
      <c r="AG53" s="156">
        <f t="shared" si="91"/>
        <v>0.14706902285019455</v>
      </c>
      <c r="AH53" s="156">
        <f t="shared" si="92"/>
        <v>7.7808089874931319E-2</v>
      </c>
      <c r="AI53" s="156">
        <f>+P53/F53</f>
        <v>0.23636430861882501</v>
      </c>
      <c r="AJ53" s="156">
        <v>0.49274800819402015</v>
      </c>
      <c r="AK53" s="156">
        <f t="shared" si="93"/>
        <v>0.62713491664883991</v>
      </c>
      <c r="AL53" s="156">
        <f>+AI53*E53</f>
        <v>3.5454646292823751E-2</v>
      </c>
      <c r="AM53" s="139">
        <f>+AJ53*E53</f>
        <v>7.3912201229103025E-2</v>
      </c>
      <c r="AN53" s="139">
        <f t="shared" si="94"/>
        <v>9.4070237497325987E-2</v>
      </c>
      <c r="AO53" s="206" t="s">
        <v>1846</v>
      </c>
      <c r="AP53" s="526" t="s">
        <v>1886</v>
      </c>
      <c r="AQ53" s="526" t="s">
        <v>1991</v>
      </c>
      <c r="AR53" s="526" t="s">
        <v>2010</v>
      </c>
      <c r="AS53" s="688" t="s">
        <v>2107</v>
      </c>
      <c r="AT53" s="688" t="s">
        <v>2141</v>
      </c>
      <c r="AU53" s="526" t="s">
        <v>2196</v>
      </c>
      <c r="AV53" s="526" t="s">
        <v>1887</v>
      </c>
      <c r="AW53" s="526" t="s">
        <v>2294</v>
      </c>
    </row>
    <row r="54" spans="1:49" ht="98.4" customHeight="1" thickBot="1" x14ac:dyDescent="0.4">
      <c r="A54" s="223"/>
      <c r="B54" s="1390" t="s">
        <v>995</v>
      </c>
      <c r="C54" s="1390" t="s">
        <v>1555</v>
      </c>
      <c r="D54" s="225" t="s">
        <v>683</v>
      </c>
      <c r="E54" s="188">
        <v>0.02</v>
      </c>
      <c r="F54" s="186">
        <v>16</v>
      </c>
      <c r="G54" s="208">
        <v>4</v>
      </c>
      <c r="H54" s="208">
        <v>4</v>
      </c>
      <c r="I54" s="208">
        <v>4</v>
      </c>
      <c r="J54" s="139">
        <f>+G54/F54</f>
        <v>0.25</v>
      </c>
      <c r="K54" s="139">
        <f t="shared" si="88"/>
        <v>0.25</v>
      </c>
      <c r="L54" s="139">
        <f t="shared" si="95"/>
        <v>0.25</v>
      </c>
      <c r="M54" s="139">
        <f>+(G54/F54)*E54</f>
        <v>5.0000000000000001E-3</v>
      </c>
      <c r="N54" s="139">
        <f t="shared" si="89"/>
        <v>5.0000000000000001E-3</v>
      </c>
      <c r="O54" s="139"/>
      <c r="P54" s="208">
        <v>4</v>
      </c>
      <c r="Q54" s="499">
        <v>1</v>
      </c>
      <c r="R54" s="499">
        <v>0.5</v>
      </c>
      <c r="S54" s="499">
        <v>2</v>
      </c>
      <c r="T54" s="499">
        <v>0</v>
      </c>
      <c r="U54" s="499">
        <v>0.5</v>
      </c>
      <c r="V54" s="208">
        <f t="shared" si="1"/>
        <v>4</v>
      </c>
      <c r="W54" s="840">
        <f t="shared" si="96"/>
        <v>10</v>
      </c>
      <c r="X54" s="499">
        <v>1</v>
      </c>
      <c r="Y54" s="499">
        <v>1</v>
      </c>
      <c r="Z54" s="208"/>
      <c r="AA54" s="208"/>
      <c r="AB54" s="134">
        <f t="shared" si="90"/>
        <v>2</v>
      </c>
      <c r="AC54" s="156">
        <f>+(P54/G54)</f>
        <v>1</v>
      </c>
      <c r="AD54" s="156">
        <f t="shared" si="97"/>
        <v>1</v>
      </c>
      <c r="AE54" s="156">
        <f t="shared" si="98"/>
        <v>0.5</v>
      </c>
      <c r="AF54" s="156">
        <f>+AC54*E54</f>
        <v>0.02</v>
      </c>
      <c r="AG54" s="156">
        <f t="shared" si="91"/>
        <v>0.02</v>
      </c>
      <c r="AH54" s="156">
        <f t="shared" si="92"/>
        <v>0.01</v>
      </c>
      <c r="AI54" s="156">
        <f>+P54/F54</f>
        <v>0.25</v>
      </c>
      <c r="AJ54" s="156">
        <v>0.46875</v>
      </c>
      <c r="AK54" s="156">
        <f>+W54/F54</f>
        <v>0.625</v>
      </c>
      <c r="AL54" s="156">
        <f>+AI54*E54</f>
        <v>5.0000000000000001E-3</v>
      </c>
      <c r="AM54" s="139">
        <f>+AJ54*E54</f>
        <v>9.3749999999999997E-3</v>
      </c>
      <c r="AN54" s="139">
        <f t="shared" si="94"/>
        <v>1.2500000000000001E-2</v>
      </c>
      <c r="AO54" s="127"/>
      <c r="AP54" s="127"/>
      <c r="AQ54" s="127"/>
      <c r="AR54" s="526" t="s">
        <v>2010</v>
      </c>
      <c r="AS54" s="688" t="s">
        <v>2107</v>
      </c>
      <c r="AT54" s="688" t="s">
        <v>2141</v>
      </c>
      <c r="AU54" s="526" t="s">
        <v>2196</v>
      </c>
      <c r="AV54" s="526" t="s">
        <v>1887</v>
      </c>
      <c r="AW54" s="526" t="s">
        <v>2294</v>
      </c>
    </row>
    <row r="55" spans="1:49" ht="67.2" customHeight="1" thickBot="1" x14ac:dyDescent="0.4">
      <c r="A55" s="223"/>
      <c r="B55" s="1419" t="s">
        <v>1761</v>
      </c>
      <c r="C55" s="1375"/>
      <c r="D55" s="225"/>
      <c r="E55" s="192">
        <v>0.05</v>
      </c>
      <c r="F55" s="177"/>
      <c r="G55" s="127"/>
      <c r="H55" s="208"/>
      <c r="I55" s="208"/>
      <c r="J55" s="133"/>
      <c r="K55" s="133">
        <f>+AVERAGE(K56)</f>
        <v>0.25</v>
      </c>
      <c r="L55" s="133">
        <f>+AVERAGE(L56)</f>
        <v>0.375</v>
      </c>
      <c r="M55" s="133"/>
      <c r="N55" s="133">
        <f>+N56</f>
        <v>0.25</v>
      </c>
      <c r="O55" s="133"/>
      <c r="P55" s="132"/>
      <c r="Q55" s="132"/>
      <c r="R55" s="132"/>
      <c r="S55" s="132"/>
      <c r="T55" s="132"/>
      <c r="U55" s="839"/>
      <c r="V55" s="134"/>
      <c r="W55" s="132"/>
      <c r="X55" s="132"/>
      <c r="Y55" s="132"/>
      <c r="Z55" s="132"/>
      <c r="AA55" s="132"/>
      <c r="AB55" s="132"/>
      <c r="AC55" s="154"/>
      <c r="AD55" s="154">
        <f>+AVERAGE(AD56)</f>
        <v>1</v>
      </c>
      <c r="AE55" s="154">
        <f>+AVERAGE(AE56)</f>
        <v>1</v>
      </c>
      <c r="AF55" s="154"/>
      <c r="AG55" s="154">
        <f>+(AG56)*E55</f>
        <v>0.05</v>
      </c>
      <c r="AH55" s="154">
        <f>+(AH56)*E55</f>
        <v>0.05</v>
      </c>
      <c r="AI55" s="133"/>
      <c r="AJ55" s="133">
        <v>1</v>
      </c>
      <c r="AK55" s="133">
        <f>+AVERAGE(AK56)</f>
        <v>1</v>
      </c>
      <c r="AL55" s="133"/>
      <c r="AM55" s="133">
        <f>+(AM56)</f>
        <v>1</v>
      </c>
      <c r="AN55" s="133">
        <f>+(AN56)</f>
        <v>1</v>
      </c>
      <c r="AO55" s="127"/>
      <c r="AP55" s="127"/>
      <c r="AQ55" s="127"/>
      <c r="AR55" s="127"/>
      <c r="AS55" s="564"/>
      <c r="AT55" s="564"/>
      <c r="AU55" s="127"/>
      <c r="AV55" s="1043"/>
    </row>
    <row r="56" spans="1:49" ht="109.8" customHeight="1" thickBot="1" x14ac:dyDescent="0.4">
      <c r="A56" s="223"/>
      <c r="B56" s="1390" t="s">
        <v>996</v>
      </c>
      <c r="C56" s="1390" t="s">
        <v>1197</v>
      </c>
      <c r="D56" s="235" t="s">
        <v>683</v>
      </c>
      <c r="E56" s="197">
        <v>1</v>
      </c>
      <c r="F56" s="186">
        <v>4</v>
      </c>
      <c r="G56" s="134"/>
      <c r="H56" s="134">
        <v>1</v>
      </c>
      <c r="I56" s="134">
        <v>1.5</v>
      </c>
      <c r="J56" s="139"/>
      <c r="K56" s="139">
        <f t="shared" si="88"/>
        <v>0.25</v>
      </c>
      <c r="L56" s="139">
        <f t="shared" ref="L56" si="99">+I56/F56</f>
        <v>0.375</v>
      </c>
      <c r="M56" s="139"/>
      <c r="N56" s="139">
        <f t="shared" si="89"/>
        <v>0.25</v>
      </c>
      <c r="O56" s="139"/>
      <c r="P56" s="134"/>
      <c r="Q56" s="496">
        <v>0.25</v>
      </c>
      <c r="R56" s="496">
        <v>0.25</v>
      </c>
      <c r="S56" s="499">
        <v>0.5</v>
      </c>
      <c r="T56" s="499">
        <v>0</v>
      </c>
      <c r="U56" s="840">
        <v>0.12</v>
      </c>
      <c r="V56" s="134">
        <f t="shared" si="1"/>
        <v>1.1200000000000001</v>
      </c>
      <c r="W56" s="168">
        <f>+V56+P56+AB56</f>
        <v>2.62</v>
      </c>
      <c r="X56" s="496">
        <v>1</v>
      </c>
      <c r="Y56" s="496">
        <v>0.5</v>
      </c>
      <c r="Z56" s="134"/>
      <c r="AA56" s="134"/>
      <c r="AB56" s="134">
        <f t="shared" ref="AB56" si="100">+X56+Y56+Z56+AA56</f>
        <v>1.5</v>
      </c>
      <c r="AC56" s="139"/>
      <c r="AD56" s="139">
        <v>1</v>
      </c>
      <c r="AE56" s="156">
        <f t="shared" si="98"/>
        <v>1</v>
      </c>
      <c r="AF56" s="139"/>
      <c r="AG56" s="139">
        <f>+AD56*E56</f>
        <v>1</v>
      </c>
      <c r="AH56" s="139">
        <f t="shared" ref="AH56" si="101">+AE56*E56</f>
        <v>1</v>
      </c>
      <c r="AI56" s="139"/>
      <c r="AJ56" s="156">
        <v>1</v>
      </c>
      <c r="AK56" s="156">
        <v>1</v>
      </c>
      <c r="AL56" s="139"/>
      <c r="AM56" s="139">
        <f>+AJ56*E56</f>
        <v>1</v>
      </c>
      <c r="AN56" s="139">
        <f t="shared" ref="AN56" si="102">+AK56*E56</f>
        <v>1</v>
      </c>
      <c r="AO56" s="236" t="s">
        <v>1583</v>
      </c>
      <c r="AP56" s="526" t="s">
        <v>1886</v>
      </c>
      <c r="AQ56" s="526" t="s">
        <v>1991</v>
      </c>
      <c r="AR56" s="546" t="s">
        <v>2055</v>
      </c>
      <c r="AS56" s="688" t="s">
        <v>2107</v>
      </c>
      <c r="AT56" s="688" t="s">
        <v>2141</v>
      </c>
      <c r="AU56" s="506" t="s">
        <v>2211</v>
      </c>
      <c r="AV56" s="526" t="s">
        <v>1887</v>
      </c>
      <c r="AW56" s="506" t="s">
        <v>2211</v>
      </c>
    </row>
    <row r="57" spans="1:49" ht="67.2" customHeight="1" thickBot="1" x14ac:dyDescent="0.4">
      <c r="A57" s="223"/>
      <c r="B57" s="1420" t="s">
        <v>1824</v>
      </c>
      <c r="C57" s="1375"/>
      <c r="D57" s="225"/>
      <c r="E57" s="194">
        <v>0.1</v>
      </c>
      <c r="F57" s="226">
        <f>E57*AF57</f>
        <v>8.6250000000000007E-2</v>
      </c>
      <c r="G57" s="127"/>
      <c r="H57" s="226">
        <f>+E57*AG57</f>
        <v>0.1</v>
      </c>
      <c r="I57" s="226">
        <f>+E57*AH57</f>
        <v>4.7369376873126881E-2</v>
      </c>
      <c r="J57" s="125">
        <f>+(J58+J61+J66+J68+J74)/5</f>
        <v>0.22780333900383748</v>
      </c>
      <c r="K57" s="125">
        <f>+(K58+K61+K66+K68+K74)/5</f>
        <v>0.28056602016325777</v>
      </c>
      <c r="L57" s="125">
        <f>+(L58+L61+L66+L68+L74)/5</f>
        <v>0.26023108128601757</v>
      </c>
      <c r="M57" s="126">
        <f>+(M58+M61+M66+M68+M74)/5</f>
        <v>0.22258316849309651</v>
      </c>
      <c r="N57" s="126">
        <f>+(N58+N61+N66+N68+N74)/5</f>
        <v>0.27229331342063273</v>
      </c>
      <c r="O57" s="126"/>
      <c r="P57" s="127"/>
      <c r="Q57" s="127"/>
      <c r="R57" s="127"/>
      <c r="S57" s="127"/>
      <c r="T57" s="127"/>
      <c r="U57" s="176"/>
      <c r="V57" s="819"/>
      <c r="W57" s="127"/>
      <c r="X57" s="127"/>
      <c r="Y57" s="127"/>
      <c r="Z57" s="127"/>
      <c r="AA57" s="127"/>
      <c r="AB57" s="127"/>
      <c r="AC57" s="125">
        <f>+(AC58+AC61+AC66+AC68+AC74)/5</f>
        <v>0.93333333333333324</v>
      </c>
      <c r="AD57" s="125">
        <f>+(AD58+AD61+AD66+AD68+AD74)/5</f>
        <v>1</v>
      </c>
      <c r="AE57" s="125">
        <f>+(AE58+AE61+AE66+AE68+AE74)/5</f>
        <v>0.46185191475191473</v>
      </c>
      <c r="AF57" s="126">
        <f>AF58+AF61+AF66+AF68+AF74</f>
        <v>0.86250000000000004</v>
      </c>
      <c r="AG57" s="126">
        <f>AG58+AG61+AG66+AG68+AG74</f>
        <v>1</v>
      </c>
      <c r="AH57" s="126">
        <f>AH58+AH61+AH66+AH68+AH74</f>
        <v>0.47369376873126878</v>
      </c>
      <c r="AI57" s="125">
        <f>(AI58+AI61+AI66+AI68+AI74)/5</f>
        <v>0.25439168183196847</v>
      </c>
      <c r="AJ57" s="125">
        <v>0.52344420487663357</v>
      </c>
      <c r="AK57" s="125">
        <f>(AK58+AK61+AK66+AK68+AK74)/5</f>
        <v>0.6430692958684443</v>
      </c>
      <c r="AL57" s="227">
        <f>(AL58+AL61+AL66+AL68+AL74)</f>
        <v>0.28719335759781622</v>
      </c>
      <c r="AM57" s="227">
        <f>(AM58*E58+AM61*E61+AM66*E66+AM68*E68+AM74*E74)</f>
        <v>0.56904333649826588</v>
      </c>
      <c r="AN57" s="227">
        <f>(AN58*E58+AN61*E61+AN66*E66+AN68*E68+AN74*E74)</f>
        <v>0.68484410708516297</v>
      </c>
      <c r="AO57" s="127"/>
      <c r="AP57" s="127"/>
      <c r="AQ57" s="127"/>
      <c r="AR57" s="127"/>
      <c r="AS57" s="564"/>
      <c r="AT57" s="564"/>
      <c r="AU57" s="127"/>
      <c r="AV57" s="490"/>
    </row>
    <row r="58" spans="1:49" ht="67.2" customHeight="1" thickBot="1" x14ac:dyDescent="0.4">
      <c r="A58" s="223"/>
      <c r="B58" s="1419" t="s">
        <v>1762</v>
      </c>
      <c r="C58" s="1375"/>
      <c r="D58" s="225"/>
      <c r="E58" s="192">
        <v>0.2</v>
      </c>
      <c r="F58" s="177"/>
      <c r="G58" s="127"/>
      <c r="H58" s="127"/>
      <c r="I58" s="127"/>
      <c r="J58" s="133">
        <f>+AVERAGE(J59:J60)</f>
        <v>0.24988626023657873</v>
      </c>
      <c r="K58" s="133">
        <f>+AVERAGE(K59:K60)</f>
        <v>0.24988626023657873</v>
      </c>
      <c r="L58" s="133">
        <f>+AVERAGE(L59:L60)</f>
        <v>0.25011373976342133</v>
      </c>
      <c r="M58" s="133">
        <f>+M59+M60</f>
        <v>0.24981801637852596</v>
      </c>
      <c r="N58" s="133">
        <f>+N59+N60</f>
        <v>0.24981801637852596</v>
      </c>
      <c r="O58" s="133"/>
      <c r="P58" s="132"/>
      <c r="Q58" s="132"/>
      <c r="R58" s="132"/>
      <c r="S58" s="132"/>
      <c r="T58" s="132"/>
      <c r="U58" s="839"/>
      <c r="V58" s="134"/>
      <c r="W58" s="132"/>
      <c r="X58" s="132"/>
      <c r="Y58" s="132"/>
      <c r="Z58" s="132"/>
      <c r="AA58" s="132"/>
      <c r="AB58" s="132"/>
      <c r="AC58" s="154">
        <f>+AVERAGE(AC59:AC60)</f>
        <v>1</v>
      </c>
      <c r="AD58" s="154">
        <f>+AVERAGE(AD59:AD60)</f>
        <v>1</v>
      </c>
      <c r="AE58" s="154">
        <f>+AVERAGE(AE59:AE60)</f>
        <v>0.22681818181818181</v>
      </c>
      <c r="AF58" s="154">
        <f>+(AF59+AF60)*E58</f>
        <v>0.2</v>
      </c>
      <c r="AG58" s="154">
        <f>+(AG59+AG60)*E58</f>
        <v>0.2</v>
      </c>
      <c r="AH58" s="154">
        <f>+(AH59+AH60)*E58</f>
        <v>6.6581818181818186E-2</v>
      </c>
      <c r="AI58" s="133">
        <f>+AVERAGE(AI59:AI60)</f>
        <v>0.38341674249317559</v>
      </c>
      <c r="AJ58" s="133">
        <v>0.6424021838034577</v>
      </c>
      <c r="AK58" s="133">
        <f>+AVERAGE(AK59:AK60)</f>
        <v>0.69915263876251132</v>
      </c>
      <c r="AL58" s="133">
        <f>+(AL59+AL60)*E58</f>
        <v>9.2693357597816203E-2</v>
      </c>
      <c r="AM58" s="133">
        <f>+(AM59+AM60)</f>
        <v>0.72784349408553239</v>
      </c>
      <c r="AN58" s="133">
        <f>+(AN59+AN60)</f>
        <v>0.81114422202001824</v>
      </c>
      <c r="AO58" s="127"/>
      <c r="AP58" s="127"/>
      <c r="AQ58" s="127"/>
      <c r="AR58" s="127"/>
      <c r="AS58" s="564"/>
      <c r="AT58" s="564"/>
      <c r="AU58" s="127"/>
      <c r="AV58" s="490"/>
    </row>
    <row r="59" spans="1:49" ht="89.4" customHeight="1" thickBot="1" x14ac:dyDescent="0.4">
      <c r="A59" s="223"/>
      <c r="B59" s="1390" t="s">
        <v>997</v>
      </c>
      <c r="C59" s="1390" t="s">
        <v>1198</v>
      </c>
      <c r="D59" s="225" t="s">
        <v>998</v>
      </c>
      <c r="E59" s="188">
        <v>0.8</v>
      </c>
      <c r="F59" s="186">
        <v>2198</v>
      </c>
      <c r="G59" s="134">
        <v>549</v>
      </c>
      <c r="H59" s="134">
        <v>549</v>
      </c>
      <c r="I59" s="134">
        <v>550</v>
      </c>
      <c r="J59" s="139">
        <f>+G59/F59</f>
        <v>0.24977252047315743</v>
      </c>
      <c r="K59" s="139">
        <f t="shared" ref="K59:K76" si="103">+H59/F59</f>
        <v>0.24977252047315743</v>
      </c>
      <c r="L59" s="139">
        <f t="shared" ref="L59" si="104">+I59/F59</f>
        <v>0.2502274795268426</v>
      </c>
      <c r="M59" s="139">
        <f>+(G59/F59)*E59</f>
        <v>0.19981801637852595</v>
      </c>
      <c r="N59" s="139">
        <f t="shared" ref="N59:N76" si="105">+(H59/F59)*E59</f>
        <v>0.19981801637852595</v>
      </c>
      <c r="O59" s="139"/>
      <c r="P59" s="134">
        <v>1136</v>
      </c>
      <c r="Q59" s="496">
        <v>0</v>
      </c>
      <c r="R59" s="496">
        <v>190</v>
      </c>
      <c r="S59" s="496">
        <v>274</v>
      </c>
      <c r="T59" s="496">
        <v>0</v>
      </c>
      <c r="U59" s="496">
        <v>125</v>
      </c>
      <c r="V59" s="134">
        <f t="shared" si="1"/>
        <v>589</v>
      </c>
      <c r="W59" s="134">
        <f>+V59+P59+AB59</f>
        <v>1947</v>
      </c>
      <c r="X59" s="496">
        <v>26</v>
      </c>
      <c r="Y59" s="496">
        <v>196</v>
      </c>
      <c r="Z59" s="134"/>
      <c r="AA59" s="134"/>
      <c r="AB59" s="134">
        <f t="shared" ref="AB59:AB60" si="106">+X59+Y59+Z59+AA59</f>
        <v>222</v>
      </c>
      <c r="AC59" s="156">
        <v>1</v>
      </c>
      <c r="AD59" s="156">
        <v>1</v>
      </c>
      <c r="AE59" s="156">
        <f t="shared" ref="AE59:AE60" si="107">+AB59/I59</f>
        <v>0.40363636363636363</v>
      </c>
      <c r="AF59" s="156">
        <f>+AC59*E59</f>
        <v>0.8</v>
      </c>
      <c r="AG59" s="156">
        <f t="shared" ref="AG59:AG60" si="108">+AD59*E59</f>
        <v>0.8</v>
      </c>
      <c r="AH59" s="156">
        <f t="shared" ref="AH59:AH60" si="109">+AE59*E59</f>
        <v>0.32290909090909092</v>
      </c>
      <c r="AI59" s="156">
        <f>+P59/F59</f>
        <v>0.51683348498635118</v>
      </c>
      <c r="AJ59" s="156">
        <v>0.78480436760691541</v>
      </c>
      <c r="AK59" s="156">
        <f t="shared" ref="AK59:AK60" si="110">+W59/F59</f>
        <v>0.88580527752502269</v>
      </c>
      <c r="AL59" s="156">
        <f>+AI59*E59</f>
        <v>0.41346678798908099</v>
      </c>
      <c r="AM59" s="156">
        <f>+AJ59*E59</f>
        <v>0.62784349408553242</v>
      </c>
      <c r="AN59" s="156">
        <f t="shared" ref="AN59:AN60" si="111">+AK59*E59</f>
        <v>0.7086442220200182</v>
      </c>
      <c r="AO59" s="206" t="s">
        <v>1846</v>
      </c>
      <c r="AP59" s="526" t="s">
        <v>1886</v>
      </c>
      <c r="AQ59" s="526" t="s">
        <v>1991</v>
      </c>
      <c r="AR59" s="526" t="s">
        <v>2010</v>
      </c>
      <c r="AS59" s="688" t="s">
        <v>2107</v>
      </c>
      <c r="AT59" s="688" t="s">
        <v>2139</v>
      </c>
      <c r="AU59" s="526" t="s">
        <v>2196</v>
      </c>
      <c r="AV59" s="526" t="s">
        <v>1887</v>
      </c>
      <c r="AW59" s="526" t="s">
        <v>2294</v>
      </c>
    </row>
    <row r="60" spans="1:49" ht="118.95" customHeight="1" thickBot="1" x14ac:dyDescent="0.4">
      <c r="A60" s="223"/>
      <c r="B60" s="1390" t="s">
        <v>999</v>
      </c>
      <c r="C60" s="1390" t="s">
        <v>1199</v>
      </c>
      <c r="D60" s="225" t="s">
        <v>998</v>
      </c>
      <c r="E60" s="188">
        <v>0.2</v>
      </c>
      <c r="F60" s="186">
        <v>4</v>
      </c>
      <c r="G60" s="134">
        <v>1</v>
      </c>
      <c r="H60" s="134">
        <v>1</v>
      </c>
      <c r="I60" s="134">
        <v>1</v>
      </c>
      <c r="J60" s="139">
        <f>+G60/F60</f>
        <v>0.25</v>
      </c>
      <c r="K60" s="139">
        <f t="shared" si="103"/>
        <v>0.25</v>
      </c>
      <c r="L60" s="139">
        <f>+I60/F60</f>
        <v>0.25</v>
      </c>
      <c r="M60" s="139">
        <f>+(G60/F60)*E60</f>
        <v>0.05</v>
      </c>
      <c r="N60" s="139">
        <f t="shared" si="105"/>
        <v>0.05</v>
      </c>
      <c r="O60" s="139"/>
      <c r="P60" s="134">
        <v>1</v>
      </c>
      <c r="Q60" s="496">
        <v>0.1</v>
      </c>
      <c r="R60" s="496">
        <v>0.05</v>
      </c>
      <c r="S60" s="496">
        <v>0</v>
      </c>
      <c r="T60" s="496">
        <v>0</v>
      </c>
      <c r="U60" s="496">
        <v>0.85</v>
      </c>
      <c r="V60" s="134">
        <f t="shared" si="1"/>
        <v>1</v>
      </c>
      <c r="W60" s="134">
        <f>+V60+P60+AB60</f>
        <v>2.0499999999999998</v>
      </c>
      <c r="X60" s="496">
        <v>0.05</v>
      </c>
      <c r="Y60" s="496">
        <v>0</v>
      </c>
      <c r="Z60" s="134"/>
      <c r="AA60" s="134"/>
      <c r="AB60" s="134">
        <f t="shared" si="106"/>
        <v>0.05</v>
      </c>
      <c r="AC60" s="156">
        <f>+(P60/G60)</f>
        <v>1</v>
      </c>
      <c r="AD60" s="156">
        <f t="shared" ref="AD60" si="112">+V60/H60</f>
        <v>1</v>
      </c>
      <c r="AE60" s="156">
        <f t="shared" si="107"/>
        <v>0.05</v>
      </c>
      <c r="AF60" s="156">
        <f>+AC60*E60</f>
        <v>0.2</v>
      </c>
      <c r="AG60" s="156">
        <f t="shared" si="108"/>
        <v>0.2</v>
      </c>
      <c r="AH60" s="156">
        <f t="shared" si="109"/>
        <v>1.0000000000000002E-2</v>
      </c>
      <c r="AI60" s="156">
        <f>+P60/F60</f>
        <v>0.25</v>
      </c>
      <c r="AJ60" s="156">
        <v>0.5</v>
      </c>
      <c r="AK60" s="156">
        <f t="shared" si="110"/>
        <v>0.51249999999999996</v>
      </c>
      <c r="AL60" s="156">
        <f>+AI60*E60</f>
        <v>0.05</v>
      </c>
      <c r="AM60" s="156">
        <f>+AJ60*E60</f>
        <v>0.1</v>
      </c>
      <c r="AN60" s="156">
        <f t="shared" si="111"/>
        <v>0.10249999999999999</v>
      </c>
      <c r="AO60" s="206" t="s">
        <v>1846</v>
      </c>
      <c r="AP60" s="526" t="s">
        <v>1886</v>
      </c>
      <c r="AQ60" s="526" t="s">
        <v>1991</v>
      </c>
      <c r="AR60" s="526" t="s">
        <v>2010</v>
      </c>
      <c r="AS60" s="688" t="s">
        <v>2107</v>
      </c>
      <c r="AT60" s="688" t="s">
        <v>2139</v>
      </c>
      <c r="AU60" s="526" t="s">
        <v>2196</v>
      </c>
      <c r="AV60" s="526" t="s">
        <v>1887</v>
      </c>
      <c r="AW60" s="526" t="s">
        <v>2294</v>
      </c>
    </row>
    <row r="61" spans="1:49" ht="67.2" customHeight="1" thickBot="1" x14ac:dyDescent="0.4">
      <c r="A61" s="223"/>
      <c r="B61" s="1419" t="s">
        <v>1825</v>
      </c>
      <c r="C61" s="1375"/>
      <c r="D61" s="225"/>
      <c r="E61" s="192">
        <v>0.3</v>
      </c>
      <c r="F61" s="177"/>
      <c r="G61" s="127"/>
      <c r="H61" s="127"/>
      <c r="I61" s="127"/>
      <c r="J61" s="133">
        <f>+AVERAGE(J62:J65)</f>
        <v>0.15</v>
      </c>
      <c r="K61" s="133">
        <f>+AVERAGE(K62:K65)</f>
        <v>0.29062500000000002</v>
      </c>
      <c r="L61" s="133">
        <f>+AVERAGE(L62:L65)</f>
        <v>0.28437499999999999</v>
      </c>
      <c r="M61" s="133">
        <f>+M62+M63+M64+M65</f>
        <v>0.19624999999999998</v>
      </c>
      <c r="N61" s="133">
        <f>+N62+N63+N64+N65</f>
        <v>0.27124999999999999</v>
      </c>
      <c r="O61" s="133"/>
      <c r="P61" s="132"/>
      <c r="Q61" s="132"/>
      <c r="R61" s="132"/>
      <c r="S61" s="132"/>
      <c r="T61" s="132"/>
      <c r="U61" s="839"/>
      <c r="V61" s="134"/>
      <c r="W61" s="132"/>
      <c r="X61" s="132"/>
      <c r="Y61" s="132"/>
      <c r="Z61" s="132"/>
      <c r="AA61" s="132"/>
      <c r="AB61" s="132"/>
      <c r="AC61" s="154">
        <f>+AVERAGE(AC62:AC65)</f>
        <v>1</v>
      </c>
      <c r="AD61" s="154">
        <f>+AVERAGE(AD62:AD65)</f>
        <v>1</v>
      </c>
      <c r="AE61" s="154">
        <f>+AVERAGE(AE62:AE65)</f>
        <v>0.52944139194139195</v>
      </c>
      <c r="AF61" s="154">
        <f>+(AF62+AF63+AF64+AF65)*E61</f>
        <v>0.3</v>
      </c>
      <c r="AG61" s="154">
        <f>+(AG62+AG63+AG64+AG65)*E61</f>
        <v>0.3</v>
      </c>
      <c r="AH61" s="154">
        <f>+(AH62+AH63+AH64+AH65)*E61</f>
        <v>0.13954945054945056</v>
      </c>
      <c r="AI61" s="133">
        <f>+AVERAGE(AI62:AI65)</f>
        <v>0.22187499999999999</v>
      </c>
      <c r="AJ61" s="133">
        <v>0.51249999999999996</v>
      </c>
      <c r="AK61" s="133">
        <f>+AVERAGE(AK62:AK65)</f>
        <v>0.66562500000000002</v>
      </c>
      <c r="AL61" s="133">
        <f>+(AL62+AL63+AL64+AL65)*E61</f>
        <v>0.103875</v>
      </c>
      <c r="AM61" s="133">
        <f>+(AM62+AM63+AM64+AM65)</f>
        <v>0.61749999999999994</v>
      </c>
      <c r="AN61" s="133">
        <f>+(AN62+AN63+AN64+AN65)</f>
        <v>0.72499999999999998</v>
      </c>
      <c r="AO61" s="127"/>
      <c r="AP61" s="127"/>
      <c r="AQ61" s="127"/>
      <c r="AR61" s="127"/>
      <c r="AS61" s="564"/>
      <c r="AT61" s="564"/>
      <c r="AU61" s="127"/>
      <c r="AV61" s="490"/>
    </row>
    <row r="62" spans="1:49" ht="67.2" customHeight="1" thickBot="1" x14ac:dyDescent="0.4">
      <c r="A62" s="223"/>
      <c r="B62" s="1390" t="s">
        <v>1000</v>
      </c>
      <c r="C62" s="1390" t="s">
        <v>1200</v>
      </c>
      <c r="D62" s="225" t="s">
        <v>998</v>
      </c>
      <c r="E62" s="188">
        <v>0.6</v>
      </c>
      <c r="F62" s="186">
        <v>80</v>
      </c>
      <c r="G62" s="134">
        <v>20</v>
      </c>
      <c r="H62" s="134">
        <v>20</v>
      </c>
      <c r="I62" s="134">
        <v>12</v>
      </c>
      <c r="J62" s="139">
        <f>+G62/F62</f>
        <v>0.25</v>
      </c>
      <c r="K62" s="139">
        <f t="shared" si="103"/>
        <v>0.25</v>
      </c>
      <c r="L62" s="139">
        <f t="shared" ref="L62:L64" si="113">+I62/F62</f>
        <v>0.15</v>
      </c>
      <c r="M62" s="139">
        <f>+(G62/F62)*E62</f>
        <v>0.15</v>
      </c>
      <c r="N62" s="139">
        <f t="shared" si="105"/>
        <v>0.15</v>
      </c>
      <c r="O62" s="139"/>
      <c r="P62" s="134">
        <v>39</v>
      </c>
      <c r="Q62" s="496">
        <v>1</v>
      </c>
      <c r="R62" s="496">
        <v>6</v>
      </c>
      <c r="S62" s="496">
        <v>8</v>
      </c>
      <c r="T62" s="496">
        <v>0</v>
      </c>
      <c r="U62" s="496">
        <v>5</v>
      </c>
      <c r="V62" s="134">
        <f t="shared" si="1"/>
        <v>20</v>
      </c>
      <c r="W62" s="134">
        <f>+V62+P62+AB62</f>
        <v>64</v>
      </c>
      <c r="X62" s="496">
        <v>2</v>
      </c>
      <c r="Y62" s="496">
        <v>3</v>
      </c>
      <c r="Z62" s="134"/>
      <c r="AA62" s="134"/>
      <c r="AB62" s="134">
        <f>+X62+Y62+Z62+AA62</f>
        <v>5</v>
      </c>
      <c r="AC62" s="156">
        <v>1</v>
      </c>
      <c r="AD62" s="156">
        <f t="shared" ref="AD62:AD65" si="114">+V62/H62</f>
        <v>1</v>
      </c>
      <c r="AE62" s="156">
        <f t="shared" ref="AE62:AE65" si="115">+AB62/I62</f>
        <v>0.41666666666666669</v>
      </c>
      <c r="AF62" s="156">
        <f>+AC62*E62</f>
        <v>0.6</v>
      </c>
      <c r="AG62" s="156">
        <f t="shared" ref="AG62:AG76" si="116">+AD62*E62</f>
        <v>0.6</v>
      </c>
      <c r="AH62" s="156">
        <f t="shared" ref="AH62:AH65" si="117">+AE62*E62</f>
        <v>0.25</v>
      </c>
      <c r="AI62" s="156">
        <f>+P62/F62</f>
        <v>0.48749999999999999</v>
      </c>
      <c r="AJ62" s="156">
        <v>0.73750000000000004</v>
      </c>
      <c r="AK62" s="156">
        <f t="shared" ref="AK62:AK65" si="118">+W62/F62</f>
        <v>0.8</v>
      </c>
      <c r="AL62" s="156">
        <f>+AI62*E62</f>
        <v>0.29249999999999998</v>
      </c>
      <c r="AM62" s="156">
        <f>+AJ62*E62</f>
        <v>0.4425</v>
      </c>
      <c r="AN62" s="156">
        <f t="shared" ref="AN62:AN65" si="119">+AK62*E62</f>
        <v>0.48</v>
      </c>
      <c r="AO62" s="206" t="s">
        <v>1846</v>
      </c>
      <c r="AP62" s="526" t="s">
        <v>1886</v>
      </c>
      <c r="AQ62" s="526" t="s">
        <v>1991</v>
      </c>
      <c r="AR62" s="526" t="s">
        <v>2010</v>
      </c>
      <c r="AS62" s="688" t="s">
        <v>2107</v>
      </c>
      <c r="AT62" s="688" t="s">
        <v>2139</v>
      </c>
      <c r="AU62" s="526" t="s">
        <v>2196</v>
      </c>
      <c r="AV62" s="526" t="s">
        <v>1887</v>
      </c>
      <c r="AW62" s="526" t="s">
        <v>2294</v>
      </c>
    </row>
    <row r="63" spans="1:49" ht="67.2" customHeight="1" thickBot="1" x14ac:dyDescent="0.4">
      <c r="A63" s="223"/>
      <c r="B63" s="1390" t="s">
        <v>1001</v>
      </c>
      <c r="C63" s="1390" t="s">
        <v>1201</v>
      </c>
      <c r="D63" s="225" t="s">
        <v>998</v>
      </c>
      <c r="E63" s="188">
        <v>0.15</v>
      </c>
      <c r="F63" s="186">
        <v>20</v>
      </c>
      <c r="G63" s="134">
        <v>2</v>
      </c>
      <c r="H63" s="134">
        <v>6</v>
      </c>
      <c r="I63" s="134">
        <v>7</v>
      </c>
      <c r="J63" s="139">
        <f>+G63/F63</f>
        <v>0.1</v>
      </c>
      <c r="K63" s="139">
        <f t="shared" si="103"/>
        <v>0.3</v>
      </c>
      <c r="L63" s="139">
        <f t="shared" si="113"/>
        <v>0.35</v>
      </c>
      <c r="M63" s="139">
        <f>+(G63/F63)*E63</f>
        <v>1.4999999999999999E-2</v>
      </c>
      <c r="N63" s="139">
        <f t="shared" si="105"/>
        <v>4.4999999999999998E-2</v>
      </c>
      <c r="O63" s="139"/>
      <c r="P63" s="134">
        <v>3</v>
      </c>
      <c r="Q63" s="496">
        <v>0.6</v>
      </c>
      <c r="R63" s="496">
        <v>0.36</v>
      </c>
      <c r="S63" s="496">
        <v>0.04</v>
      </c>
      <c r="T63" s="496">
        <v>0</v>
      </c>
      <c r="U63" s="496">
        <v>5</v>
      </c>
      <c r="V63" s="134">
        <f>+Q63+R63+S63+T63+U63</f>
        <v>6</v>
      </c>
      <c r="W63" s="134">
        <f t="shared" ref="W63:W67" si="120">+V63+P63+AB63</f>
        <v>11</v>
      </c>
      <c r="X63" s="496">
        <v>0.42</v>
      </c>
      <c r="Y63" s="496">
        <v>1.58</v>
      </c>
      <c r="Z63" s="134"/>
      <c r="AA63" s="134"/>
      <c r="AB63" s="134">
        <f t="shared" ref="AB63:AB65" si="121">+X63+Y63+Z63+AA63</f>
        <v>2</v>
      </c>
      <c r="AC63" s="156">
        <v>1</v>
      </c>
      <c r="AD63" s="156">
        <v>1</v>
      </c>
      <c r="AE63" s="156">
        <f t="shared" si="115"/>
        <v>0.2857142857142857</v>
      </c>
      <c r="AF63" s="156">
        <f>+AC63*E63</f>
        <v>0.15</v>
      </c>
      <c r="AG63" s="156">
        <f t="shared" si="116"/>
        <v>0.15</v>
      </c>
      <c r="AH63" s="156">
        <f t="shared" si="117"/>
        <v>4.2857142857142851E-2</v>
      </c>
      <c r="AI63" s="156">
        <f>+P63/F63</f>
        <v>0.15</v>
      </c>
      <c r="AJ63" s="156">
        <v>0.45</v>
      </c>
      <c r="AK63" s="156">
        <f t="shared" si="118"/>
        <v>0.55000000000000004</v>
      </c>
      <c r="AL63" s="156">
        <f>+AI63*E63</f>
        <v>2.2499999999999999E-2</v>
      </c>
      <c r="AM63" s="156">
        <f>+AJ63*E63</f>
        <v>6.7500000000000004E-2</v>
      </c>
      <c r="AN63" s="156">
        <f t="shared" si="119"/>
        <v>8.2500000000000004E-2</v>
      </c>
      <c r="AO63" s="206" t="s">
        <v>1846</v>
      </c>
      <c r="AP63" s="526" t="s">
        <v>1886</v>
      </c>
      <c r="AQ63" s="526" t="s">
        <v>1991</v>
      </c>
      <c r="AR63" s="526" t="s">
        <v>2010</v>
      </c>
      <c r="AS63" s="688" t="s">
        <v>2107</v>
      </c>
      <c r="AT63" s="688" t="s">
        <v>2139</v>
      </c>
      <c r="AU63" s="526" t="s">
        <v>2196</v>
      </c>
      <c r="AV63" s="526" t="s">
        <v>1887</v>
      </c>
      <c r="AW63" s="526" t="s">
        <v>2294</v>
      </c>
    </row>
    <row r="64" spans="1:49" ht="125.4" customHeight="1" thickBot="1" x14ac:dyDescent="0.4">
      <c r="A64" s="223"/>
      <c r="B64" s="1390" t="s">
        <v>1002</v>
      </c>
      <c r="C64" s="1390" t="s">
        <v>1202</v>
      </c>
      <c r="D64" s="225" t="s">
        <v>998</v>
      </c>
      <c r="E64" s="188">
        <v>0.1</v>
      </c>
      <c r="F64" s="186">
        <v>16</v>
      </c>
      <c r="G64" s="134">
        <v>2</v>
      </c>
      <c r="H64" s="134">
        <v>5</v>
      </c>
      <c r="I64" s="134">
        <v>5</v>
      </c>
      <c r="J64" s="139">
        <f>+G64/F64</f>
        <v>0.125</v>
      </c>
      <c r="K64" s="139">
        <f t="shared" si="103"/>
        <v>0.3125</v>
      </c>
      <c r="L64" s="139">
        <f t="shared" si="113"/>
        <v>0.3125</v>
      </c>
      <c r="M64" s="139">
        <f>+(G64/F64)*E64</f>
        <v>1.2500000000000001E-2</v>
      </c>
      <c r="N64" s="139">
        <f t="shared" si="105"/>
        <v>3.125E-2</v>
      </c>
      <c r="O64" s="139"/>
      <c r="P64" s="134">
        <v>2</v>
      </c>
      <c r="Q64" s="496">
        <v>1</v>
      </c>
      <c r="R64" s="496">
        <v>4</v>
      </c>
      <c r="S64" s="496">
        <v>0</v>
      </c>
      <c r="T64" s="496">
        <v>0</v>
      </c>
      <c r="U64" s="496">
        <v>0</v>
      </c>
      <c r="V64" s="134">
        <f t="shared" si="1"/>
        <v>5</v>
      </c>
      <c r="W64" s="134">
        <f t="shared" si="120"/>
        <v>11</v>
      </c>
      <c r="X64" s="496">
        <v>0.3</v>
      </c>
      <c r="Y64" s="496">
        <v>3.7</v>
      </c>
      <c r="Z64" s="134"/>
      <c r="AA64" s="134"/>
      <c r="AB64" s="134">
        <f t="shared" si="121"/>
        <v>4</v>
      </c>
      <c r="AC64" s="156">
        <f>+(P64/G64)</f>
        <v>1</v>
      </c>
      <c r="AD64" s="156">
        <f t="shared" si="114"/>
        <v>1</v>
      </c>
      <c r="AE64" s="156">
        <f t="shared" si="115"/>
        <v>0.8</v>
      </c>
      <c r="AF64" s="156">
        <f>+AC64*E64</f>
        <v>0.1</v>
      </c>
      <c r="AG64" s="156">
        <f>+AD64*E64</f>
        <v>0.1</v>
      </c>
      <c r="AH64" s="156">
        <f t="shared" si="117"/>
        <v>8.0000000000000016E-2</v>
      </c>
      <c r="AI64" s="156">
        <f>+P64/F64</f>
        <v>0.125</v>
      </c>
      <c r="AJ64" s="156">
        <v>0.4375</v>
      </c>
      <c r="AK64" s="156">
        <f t="shared" si="118"/>
        <v>0.6875</v>
      </c>
      <c r="AL64" s="156">
        <f>+AI64*E64</f>
        <v>1.2500000000000001E-2</v>
      </c>
      <c r="AM64" s="156">
        <f>+AJ64*E64</f>
        <v>4.3750000000000004E-2</v>
      </c>
      <c r="AN64" s="156">
        <f t="shared" si="119"/>
        <v>6.8750000000000006E-2</v>
      </c>
      <c r="AO64" s="206" t="s">
        <v>1846</v>
      </c>
      <c r="AP64" s="526" t="s">
        <v>1886</v>
      </c>
      <c r="AQ64" s="526" t="s">
        <v>1991</v>
      </c>
      <c r="AR64" s="526" t="s">
        <v>2010</v>
      </c>
      <c r="AS64" s="688" t="s">
        <v>2107</v>
      </c>
      <c r="AT64" s="688" t="s">
        <v>2139</v>
      </c>
      <c r="AU64" s="526" t="s">
        <v>2196</v>
      </c>
      <c r="AV64" s="526" t="s">
        <v>1887</v>
      </c>
      <c r="AW64" s="526" t="s">
        <v>2294</v>
      </c>
    </row>
    <row r="65" spans="1:49" ht="67.2" customHeight="1" thickBot="1" x14ac:dyDescent="0.4">
      <c r="A65" s="223"/>
      <c r="B65" s="1390" t="s">
        <v>1003</v>
      </c>
      <c r="C65" s="1390" t="s">
        <v>1203</v>
      </c>
      <c r="D65" s="225" t="s">
        <v>998</v>
      </c>
      <c r="E65" s="188">
        <v>0.15</v>
      </c>
      <c r="F65" s="186">
        <v>40</v>
      </c>
      <c r="G65" s="134">
        <v>5</v>
      </c>
      <c r="H65" s="134">
        <v>12</v>
      </c>
      <c r="I65" s="134">
        <v>13</v>
      </c>
      <c r="J65" s="139">
        <f>+G65/F65</f>
        <v>0.125</v>
      </c>
      <c r="K65" s="139">
        <f t="shared" si="103"/>
        <v>0.3</v>
      </c>
      <c r="L65" s="139">
        <f>+I65/F65</f>
        <v>0.32500000000000001</v>
      </c>
      <c r="M65" s="139">
        <f>+(G65/F65)*E65</f>
        <v>1.8749999999999999E-2</v>
      </c>
      <c r="N65" s="139">
        <f t="shared" si="105"/>
        <v>4.4999999999999998E-2</v>
      </c>
      <c r="O65" s="139"/>
      <c r="P65" s="134">
        <v>5</v>
      </c>
      <c r="Q65" s="496">
        <v>1.2</v>
      </c>
      <c r="R65" s="496">
        <v>2.8</v>
      </c>
      <c r="S65" s="496">
        <v>1</v>
      </c>
      <c r="T65" s="496">
        <v>2</v>
      </c>
      <c r="U65" s="496">
        <v>5</v>
      </c>
      <c r="V65" s="134">
        <f t="shared" si="1"/>
        <v>12</v>
      </c>
      <c r="W65" s="134">
        <f t="shared" si="120"/>
        <v>25</v>
      </c>
      <c r="X65" s="496">
        <v>1</v>
      </c>
      <c r="Y65" s="496">
        <v>7</v>
      </c>
      <c r="Z65" s="134"/>
      <c r="AA65" s="134"/>
      <c r="AB65" s="134">
        <f t="shared" si="121"/>
        <v>8</v>
      </c>
      <c r="AC65" s="156">
        <f>+(P65/G65)</f>
        <v>1</v>
      </c>
      <c r="AD65" s="156">
        <f t="shared" si="114"/>
        <v>1</v>
      </c>
      <c r="AE65" s="156">
        <f t="shared" si="115"/>
        <v>0.61538461538461542</v>
      </c>
      <c r="AF65" s="156">
        <f>+AC65*E65</f>
        <v>0.15</v>
      </c>
      <c r="AG65" s="156">
        <f t="shared" si="116"/>
        <v>0.15</v>
      </c>
      <c r="AH65" s="156">
        <f t="shared" si="117"/>
        <v>9.2307692307692313E-2</v>
      </c>
      <c r="AI65" s="156">
        <f>+P65/F65</f>
        <v>0.125</v>
      </c>
      <c r="AJ65" s="156">
        <v>0.42499999999999999</v>
      </c>
      <c r="AK65" s="156">
        <f t="shared" si="118"/>
        <v>0.625</v>
      </c>
      <c r="AL65" s="156">
        <f>+AI65*E65</f>
        <v>1.8749999999999999E-2</v>
      </c>
      <c r="AM65" s="156">
        <f>+AJ65*E65</f>
        <v>6.3750000000000001E-2</v>
      </c>
      <c r="AN65" s="156">
        <f t="shared" si="119"/>
        <v>9.375E-2</v>
      </c>
      <c r="AO65" s="206" t="s">
        <v>1846</v>
      </c>
      <c r="AP65" s="526" t="s">
        <v>1886</v>
      </c>
      <c r="AQ65" s="526" t="s">
        <v>1991</v>
      </c>
      <c r="AR65" s="526" t="s">
        <v>2010</v>
      </c>
      <c r="AS65" s="688" t="s">
        <v>2107</v>
      </c>
      <c r="AT65" s="688" t="s">
        <v>2139</v>
      </c>
      <c r="AU65" s="526" t="s">
        <v>2196</v>
      </c>
      <c r="AV65" s="526" t="s">
        <v>1887</v>
      </c>
      <c r="AW65" s="526" t="s">
        <v>2294</v>
      </c>
    </row>
    <row r="66" spans="1:49" ht="67.2" customHeight="1" thickBot="1" x14ac:dyDescent="0.4">
      <c r="A66" s="223"/>
      <c r="B66" s="1419" t="s">
        <v>1826</v>
      </c>
      <c r="C66" s="1375"/>
      <c r="D66" s="225"/>
      <c r="E66" s="192">
        <v>0.15</v>
      </c>
      <c r="F66" s="177"/>
      <c r="G66" s="127"/>
      <c r="H66" s="127"/>
      <c r="I66" s="127"/>
      <c r="J66" s="133">
        <f>+AVERAGE(J67)</f>
        <v>0.25</v>
      </c>
      <c r="K66" s="133">
        <f>+AVERAGE(K67)</f>
        <v>0.25</v>
      </c>
      <c r="L66" s="133">
        <f>+AVERAGE(L67)</f>
        <v>0.25</v>
      </c>
      <c r="M66" s="133">
        <f>+M67</f>
        <v>0.25</v>
      </c>
      <c r="N66" s="133">
        <f>+N67</f>
        <v>0.25</v>
      </c>
      <c r="O66" s="133"/>
      <c r="P66" s="132"/>
      <c r="Q66" s="132"/>
      <c r="R66" s="132"/>
      <c r="S66" s="132"/>
      <c r="T66" s="132"/>
      <c r="U66" s="839"/>
      <c r="V66" s="134"/>
      <c r="W66" s="134"/>
      <c r="X66" s="132"/>
      <c r="Y66" s="132"/>
      <c r="Z66" s="132"/>
      <c r="AA66" s="132"/>
      <c r="AB66" s="132"/>
      <c r="AC66" s="154">
        <f>+AVERAGE(AC67)</f>
        <v>1</v>
      </c>
      <c r="AD66" s="154">
        <f>+AVERAGE(AD67)</f>
        <v>1</v>
      </c>
      <c r="AE66" s="154">
        <f>+AVERAGE(AE67)</f>
        <v>0.87999999999999989</v>
      </c>
      <c r="AF66" s="154">
        <f>+(AF67)*E66</f>
        <v>0.15</v>
      </c>
      <c r="AG66" s="154">
        <f>+(AG67)*E66</f>
        <v>0.15</v>
      </c>
      <c r="AH66" s="154">
        <f>+(AH67)*E66</f>
        <v>0.13199999999999998</v>
      </c>
      <c r="AI66" s="133">
        <f>+AVERAGE(AI67)</f>
        <v>0.25</v>
      </c>
      <c r="AJ66" s="133">
        <v>0.5</v>
      </c>
      <c r="AK66" s="133">
        <f>+AVERAGE(AK67)</f>
        <v>0.72</v>
      </c>
      <c r="AL66" s="133">
        <f>+(AL67)*E66</f>
        <v>3.7499999999999999E-2</v>
      </c>
      <c r="AM66" s="133">
        <f>+(AM67)</f>
        <v>0.5</v>
      </c>
      <c r="AN66" s="133">
        <f>+(AN67)</f>
        <v>0.72</v>
      </c>
      <c r="AO66" s="127"/>
      <c r="AP66" s="127"/>
      <c r="AQ66" s="127"/>
      <c r="AR66" s="127"/>
      <c r="AS66" s="564"/>
      <c r="AT66" s="564"/>
      <c r="AU66" s="127"/>
      <c r="AV66" s="490"/>
    </row>
    <row r="67" spans="1:49" ht="114.6" customHeight="1" thickBot="1" x14ac:dyDescent="0.4">
      <c r="A67" s="223"/>
      <c r="B67" s="1390" t="s">
        <v>1004</v>
      </c>
      <c r="C67" s="1390" t="s">
        <v>1204</v>
      </c>
      <c r="D67" s="225" t="s">
        <v>998</v>
      </c>
      <c r="E67" s="188">
        <v>1</v>
      </c>
      <c r="F67" s="186">
        <v>4</v>
      </c>
      <c r="G67" s="134">
        <v>1</v>
      </c>
      <c r="H67" s="134">
        <v>1</v>
      </c>
      <c r="I67" s="134">
        <v>1</v>
      </c>
      <c r="J67" s="139">
        <f>+G67/F67</f>
        <v>0.25</v>
      </c>
      <c r="K67" s="139">
        <f t="shared" si="103"/>
        <v>0.25</v>
      </c>
      <c r="L67" s="139">
        <f t="shared" ref="L67" si="122">+I67/F67</f>
        <v>0.25</v>
      </c>
      <c r="M67" s="139">
        <f>+(G67/F67)*E67</f>
        <v>0.25</v>
      </c>
      <c r="N67" s="139">
        <f t="shared" si="105"/>
        <v>0.25</v>
      </c>
      <c r="O67" s="139"/>
      <c r="P67" s="134">
        <v>1</v>
      </c>
      <c r="Q67" s="496">
        <v>0.1</v>
      </c>
      <c r="R67" s="496">
        <v>0.25</v>
      </c>
      <c r="S67" s="496">
        <v>0.35</v>
      </c>
      <c r="T67" s="496">
        <v>0</v>
      </c>
      <c r="U67" s="496">
        <v>0.3</v>
      </c>
      <c r="V67" s="134">
        <f t="shared" si="1"/>
        <v>1</v>
      </c>
      <c r="W67" s="134">
        <f t="shared" si="120"/>
        <v>2.88</v>
      </c>
      <c r="X67" s="496">
        <v>0.19</v>
      </c>
      <c r="Y67" s="496">
        <v>0.69</v>
      </c>
      <c r="Z67" s="134"/>
      <c r="AA67" s="134"/>
      <c r="AB67" s="134">
        <f>+X67+Y67+Z67+AA67</f>
        <v>0.87999999999999989</v>
      </c>
      <c r="AC67" s="156">
        <f>+(P67/G67)</f>
        <v>1</v>
      </c>
      <c r="AD67" s="156">
        <f t="shared" ref="AD67" si="123">+V67/H67</f>
        <v>1</v>
      </c>
      <c r="AE67" s="156">
        <f t="shared" ref="AE67" si="124">+AB67/I67</f>
        <v>0.87999999999999989</v>
      </c>
      <c r="AF67" s="156">
        <f>+AC67*E67</f>
        <v>1</v>
      </c>
      <c r="AG67" s="156">
        <f t="shared" si="116"/>
        <v>1</v>
      </c>
      <c r="AH67" s="156">
        <f t="shared" ref="AH67" si="125">+AE67*E67</f>
        <v>0.87999999999999989</v>
      </c>
      <c r="AI67" s="156">
        <f>+P67/F67</f>
        <v>0.25</v>
      </c>
      <c r="AJ67" s="156">
        <v>0.5</v>
      </c>
      <c r="AK67" s="156">
        <f>+W67/F67</f>
        <v>0.72</v>
      </c>
      <c r="AL67" s="156">
        <f>+AI67*E67</f>
        <v>0.25</v>
      </c>
      <c r="AM67" s="156">
        <f>+AJ67*E67</f>
        <v>0.5</v>
      </c>
      <c r="AN67" s="156">
        <f t="shared" ref="AN67" si="126">+AK67*E67</f>
        <v>0.72</v>
      </c>
      <c r="AO67" s="206" t="s">
        <v>1846</v>
      </c>
      <c r="AP67" s="526" t="s">
        <v>1886</v>
      </c>
      <c r="AQ67" s="526" t="s">
        <v>1991</v>
      </c>
      <c r="AR67" s="526" t="s">
        <v>2010</v>
      </c>
      <c r="AS67" s="688" t="s">
        <v>2107</v>
      </c>
      <c r="AT67" s="688" t="s">
        <v>2139</v>
      </c>
      <c r="AU67" s="526" t="s">
        <v>2196</v>
      </c>
      <c r="AV67" s="526" t="s">
        <v>1887</v>
      </c>
    </row>
    <row r="68" spans="1:49" ht="67.2" customHeight="1" thickBot="1" x14ac:dyDescent="0.4">
      <c r="A68" s="223"/>
      <c r="B68" s="1419" t="s">
        <v>1827</v>
      </c>
      <c r="C68" s="1375"/>
      <c r="D68" s="225"/>
      <c r="E68" s="192">
        <v>0.25</v>
      </c>
      <c r="F68" s="177"/>
      <c r="G68" s="127"/>
      <c r="H68" s="127"/>
      <c r="I68" s="127"/>
      <c r="J68" s="133">
        <f>+AVERAGE(J69:J73)</f>
        <v>0.23913043478260868</v>
      </c>
      <c r="K68" s="133">
        <f>+AVERAGE(K69:K73)</f>
        <v>0.36231884057971014</v>
      </c>
      <c r="L68" s="133">
        <f>+AVERAGE(L69:L73)</f>
        <v>0.26666666666666666</v>
      </c>
      <c r="M68" s="133">
        <f>+M69+M70+M71+M72+M73</f>
        <v>0.16684782608695653</v>
      </c>
      <c r="N68" s="133">
        <f>+N69+N70+N71+N72+N73</f>
        <v>0.34039855072463771</v>
      </c>
      <c r="O68" s="133"/>
      <c r="P68" s="132"/>
      <c r="Q68" s="132"/>
      <c r="R68" s="132"/>
      <c r="S68" s="132"/>
      <c r="T68" s="132"/>
      <c r="U68" s="839"/>
      <c r="V68" s="134"/>
      <c r="W68" s="134"/>
      <c r="X68" s="132"/>
      <c r="Y68" s="132"/>
      <c r="Z68" s="132"/>
      <c r="AA68" s="132"/>
      <c r="AB68" s="132"/>
      <c r="AC68" s="154">
        <f>+AVERAGE(AC69:AC73)</f>
        <v>0.66666666666666663</v>
      </c>
      <c r="AD68" s="154">
        <f>+AVERAGE(AD69:AD73)</f>
        <v>1</v>
      </c>
      <c r="AE68" s="154">
        <f>+AVERAGE(AE69:AE73)</f>
        <v>0.52299999999999991</v>
      </c>
      <c r="AF68" s="154">
        <f>+(AF69+AF70+AF71+AF72+AF73)*E68</f>
        <v>0.1125</v>
      </c>
      <c r="AG68" s="154">
        <f>+(AG69+AG70+AG71+AG72+AG73)*E68</f>
        <v>0.25</v>
      </c>
      <c r="AH68" s="154">
        <f>+(AH69+AH70+AH71+AH72+AH73)*E68</f>
        <v>0.12056249999999999</v>
      </c>
      <c r="AI68" s="133">
        <f>+AVERAGE(AI69:AI73)</f>
        <v>0.16666666666666666</v>
      </c>
      <c r="AJ68" s="133">
        <v>0.46231884057971018</v>
      </c>
      <c r="AK68" s="133">
        <f>+AVERAGE(AK69:AK73)</f>
        <v>0.59306884057971021</v>
      </c>
      <c r="AL68" s="237">
        <f>+(AL69+AL70+AL71+AL72+AL73)*E68</f>
        <v>2.8125000000000001E-2</v>
      </c>
      <c r="AM68" s="237">
        <f>+(AM69+AM70+AM71+AM72+AM73)</f>
        <v>0.45289855072463769</v>
      </c>
      <c r="AN68" s="237">
        <f>+(AN69+AN70+AN71+AN72+AN73)</f>
        <v>0.5734610507246376</v>
      </c>
      <c r="AO68" s="127"/>
      <c r="AP68" s="662" t="s">
        <v>1985</v>
      </c>
      <c r="AQ68" s="127"/>
      <c r="AR68" s="127"/>
      <c r="AS68" s="564"/>
      <c r="AT68" s="564"/>
      <c r="AU68" s="127"/>
      <c r="AV68" s="490"/>
    </row>
    <row r="69" spans="1:49" ht="67.2" customHeight="1" thickBot="1" x14ac:dyDescent="0.4">
      <c r="A69" s="223"/>
      <c r="B69" s="1390" t="s">
        <v>1005</v>
      </c>
      <c r="C69" s="1390" t="s">
        <v>1205</v>
      </c>
      <c r="D69" s="225" t="s">
        <v>998</v>
      </c>
      <c r="E69" s="188">
        <v>0.25</v>
      </c>
      <c r="F69" s="186">
        <v>138</v>
      </c>
      <c r="G69" s="134">
        <v>30</v>
      </c>
      <c r="H69" s="134">
        <v>43</v>
      </c>
      <c r="I69" s="134">
        <v>46</v>
      </c>
      <c r="J69" s="139">
        <f>+G69/F69</f>
        <v>0.21739130434782608</v>
      </c>
      <c r="K69" s="139">
        <f t="shared" si="103"/>
        <v>0.31159420289855072</v>
      </c>
      <c r="L69" s="139">
        <f t="shared" ref="L69:L73" si="127">+I69/F69</f>
        <v>0.33333333333333331</v>
      </c>
      <c r="M69" s="139">
        <f>+(G69/F69)*E69</f>
        <v>5.434782608695652E-2</v>
      </c>
      <c r="N69" s="139">
        <f t="shared" si="105"/>
        <v>7.789855072463768E-2</v>
      </c>
      <c r="O69" s="139"/>
      <c r="P69" s="134">
        <v>0</v>
      </c>
      <c r="Q69" s="496">
        <v>0</v>
      </c>
      <c r="R69" s="496">
        <v>0</v>
      </c>
      <c r="S69" s="496">
        <v>0</v>
      </c>
      <c r="T69" s="496">
        <v>0</v>
      </c>
      <c r="U69" s="496">
        <v>43</v>
      </c>
      <c r="V69" s="134">
        <f t="shared" si="1"/>
        <v>43</v>
      </c>
      <c r="W69" s="134">
        <f>+V69+P69+AB69</f>
        <v>43</v>
      </c>
      <c r="X69" s="496">
        <v>0</v>
      </c>
      <c r="Y69" s="496">
        <v>0</v>
      </c>
      <c r="Z69" s="134"/>
      <c r="AA69" s="134"/>
      <c r="AB69" s="134">
        <f t="shared" ref="AB69:AB72" si="128">+X69+Y69+Z69+AA69</f>
        <v>0</v>
      </c>
      <c r="AC69" s="156">
        <f>+(P69/G69)</f>
        <v>0</v>
      </c>
      <c r="AD69" s="156">
        <f t="shared" ref="AD69:AD73" si="129">+V69/H69</f>
        <v>1</v>
      </c>
      <c r="AE69" s="156">
        <f t="shared" ref="AE69:AE73" si="130">+AB69/I69</f>
        <v>0</v>
      </c>
      <c r="AF69" s="156">
        <f>+AC69*E69</f>
        <v>0</v>
      </c>
      <c r="AG69" s="156">
        <f t="shared" si="116"/>
        <v>0.25</v>
      </c>
      <c r="AH69" s="156">
        <f t="shared" ref="AH69:AH73" si="131">+AE69*E69</f>
        <v>0</v>
      </c>
      <c r="AI69" s="156">
        <f>+P69/F69</f>
        <v>0</v>
      </c>
      <c r="AJ69" s="156">
        <v>0.31159420289855072</v>
      </c>
      <c r="AK69" s="156">
        <f t="shared" ref="AK69:AK73" si="132">+W69/F69</f>
        <v>0.31159420289855072</v>
      </c>
      <c r="AL69" s="156">
        <f>+AI69*E69</f>
        <v>0</v>
      </c>
      <c r="AM69" s="156">
        <f>+AJ69*E69</f>
        <v>7.789855072463768E-2</v>
      </c>
      <c r="AN69" s="156">
        <f t="shared" ref="AN69:AN73" si="133">+AK69*E69</f>
        <v>7.789855072463768E-2</v>
      </c>
      <c r="AO69" s="206" t="s">
        <v>1846</v>
      </c>
      <c r="AP69" s="526" t="s">
        <v>1886</v>
      </c>
      <c r="AQ69" s="526" t="s">
        <v>1991</v>
      </c>
      <c r="AR69" s="526" t="s">
        <v>2010</v>
      </c>
      <c r="AS69" s="688" t="s">
        <v>2107</v>
      </c>
      <c r="AT69" s="688" t="s">
        <v>2139</v>
      </c>
      <c r="AU69" s="526" t="s">
        <v>2196</v>
      </c>
      <c r="AV69" s="526" t="s">
        <v>1887</v>
      </c>
      <c r="AW69" s="526" t="s">
        <v>2294</v>
      </c>
    </row>
    <row r="70" spans="1:49" ht="95.4" customHeight="1" thickBot="1" x14ac:dyDescent="0.4">
      <c r="A70" s="223"/>
      <c r="B70" s="1390" t="s">
        <v>1006</v>
      </c>
      <c r="C70" s="1390" t="s">
        <v>1206</v>
      </c>
      <c r="D70" s="225" t="s">
        <v>998</v>
      </c>
      <c r="E70" s="188">
        <v>0.25</v>
      </c>
      <c r="F70" s="186">
        <v>8</v>
      </c>
      <c r="G70" s="134">
        <v>2</v>
      </c>
      <c r="H70" s="134">
        <v>2</v>
      </c>
      <c r="I70" s="134">
        <v>2</v>
      </c>
      <c r="J70" s="139">
        <f>+G70/F70</f>
        <v>0.25</v>
      </c>
      <c r="K70" s="139">
        <f t="shared" si="103"/>
        <v>0.25</v>
      </c>
      <c r="L70" s="139">
        <f t="shared" si="127"/>
        <v>0.25</v>
      </c>
      <c r="M70" s="139">
        <f>+(G70/F70)*E70</f>
        <v>6.25E-2</v>
      </c>
      <c r="N70" s="139">
        <f t="shared" si="105"/>
        <v>6.25E-2</v>
      </c>
      <c r="O70" s="139"/>
      <c r="P70" s="134">
        <v>2</v>
      </c>
      <c r="Q70" s="496">
        <v>0.2</v>
      </c>
      <c r="R70" s="496">
        <v>0.7</v>
      </c>
      <c r="S70" s="496">
        <v>0.4</v>
      </c>
      <c r="T70" s="496">
        <v>0.2</v>
      </c>
      <c r="U70" s="496">
        <v>0.5</v>
      </c>
      <c r="V70" s="134">
        <f t="shared" si="1"/>
        <v>1.9999999999999998</v>
      </c>
      <c r="W70" s="134">
        <f t="shared" ref="W70:W75" si="134">+V70+P70+AB70</f>
        <v>5.2</v>
      </c>
      <c r="X70" s="496">
        <v>0.4</v>
      </c>
      <c r="Y70" s="496">
        <v>0.79999999999999993</v>
      </c>
      <c r="Z70" s="134"/>
      <c r="AA70" s="134"/>
      <c r="AB70" s="134">
        <f>+X70+Y70+Z70+AA70</f>
        <v>1.2</v>
      </c>
      <c r="AC70" s="156">
        <f>+(P70/G70)</f>
        <v>1</v>
      </c>
      <c r="AD70" s="156">
        <f>+V70/H70</f>
        <v>0.99999999999999989</v>
      </c>
      <c r="AE70" s="156">
        <f t="shared" si="130"/>
        <v>0.6</v>
      </c>
      <c r="AF70" s="156">
        <f>+AC70*E70</f>
        <v>0.25</v>
      </c>
      <c r="AG70" s="156">
        <f t="shared" si="116"/>
        <v>0.24999999999999997</v>
      </c>
      <c r="AH70" s="156">
        <f t="shared" si="131"/>
        <v>0.15</v>
      </c>
      <c r="AI70" s="156">
        <f>+P70/F70</f>
        <v>0.25</v>
      </c>
      <c r="AJ70" s="156">
        <v>0.5</v>
      </c>
      <c r="AK70" s="156">
        <f t="shared" si="132"/>
        <v>0.65</v>
      </c>
      <c r="AL70" s="156">
        <f>+AI70*E70</f>
        <v>6.25E-2</v>
      </c>
      <c r="AM70" s="156">
        <f>+AJ70*E70</f>
        <v>0.125</v>
      </c>
      <c r="AN70" s="156">
        <f t="shared" si="133"/>
        <v>0.16250000000000001</v>
      </c>
      <c r="AO70" s="206" t="s">
        <v>1846</v>
      </c>
      <c r="AP70" s="526" t="s">
        <v>1886</v>
      </c>
      <c r="AQ70" s="526" t="s">
        <v>1991</v>
      </c>
      <c r="AR70" s="526" t="s">
        <v>2010</v>
      </c>
      <c r="AS70" s="688" t="s">
        <v>2107</v>
      </c>
      <c r="AT70" s="688" t="s">
        <v>2139</v>
      </c>
      <c r="AU70" s="526" t="s">
        <v>2196</v>
      </c>
      <c r="AV70" s="526" t="s">
        <v>1887</v>
      </c>
      <c r="AW70" s="526" t="s">
        <v>2294</v>
      </c>
    </row>
    <row r="71" spans="1:49" ht="93" customHeight="1" thickBot="1" x14ac:dyDescent="0.4">
      <c r="A71" s="223"/>
      <c r="B71" s="1390" t="s">
        <v>1007</v>
      </c>
      <c r="C71" s="1390" t="s">
        <v>1207</v>
      </c>
      <c r="D71" s="225" t="s">
        <v>998</v>
      </c>
      <c r="E71" s="188">
        <v>0.15</v>
      </c>
      <c r="F71" s="186">
        <v>4</v>
      </c>
      <c r="G71" s="134">
        <v>0</v>
      </c>
      <c r="H71" s="134">
        <v>2</v>
      </c>
      <c r="I71" s="134">
        <v>1</v>
      </c>
      <c r="J71" s="139"/>
      <c r="K71" s="139">
        <f t="shared" si="103"/>
        <v>0.5</v>
      </c>
      <c r="L71" s="139">
        <f t="shared" si="127"/>
        <v>0.25</v>
      </c>
      <c r="M71" s="139"/>
      <c r="N71" s="139">
        <f t="shared" si="105"/>
        <v>7.4999999999999997E-2</v>
      </c>
      <c r="O71" s="139"/>
      <c r="P71" s="134"/>
      <c r="Q71" s="496">
        <v>0.2</v>
      </c>
      <c r="R71" s="496">
        <v>0.5</v>
      </c>
      <c r="S71" s="496">
        <v>7.0000000000000007E-2</v>
      </c>
      <c r="T71" s="496">
        <v>0</v>
      </c>
      <c r="U71" s="496">
        <v>1.23</v>
      </c>
      <c r="V71" s="134">
        <f t="shared" ref="V71:V82" si="135">+Q71+R71+S71+T71+U71</f>
        <v>2</v>
      </c>
      <c r="W71" s="134">
        <f t="shared" si="134"/>
        <v>2.81</v>
      </c>
      <c r="X71" s="496">
        <v>0.1</v>
      </c>
      <c r="Y71" s="496">
        <v>0.71</v>
      </c>
      <c r="Z71" s="134"/>
      <c r="AA71" s="134"/>
      <c r="AB71" s="134">
        <f t="shared" si="128"/>
        <v>0.80999999999999994</v>
      </c>
      <c r="AC71" s="156"/>
      <c r="AD71" s="156">
        <f t="shared" si="129"/>
        <v>1</v>
      </c>
      <c r="AE71" s="156">
        <f t="shared" si="130"/>
        <v>0.80999999999999994</v>
      </c>
      <c r="AF71" s="156"/>
      <c r="AG71" s="156">
        <f t="shared" si="116"/>
        <v>0.15</v>
      </c>
      <c r="AH71" s="156">
        <f t="shared" si="131"/>
        <v>0.12149999999999998</v>
      </c>
      <c r="AI71" s="156"/>
      <c r="AJ71" s="156">
        <v>0.5</v>
      </c>
      <c r="AK71" s="156">
        <f t="shared" si="132"/>
        <v>0.70250000000000001</v>
      </c>
      <c r="AL71" s="156"/>
      <c r="AM71" s="156">
        <f t="shared" ref="AM71:AM72" si="136">+AJ71*E71</f>
        <v>7.4999999999999997E-2</v>
      </c>
      <c r="AN71" s="156">
        <f t="shared" si="133"/>
        <v>0.105375</v>
      </c>
      <c r="AO71" s="127"/>
      <c r="AP71" s="526" t="s">
        <v>1886</v>
      </c>
      <c r="AQ71" s="526" t="s">
        <v>1991</v>
      </c>
      <c r="AR71" s="526" t="s">
        <v>2010</v>
      </c>
      <c r="AS71" s="688" t="s">
        <v>2107</v>
      </c>
      <c r="AT71" s="688" t="s">
        <v>2139</v>
      </c>
      <c r="AU71" s="526" t="s">
        <v>2196</v>
      </c>
      <c r="AV71" s="526" t="s">
        <v>1887</v>
      </c>
      <c r="AW71" s="526" t="s">
        <v>2294</v>
      </c>
    </row>
    <row r="72" spans="1:49" ht="85.2" customHeight="1" thickBot="1" x14ac:dyDescent="0.4">
      <c r="A72" s="223"/>
      <c r="B72" s="1390" t="s">
        <v>1008</v>
      </c>
      <c r="C72" s="1390" t="s">
        <v>1208</v>
      </c>
      <c r="D72" s="225" t="s">
        <v>998</v>
      </c>
      <c r="E72" s="188">
        <v>0.15</v>
      </c>
      <c r="F72" s="186">
        <v>4</v>
      </c>
      <c r="G72" s="134">
        <v>0</v>
      </c>
      <c r="H72" s="134">
        <v>2</v>
      </c>
      <c r="I72" s="134">
        <v>1</v>
      </c>
      <c r="J72" s="139"/>
      <c r="K72" s="139">
        <f t="shared" si="103"/>
        <v>0.5</v>
      </c>
      <c r="L72" s="139">
        <f t="shared" si="127"/>
        <v>0.25</v>
      </c>
      <c r="M72" s="139"/>
      <c r="N72" s="139">
        <f t="shared" si="105"/>
        <v>7.4999999999999997E-2</v>
      </c>
      <c r="O72" s="139"/>
      <c r="P72" s="134"/>
      <c r="Q72" s="496">
        <v>0.2</v>
      </c>
      <c r="R72" s="496">
        <v>0.15</v>
      </c>
      <c r="S72" s="496">
        <v>0.09</v>
      </c>
      <c r="T72" s="496">
        <v>0</v>
      </c>
      <c r="U72" s="496">
        <v>1.56</v>
      </c>
      <c r="V72" s="134">
        <f t="shared" si="135"/>
        <v>2</v>
      </c>
      <c r="W72" s="134">
        <f t="shared" si="134"/>
        <v>2.605</v>
      </c>
      <c r="X72" s="496">
        <v>0.15</v>
      </c>
      <c r="Y72" s="496">
        <v>0.45499999999999996</v>
      </c>
      <c r="Z72" s="134"/>
      <c r="AA72" s="134"/>
      <c r="AB72" s="134">
        <f t="shared" si="128"/>
        <v>0.60499999999999998</v>
      </c>
      <c r="AC72" s="156"/>
      <c r="AD72" s="156">
        <f t="shared" si="129"/>
        <v>1</v>
      </c>
      <c r="AE72" s="156">
        <f t="shared" si="130"/>
        <v>0.60499999999999998</v>
      </c>
      <c r="AF72" s="156"/>
      <c r="AG72" s="156">
        <f t="shared" si="116"/>
        <v>0.15</v>
      </c>
      <c r="AH72" s="156">
        <f t="shared" si="131"/>
        <v>9.0749999999999997E-2</v>
      </c>
      <c r="AI72" s="156"/>
      <c r="AJ72" s="156">
        <v>0.5</v>
      </c>
      <c r="AK72" s="156">
        <f t="shared" si="132"/>
        <v>0.65125</v>
      </c>
      <c r="AL72" s="156"/>
      <c r="AM72" s="156">
        <f t="shared" si="136"/>
        <v>7.4999999999999997E-2</v>
      </c>
      <c r="AN72" s="156">
        <f t="shared" si="133"/>
        <v>9.7687499999999997E-2</v>
      </c>
      <c r="AO72" s="127"/>
      <c r="AP72" s="526" t="s">
        <v>1886</v>
      </c>
      <c r="AQ72" s="526" t="s">
        <v>1991</v>
      </c>
      <c r="AR72" s="526" t="s">
        <v>2010</v>
      </c>
      <c r="AS72" s="688" t="s">
        <v>2107</v>
      </c>
      <c r="AT72" s="688" t="s">
        <v>2139</v>
      </c>
      <c r="AU72" s="526" t="s">
        <v>2196</v>
      </c>
      <c r="AV72" s="526" t="s">
        <v>1887</v>
      </c>
      <c r="AW72" s="526" t="s">
        <v>2294</v>
      </c>
    </row>
    <row r="73" spans="1:49" ht="67.2" customHeight="1" thickBot="1" x14ac:dyDescent="0.4">
      <c r="A73" s="223"/>
      <c r="B73" s="1390" t="s">
        <v>1544</v>
      </c>
      <c r="C73" s="1390" t="s">
        <v>1543</v>
      </c>
      <c r="D73" s="225" t="s">
        <v>998</v>
      </c>
      <c r="E73" s="188">
        <v>0.2</v>
      </c>
      <c r="F73" s="186">
        <v>4</v>
      </c>
      <c r="G73" s="134">
        <v>1</v>
      </c>
      <c r="H73" s="134">
        <v>1</v>
      </c>
      <c r="I73" s="134">
        <v>1</v>
      </c>
      <c r="J73" s="139">
        <f>+G73/F73</f>
        <v>0.25</v>
      </c>
      <c r="K73" s="139">
        <f t="shared" si="103"/>
        <v>0.25</v>
      </c>
      <c r="L73" s="139">
        <f t="shared" si="127"/>
        <v>0.25</v>
      </c>
      <c r="M73" s="139">
        <f>+(G73/F73)*E73</f>
        <v>0.05</v>
      </c>
      <c r="N73" s="139">
        <f t="shared" si="105"/>
        <v>0.05</v>
      </c>
      <c r="O73" s="139"/>
      <c r="P73" s="134">
        <v>1</v>
      </c>
      <c r="Q73" s="496">
        <v>0.05</v>
      </c>
      <c r="R73" s="496">
        <f>0.13-Q73</f>
        <v>0.08</v>
      </c>
      <c r="S73" s="496">
        <v>0.3</v>
      </c>
      <c r="T73" s="496">
        <v>0</v>
      </c>
      <c r="U73" s="496">
        <v>0.57000000000000006</v>
      </c>
      <c r="V73" s="134">
        <f t="shared" si="135"/>
        <v>1</v>
      </c>
      <c r="W73" s="134">
        <f t="shared" si="134"/>
        <v>2.6</v>
      </c>
      <c r="X73" s="496">
        <v>0.05</v>
      </c>
      <c r="Y73" s="496">
        <v>0.55000000000000004</v>
      </c>
      <c r="Z73" s="134"/>
      <c r="AA73" s="134"/>
      <c r="AB73" s="134">
        <f>+X73+Y73+Z73+AA73</f>
        <v>0.60000000000000009</v>
      </c>
      <c r="AC73" s="156">
        <f>+(P73/G73)</f>
        <v>1</v>
      </c>
      <c r="AD73" s="156">
        <f t="shared" si="129"/>
        <v>1</v>
      </c>
      <c r="AE73" s="156">
        <f t="shared" si="130"/>
        <v>0.60000000000000009</v>
      </c>
      <c r="AF73" s="156">
        <f>+AC73*E73</f>
        <v>0.2</v>
      </c>
      <c r="AG73" s="156">
        <f t="shared" si="116"/>
        <v>0.2</v>
      </c>
      <c r="AH73" s="156">
        <f t="shared" si="131"/>
        <v>0.12000000000000002</v>
      </c>
      <c r="AI73" s="156">
        <f>+P73/F73</f>
        <v>0.25</v>
      </c>
      <c r="AJ73" s="156">
        <v>0.5</v>
      </c>
      <c r="AK73" s="156">
        <f t="shared" si="132"/>
        <v>0.65</v>
      </c>
      <c r="AL73" s="156">
        <f>+AI73*E73</f>
        <v>0.05</v>
      </c>
      <c r="AM73" s="156">
        <f>+AJ73*E73</f>
        <v>0.1</v>
      </c>
      <c r="AN73" s="156">
        <f t="shared" si="133"/>
        <v>0.13</v>
      </c>
      <c r="AO73" s="206" t="s">
        <v>1846</v>
      </c>
      <c r="AP73" s="526" t="s">
        <v>1886</v>
      </c>
      <c r="AQ73" s="526" t="s">
        <v>1991</v>
      </c>
      <c r="AR73" s="526" t="s">
        <v>2010</v>
      </c>
      <c r="AS73" s="688" t="s">
        <v>2107</v>
      </c>
      <c r="AT73" s="688" t="s">
        <v>2139</v>
      </c>
      <c r="AU73" s="526" t="s">
        <v>2196</v>
      </c>
      <c r="AV73" s="526" t="s">
        <v>1887</v>
      </c>
      <c r="AW73" s="526" t="s">
        <v>2294</v>
      </c>
    </row>
    <row r="74" spans="1:49" ht="67.2" customHeight="1" thickBot="1" x14ac:dyDescent="0.4">
      <c r="A74" s="223"/>
      <c r="B74" s="1419" t="s">
        <v>1828</v>
      </c>
      <c r="C74" s="1375"/>
      <c r="D74" s="225"/>
      <c r="E74" s="192">
        <v>0.1</v>
      </c>
      <c r="F74" s="177"/>
      <c r="G74" s="127"/>
      <c r="H74" s="127"/>
      <c r="I74" s="127"/>
      <c r="J74" s="133">
        <f>+AVERAGE(J75:J76)</f>
        <v>0.25</v>
      </c>
      <c r="K74" s="133">
        <f>+AVERAGE(K75:K76)</f>
        <v>0.25</v>
      </c>
      <c r="L74" s="133">
        <f>+AVERAGE(L75:L76)</f>
        <v>0.25</v>
      </c>
      <c r="M74" s="133">
        <f>+M75+M76</f>
        <v>0.25</v>
      </c>
      <c r="N74" s="133">
        <f>+N75+N76</f>
        <v>0.25</v>
      </c>
      <c r="O74" s="133"/>
      <c r="P74" s="132"/>
      <c r="Q74" s="132"/>
      <c r="R74" s="132"/>
      <c r="S74" s="132"/>
      <c r="T74" s="132"/>
      <c r="U74" s="839"/>
      <c r="V74" s="134"/>
      <c r="W74" s="134"/>
      <c r="X74" s="132"/>
      <c r="Y74" s="132"/>
      <c r="Z74" s="132"/>
      <c r="AA74" s="132"/>
      <c r="AB74" s="132"/>
      <c r="AC74" s="154">
        <f>+AVERAGE(AC75:AC76)</f>
        <v>1</v>
      </c>
      <c r="AD74" s="154">
        <f>+AVERAGE(AD75:AD76)</f>
        <v>1</v>
      </c>
      <c r="AE74" s="154">
        <f>+AVERAGE(AE75:AE76)</f>
        <v>0.15</v>
      </c>
      <c r="AF74" s="154">
        <f>+(AF75+AF76)*E74</f>
        <v>0.1</v>
      </c>
      <c r="AG74" s="154">
        <f>+(AG75+AG76)*E74</f>
        <v>0.1</v>
      </c>
      <c r="AH74" s="154">
        <f>+(AH75+AH76)*E74</f>
        <v>1.4999999999999999E-2</v>
      </c>
      <c r="AI74" s="133">
        <f>+AVERAGE(AI75:AI76)</f>
        <v>0.25</v>
      </c>
      <c r="AJ74" s="133">
        <v>0.5</v>
      </c>
      <c r="AK74" s="133">
        <f>+AVERAGE(AK75:AK76)</f>
        <v>0.53749999999999998</v>
      </c>
      <c r="AL74" s="133">
        <f>+(AL75+AL76)*E74</f>
        <v>2.5000000000000001E-2</v>
      </c>
      <c r="AM74" s="133">
        <f>+(AM75+AM76)</f>
        <v>0.5</v>
      </c>
      <c r="AN74" s="133">
        <f>+(AN75+AN76)</f>
        <v>0.53749999999999998</v>
      </c>
      <c r="AO74" s="127"/>
      <c r="AP74" s="127"/>
      <c r="AQ74" s="127"/>
      <c r="AR74" s="127"/>
      <c r="AS74" s="564"/>
      <c r="AT74" s="564"/>
      <c r="AU74" s="127"/>
      <c r="AV74" s="490"/>
    </row>
    <row r="75" spans="1:49" ht="67.2" customHeight="1" thickBot="1" x14ac:dyDescent="0.4">
      <c r="A75" s="223"/>
      <c r="B75" s="1390" t="s">
        <v>1009</v>
      </c>
      <c r="C75" s="1390" t="s">
        <v>1209</v>
      </c>
      <c r="D75" s="225" t="s">
        <v>998</v>
      </c>
      <c r="E75" s="188">
        <v>0.5</v>
      </c>
      <c r="F75" s="186">
        <v>12</v>
      </c>
      <c r="G75" s="134">
        <v>3</v>
      </c>
      <c r="H75" s="134">
        <v>3</v>
      </c>
      <c r="I75" s="134">
        <v>3</v>
      </c>
      <c r="J75" s="139">
        <f>+G75/F75</f>
        <v>0.25</v>
      </c>
      <c r="K75" s="139">
        <f t="shared" si="103"/>
        <v>0.25</v>
      </c>
      <c r="L75" s="139">
        <f t="shared" ref="L75:L76" si="137">+I75/F75</f>
        <v>0.25</v>
      </c>
      <c r="M75" s="139">
        <f>+(G75/F75)*E75</f>
        <v>0.125</v>
      </c>
      <c r="N75" s="139">
        <f t="shared" si="105"/>
        <v>0.125</v>
      </c>
      <c r="O75" s="139"/>
      <c r="P75" s="134">
        <v>3</v>
      </c>
      <c r="Q75" s="496">
        <v>0.15</v>
      </c>
      <c r="R75" s="496">
        <v>0.45</v>
      </c>
      <c r="S75" s="496">
        <v>0.06</v>
      </c>
      <c r="T75" s="496">
        <v>0.34</v>
      </c>
      <c r="U75" s="195">
        <v>2</v>
      </c>
      <c r="V75" s="134">
        <f t="shared" si="135"/>
        <v>3</v>
      </c>
      <c r="W75" s="134">
        <f t="shared" si="134"/>
        <v>6.27</v>
      </c>
      <c r="X75" s="496">
        <v>0.18</v>
      </c>
      <c r="Y75" s="496">
        <v>9.0000000000000024E-2</v>
      </c>
      <c r="Z75" s="134"/>
      <c r="AA75" s="134"/>
      <c r="AB75" s="134">
        <f t="shared" ref="AB75" si="138">+X75+Y75+Z75+AA75</f>
        <v>0.27</v>
      </c>
      <c r="AC75" s="156">
        <f>+(P75/G75)</f>
        <v>1</v>
      </c>
      <c r="AD75" s="156">
        <f t="shared" ref="AD75:AD76" si="139">+V75/H75</f>
        <v>1</v>
      </c>
      <c r="AE75" s="156">
        <f t="shared" ref="AE75" si="140">+AB75/I75</f>
        <v>9.0000000000000011E-2</v>
      </c>
      <c r="AF75" s="156">
        <f>+AC75*E75</f>
        <v>0.5</v>
      </c>
      <c r="AG75" s="156">
        <f t="shared" si="116"/>
        <v>0.5</v>
      </c>
      <c r="AH75" s="156">
        <f t="shared" ref="AH75:AH76" si="141">+AE75*E75</f>
        <v>4.5000000000000005E-2</v>
      </c>
      <c r="AI75" s="156">
        <f>+P75/F75</f>
        <v>0.25</v>
      </c>
      <c r="AJ75" s="156">
        <v>0.5</v>
      </c>
      <c r="AK75" s="156">
        <f t="shared" ref="AK75:AK76" si="142">+W75/F75</f>
        <v>0.52249999999999996</v>
      </c>
      <c r="AL75" s="156">
        <f>+AI75*E75</f>
        <v>0.125</v>
      </c>
      <c r="AM75" s="156">
        <f>+AJ75*E75</f>
        <v>0.25</v>
      </c>
      <c r="AN75" s="156">
        <f t="shared" ref="AN75:AN76" si="143">+AK75*E75</f>
        <v>0.26124999999999998</v>
      </c>
      <c r="AO75" s="206" t="s">
        <v>1846</v>
      </c>
      <c r="AP75" s="526" t="s">
        <v>1886</v>
      </c>
      <c r="AQ75" s="526" t="s">
        <v>1991</v>
      </c>
      <c r="AR75" s="526" t="s">
        <v>2010</v>
      </c>
      <c r="AS75" s="688" t="s">
        <v>2107</v>
      </c>
      <c r="AT75" s="688" t="s">
        <v>2139</v>
      </c>
      <c r="AU75" s="526" t="s">
        <v>2196</v>
      </c>
      <c r="AV75" s="526" t="s">
        <v>1887</v>
      </c>
      <c r="AW75" s="526" t="s">
        <v>2294</v>
      </c>
    </row>
    <row r="76" spans="1:49" ht="67.2" customHeight="1" thickBot="1" x14ac:dyDescent="0.4">
      <c r="A76" s="223"/>
      <c r="B76" s="1390" t="s">
        <v>1010</v>
      </c>
      <c r="C76" s="1390" t="s">
        <v>1210</v>
      </c>
      <c r="D76" s="225" t="s">
        <v>998</v>
      </c>
      <c r="E76" s="188">
        <v>0.5</v>
      </c>
      <c r="F76" s="186">
        <v>4</v>
      </c>
      <c r="G76" s="134">
        <v>1</v>
      </c>
      <c r="H76" s="134">
        <v>1</v>
      </c>
      <c r="I76" s="134">
        <v>1</v>
      </c>
      <c r="J76" s="139">
        <f>+G76/F76</f>
        <v>0.25</v>
      </c>
      <c r="K76" s="139">
        <f t="shared" si="103"/>
        <v>0.25</v>
      </c>
      <c r="L76" s="139">
        <f t="shared" si="137"/>
        <v>0.25</v>
      </c>
      <c r="M76" s="139">
        <f>+(G76/F76)*E76</f>
        <v>0.125</v>
      </c>
      <c r="N76" s="139">
        <f t="shared" si="105"/>
        <v>0.125</v>
      </c>
      <c r="O76" s="139"/>
      <c r="P76" s="134">
        <v>1</v>
      </c>
      <c r="Q76" s="496">
        <v>0.1</v>
      </c>
      <c r="R76" s="496">
        <v>0.15</v>
      </c>
      <c r="S76" s="496">
        <v>0.02</v>
      </c>
      <c r="T76" s="496">
        <v>0</v>
      </c>
      <c r="U76" s="195">
        <v>0.73</v>
      </c>
      <c r="V76" s="134">
        <f t="shared" si="135"/>
        <v>1</v>
      </c>
      <c r="W76" s="134">
        <f>+V76+P76+AB76</f>
        <v>2.21</v>
      </c>
      <c r="X76" s="496">
        <v>0.06</v>
      </c>
      <c r="Y76" s="496">
        <v>0.15</v>
      </c>
      <c r="Z76" s="134"/>
      <c r="AA76" s="134"/>
      <c r="AB76" s="134">
        <f>+X76+Y76+Z76+AA76</f>
        <v>0.21</v>
      </c>
      <c r="AC76" s="156">
        <f>+(P76/G76)</f>
        <v>1</v>
      </c>
      <c r="AD76" s="156">
        <f t="shared" si="139"/>
        <v>1</v>
      </c>
      <c r="AE76" s="156">
        <f>+AB76/I76</f>
        <v>0.21</v>
      </c>
      <c r="AF76" s="156">
        <f>+AC76*E76</f>
        <v>0.5</v>
      </c>
      <c r="AG76" s="156">
        <f t="shared" si="116"/>
        <v>0.5</v>
      </c>
      <c r="AH76" s="156">
        <f t="shared" si="141"/>
        <v>0.105</v>
      </c>
      <c r="AI76" s="156">
        <f>+P76/F76</f>
        <v>0.25</v>
      </c>
      <c r="AJ76" s="156">
        <v>0.5</v>
      </c>
      <c r="AK76" s="156">
        <f t="shared" si="142"/>
        <v>0.55249999999999999</v>
      </c>
      <c r="AL76" s="156">
        <f>+AI76*E76</f>
        <v>0.125</v>
      </c>
      <c r="AM76" s="156">
        <f>+AJ76*E76</f>
        <v>0.25</v>
      </c>
      <c r="AN76" s="156">
        <f t="shared" si="143"/>
        <v>0.27625</v>
      </c>
      <c r="AO76" s="206" t="s">
        <v>1846</v>
      </c>
      <c r="AP76" s="526" t="s">
        <v>1886</v>
      </c>
      <c r="AQ76" s="526" t="s">
        <v>1991</v>
      </c>
      <c r="AR76" s="526" t="s">
        <v>2010</v>
      </c>
      <c r="AS76" s="688" t="s">
        <v>2107</v>
      </c>
      <c r="AT76" s="688" t="s">
        <v>2139</v>
      </c>
      <c r="AU76" s="526" t="s">
        <v>2196</v>
      </c>
      <c r="AV76" s="526" t="s">
        <v>1887</v>
      </c>
      <c r="AW76" s="526" t="s">
        <v>2294</v>
      </c>
    </row>
    <row r="77" spans="1:49" ht="67.2" customHeight="1" thickBot="1" x14ac:dyDescent="0.4">
      <c r="A77" s="223"/>
      <c r="B77" s="1420" t="s">
        <v>1829</v>
      </c>
      <c r="C77" s="1375"/>
      <c r="D77" s="225"/>
      <c r="E77" s="194">
        <v>0.15</v>
      </c>
      <c r="F77" s="226">
        <f>E77*AF77</f>
        <v>8.2600999999999994E-2</v>
      </c>
      <c r="G77" s="127"/>
      <c r="H77" s="226">
        <f>+E77*AG77</f>
        <v>0.11696746363636362</v>
      </c>
      <c r="I77" s="226">
        <f>+E77*AH77</f>
        <v>5.1211617924528295E-2</v>
      </c>
      <c r="J77" s="125">
        <f>+(J78+J85+J92+J94+J99+J105)/5</f>
        <v>0.25436567555113532</v>
      </c>
      <c r="K77" s="125">
        <f>+(K78+K85+K92+K94+K99+K105)/6</f>
        <v>0.31832393913396156</v>
      </c>
      <c r="L77" s="125">
        <f>+(L78+L85+L92+L94+L99+L105)/6</f>
        <v>0.21609381266603023</v>
      </c>
      <c r="M77" s="126">
        <f>+(M78+M85+M92+M94+M99+M105)/5</f>
        <v>0.23789244132935511</v>
      </c>
      <c r="N77" s="126">
        <f>+(N78+N85+N92+N94+N99+N105)/6</f>
        <v>0.30079710077612098</v>
      </c>
      <c r="O77" s="126"/>
      <c r="P77" s="127"/>
      <c r="Q77" s="127"/>
      <c r="R77" s="127"/>
      <c r="S77" s="127"/>
      <c r="T77" s="127"/>
      <c r="U77" s="176"/>
      <c r="V77" s="819"/>
      <c r="W77" s="127"/>
      <c r="X77" s="127"/>
      <c r="Y77" s="127"/>
      <c r="Z77" s="127"/>
      <c r="AA77" s="127"/>
      <c r="AB77" s="127"/>
      <c r="AC77" s="125">
        <f>+(AC78+AC85+AC92+AC94+AC99+AC105)/5</f>
        <v>0.85431111111111113</v>
      </c>
      <c r="AD77" s="125">
        <f>+(AD78+AD85+AD92+AD94+AD99+AD105)/6</f>
        <v>0.75171893939393941</v>
      </c>
      <c r="AE77" s="125">
        <f>+(AE78+AE85+AE92+AE94+AE99+AE105)/6</f>
        <v>0.3555246331236897</v>
      </c>
      <c r="AF77" s="126">
        <f>+AF78+AF85+AF92+AF94+AF99+AF105</f>
        <v>0.55067333333333335</v>
      </c>
      <c r="AG77" s="126">
        <f>+AG78+AG85+AG92+AG94+AG99+AG105</f>
        <v>0.77978309090909081</v>
      </c>
      <c r="AH77" s="126">
        <f>+AH78+AH85+AH92+AH94+AH99+AH105</f>
        <v>0.341410786163522</v>
      </c>
      <c r="AI77" s="125">
        <f>+(AI78+AI85+AI92+AI94+AI99+AI105)/6</f>
        <v>0.17211584073705719</v>
      </c>
      <c r="AJ77" s="125">
        <v>0.4683245805089773</v>
      </c>
      <c r="AK77" s="125">
        <f>+(AK78+AK85+AK92+AK94+AK99+AK105)/6</f>
        <v>0.530911313012291</v>
      </c>
      <c r="AL77" s="227">
        <f>+(AL78+AL85+AL92+AL94+AL99+AL105)</f>
        <v>0.15231066433034965</v>
      </c>
      <c r="AM77" s="227">
        <f>+(AM78*E78+AM85*E85+AM92*E92+AM94*E94+AM99*E99+AM105*E105)</f>
        <v>0.49669634354560488</v>
      </c>
      <c r="AN77" s="227">
        <f>+(AN78*E78+AN85*E85+AN92*E92+AN94*E94+AN99*E99+AN105*E105)</f>
        <v>0.58208809687328911</v>
      </c>
      <c r="AO77" s="127"/>
      <c r="AP77" s="506" t="s">
        <v>1882</v>
      </c>
      <c r="AQ77" s="127"/>
      <c r="AR77" s="127"/>
      <c r="AS77" s="564"/>
      <c r="AT77" s="564"/>
      <c r="AU77" s="127"/>
      <c r="AV77" s="490"/>
    </row>
    <row r="78" spans="1:49" ht="67.2" customHeight="1" thickBot="1" x14ac:dyDescent="0.4">
      <c r="A78" s="223"/>
      <c r="B78" s="1419" t="s">
        <v>1767</v>
      </c>
      <c r="C78" s="1375"/>
      <c r="D78" s="225"/>
      <c r="E78" s="192">
        <v>0.15</v>
      </c>
      <c r="F78" s="177"/>
      <c r="G78" s="127"/>
      <c r="H78" s="127"/>
      <c r="I78" s="127"/>
      <c r="J78" s="133">
        <f>+AVERAGE(J79:J84)</f>
        <v>0.35243948886678761</v>
      </c>
      <c r="K78" s="133">
        <f>+AVERAGE(K79:K84)</f>
        <v>0.4932769681371027</v>
      </c>
      <c r="L78" s="133">
        <f>+AVERAGE(L79:L84)</f>
        <v>0.12295176488507015</v>
      </c>
      <c r="M78" s="133">
        <f>+M79+M80+M81+M82+M83+M84</f>
        <v>0.34219553998010876</v>
      </c>
      <c r="N78" s="133">
        <f>+N79+N80+N81+N82+N83+N84</f>
        <v>0.53394927132339243</v>
      </c>
      <c r="O78" s="133"/>
      <c r="P78" s="132"/>
      <c r="Q78" s="132"/>
      <c r="R78" s="132"/>
      <c r="S78" s="132"/>
      <c r="T78" s="132"/>
      <c r="U78" s="839"/>
      <c r="V78" s="134"/>
      <c r="W78" s="132"/>
      <c r="X78" s="132"/>
      <c r="Y78" s="132"/>
      <c r="Z78" s="132"/>
      <c r="AA78" s="132"/>
      <c r="AB78" s="132"/>
      <c r="AC78" s="154">
        <f>+AVERAGE(AC79:AC84)</f>
        <v>0.9</v>
      </c>
      <c r="AD78" s="154">
        <f>+AVERAGE(AD79:AD84)</f>
        <v>0.96969696969696972</v>
      </c>
      <c r="AE78" s="154">
        <f>+AVERAGE(AE79:AE84)</f>
        <v>0.36531446540880502</v>
      </c>
      <c r="AF78" s="154">
        <f>+(AF79+AF80+AF81+AF82+AF83+AF84)*E78</f>
        <v>0.1275</v>
      </c>
      <c r="AG78" s="154">
        <f>+(AG79+AG80+AG81+AG82+AG83+AG84)*E78</f>
        <v>0.1459090909090909</v>
      </c>
      <c r="AH78" s="154">
        <f>+(AH79+AH80+AH81+AH82+AH83+AH84)*E78</f>
        <v>5.9067452830188681E-2</v>
      </c>
      <c r="AI78" s="133">
        <f>+AVERAGE(AI79:AI84)</f>
        <v>0.32743948886678759</v>
      </c>
      <c r="AJ78" s="133">
        <v>0.77629859416497471</v>
      </c>
      <c r="AK78" s="133">
        <f>+AVERAGE(AK79:AK84)</f>
        <v>0.81865232251819053</v>
      </c>
      <c r="AL78" s="133">
        <f>+(AL79+AL80+AL81+AL82+AL83+AL84)*E78</f>
        <v>4.5704330997016318E-2</v>
      </c>
      <c r="AM78" s="133">
        <f>+(AM79+AM80+AM81+AM82+AM83+AM84)</f>
        <v>0.78866873474847721</v>
      </c>
      <c r="AN78" s="133">
        <f>+(AN79+AN80+AN81+AN82+AN83+AN84)</f>
        <v>0.8300370902663714</v>
      </c>
      <c r="AO78" s="127"/>
      <c r="AP78" s="127"/>
      <c r="AQ78" s="127"/>
      <c r="AR78" s="127"/>
      <c r="AS78" s="564"/>
      <c r="AT78" s="564"/>
      <c r="AU78" s="127"/>
      <c r="AV78" s="490"/>
    </row>
    <row r="79" spans="1:49" ht="107.4" customHeight="1" thickBot="1" x14ac:dyDescent="0.4">
      <c r="A79" s="223"/>
      <c r="B79" s="1390" t="s">
        <v>1011</v>
      </c>
      <c r="C79" s="1390" t="s">
        <v>1211</v>
      </c>
      <c r="D79" s="225" t="s">
        <v>1012</v>
      </c>
      <c r="E79" s="188">
        <v>0.15</v>
      </c>
      <c r="F79" s="186">
        <v>209</v>
      </c>
      <c r="G79" s="134">
        <v>53</v>
      </c>
      <c r="H79" s="134">
        <v>53</v>
      </c>
      <c r="I79" s="134">
        <v>53</v>
      </c>
      <c r="J79" s="139">
        <f t="shared" ref="J79:J84" si="144">+G79/F79</f>
        <v>0.25358851674641147</v>
      </c>
      <c r="K79" s="139">
        <f t="shared" ref="K79:K84" si="145">+H79/F79</f>
        <v>0.25358851674641147</v>
      </c>
      <c r="L79" s="139">
        <f t="shared" ref="L79:L84" si="146">+I79/F79</f>
        <v>0.25358851674641147</v>
      </c>
      <c r="M79" s="139">
        <f t="shared" ref="M79:M84" si="147">+(G79/F79)*E79</f>
        <v>3.8038277511961718E-2</v>
      </c>
      <c r="N79" s="139">
        <f t="shared" ref="N79:N84" si="148">+(H79/F79)*E79</f>
        <v>3.8038277511961718E-2</v>
      </c>
      <c r="O79" s="139"/>
      <c r="P79" s="238">
        <v>53</v>
      </c>
      <c r="Q79" s="515">
        <v>0</v>
      </c>
      <c r="R79" s="515">
        <v>48</v>
      </c>
      <c r="S79" s="515">
        <v>12</v>
      </c>
      <c r="T79" s="515">
        <v>0</v>
      </c>
      <c r="U79" s="515">
        <v>0</v>
      </c>
      <c r="V79" s="238">
        <f t="shared" si="135"/>
        <v>60</v>
      </c>
      <c r="W79" s="238">
        <f>+V79+P79+AB79</f>
        <v>129</v>
      </c>
      <c r="X79" s="515">
        <v>16</v>
      </c>
      <c r="Y79" s="515">
        <v>0</v>
      </c>
      <c r="Z79" s="238"/>
      <c r="AA79" s="238"/>
      <c r="AB79" s="238">
        <f t="shared" ref="AB79:AB84" si="149">+X79+Y79+Z79+AA79</f>
        <v>16</v>
      </c>
      <c r="AC79" s="156">
        <f>+(P79/G79)</f>
        <v>1</v>
      </c>
      <c r="AD79" s="156">
        <v>1</v>
      </c>
      <c r="AE79" s="156">
        <f t="shared" ref="AE79:AE84" si="150">+AB79/I79</f>
        <v>0.30188679245283018</v>
      </c>
      <c r="AF79" s="156">
        <f t="shared" ref="AF79:AF84" si="151">+AC79*E79</f>
        <v>0.15</v>
      </c>
      <c r="AG79" s="156">
        <f t="shared" ref="AG79:AG84" si="152">+AD79*E79</f>
        <v>0.15</v>
      </c>
      <c r="AH79" s="156">
        <f t="shared" ref="AH79:AH84" si="153">+AE79*E79</f>
        <v>4.5283018867924525E-2</v>
      </c>
      <c r="AI79" s="156">
        <f t="shared" ref="AI79:AI84" si="154">+P79/F79</f>
        <v>0.25358851674641147</v>
      </c>
      <c r="AJ79" s="156">
        <v>0.54066985645933019</v>
      </c>
      <c r="AK79" s="156">
        <f>+W79/F79</f>
        <v>0.61722488038277512</v>
      </c>
      <c r="AL79" s="141">
        <f t="shared" ref="AL79:AL84" si="155">+AI79*E79</f>
        <v>3.8038277511961718E-2</v>
      </c>
      <c r="AM79" s="141">
        <f t="shared" ref="AM79:AM84" si="156">+AJ79*E79</f>
        <v>8.110047846889952E-2</v>
      </c>
      <c r="AN79" s="141">
        <f t="shared" ref="AN79:AN84" si="157">+AK79*E79</f>
        <v>9.2583732057416268E-2</v>
      </c>
      <c r="AO79" s="206" t="s">
        <v>1846</v>
      </c>
      <c r="AP79" s="526" t="s">
        <v>1885</v>
      </c>
      <c r="AQ79" s="526" t="s">
        <v>1991</v>
      </c>
      <c r="AR79" s="526" t="s">
        <v>2010</v>
      </c>
      <c r="AS79" s="688" t="s">
        <v>2107</v>
      </c>
      <c r="AT79" s="688" t="s">
        <v>2141</v>
      </c>
      <c r="AU79" s="526" t="s">
        <v>2196</v>
      </c>
      <c r="AV79" s="526" t="s">
        <v>1887</v>
      </c>
      <c r="AW79" s="526" t="s">
        <v>2294</v>
      </c>
    </row>
    <row r="80" spans="1:49" ht="117" customHeight="1" thickBot="1" x14ac:dyDescent="0.4">
      <c r="A80" s="223"/>
      <c r="B80" s="1390" t="s">
        <v>1013</v>
      </c>
      <c r="C80" s="1390" t="s">
        <v>1212</v>
      </c>
      <c r="D80" s="225" t="s">
        <v>1012</v>
      </c>
      <c r="E80" s="188">
        <v>0.15</v>
      </c>
      <c r="F80" s="186">
        <v>328</v>
      </c>
      <c r="G80" s="134">
        <v>150</v>
      </c>
      <c r="H80" s="134">
        <v>150</v>
      </c>
      <c r="I80" s="134">
        <v>28</v>
      </c>
      <c r="J80" s="139">
        <f t="shared" si="144"/>
        <v>0.45731707317073172</v>
      </c>
      <c r="K80" s="139">
        <f t="shared" si="145"/>
        <v>0.45731707317073172</v>
      </c>
      <c r="L80" s="139">
        <f t="shared" si="146"/>
        <v>8.5365853658536592E-2</v>
      </c>
      <c r="M80" s="139">
        <f t="shared" si="147"/>
        <v>6.8597560975609762E-2</v>
      </c>
      <c r="N80" s="139">
        <f t="shared" si="148"/>
        <v>6.8597560975609762E-2</v>
      </c>
      <c r="O80" s="139"/>
      <c r="P80" s="238">
        <v>150</v>
      </c>
      <c r="Q80" s="515">
        <v>150</v>
      </c>
      <c r="R80" s="515">
        <v>0</v>
      </c>
      <c r="S80" s="515">
        <v>0</v>
      </c>
      <c r="T80" s="515">
        <v>0</v>
      </c>
      <c r="U80" s="515">
        <v>0</v>
      </c>
      <c r="V80" s="238">
        <f t="shared" si="135"/>
        <v>150</v>
      </c>
      <c r="W80" s="238">
        <f t="shared" ref="W80:W84" si="158">+V80+P80+AB80</f>
        <v>328</v>
      </c>
      <c r="X80" s="515">
        <v>28</v>
      </c>
      <c r="Y80" s="515">
        <v>0</v>
      </c>
      <c r="Z80" s="238"/>
      <c r="AA80" s="238"/>
      <c r="AB80" s="238">
        <f t="shared" si="149"/>
        <v>28</v>
      </c>
      <c r="AC80" s="156">
        <v>1</v>
      </c>
      <c r="AD80" s="156">
        <f t="shared" ref="AD80:AD81" si="159">+V80/H80</f>
        <v>1</v>
      </c>
      <c r="AE80" s="156">
        <f t="shared" si="150"/>
        <v>1</v>
      </c>
      <c r="AF80" s="156">
        <f t="shared" si="151"/>
        <v>0.15</v>
      </c>
      <c r="AG80" s="156">
        <f t="shared" si="152"/>
        <v>0.15</v>
      </c>
      <c r="AH80" s="156">
        <f t="shared" si="153"/>
        <v>0.15</v>
      </c>
      <c r="AI80" s="156">
        <f t="shared" si="154"/>
        <v>0.45731707317073172</v>
      </c>
      <c r="AJ80" s="156">
        <v>0.91463414634146345</v>
      </c>
      <c r="AK80" s="156">
        <f t="shared" ref="AK80:AK84" si="160">+W80/F80</f>
        <v>1</v>
      </c>
      <c r="AL80" s="141">
        <f t="shared" si="155"/>
        <v>6.8597560975609762E-2</v>
      </c>
      <c r="AM80" s="141">
        <f t="shared" si="156"/>
        <v>0.13719512195121952</v>
      </c>
      <c r="AN80" s="141">
        <f t="shared" si="157"/>
        <v>0.15</v>
      </c>
      <c r="AO80" s="206" t="s">
        <v>1846</v>
      </c>
      <c r="AP80" s="526" t="s">
        <v>1885</v>
      </c>
      <c r="AQ80" s="526" t="s">
        <v>1991</v>
      </c>
      <c r="AR80" s="526" t="s">
        <v>2010</v>
      </c>
      <c r="AS80" s="688" t="s">
        <v>2107</v>
      </c>
      <c r="AT80" s="688" t="s">
        <v>2141</v>
      </c>
      <c r="AU80" s="526" t="s">
        <v>2196</v>
      </c>
      <c r="AV80" s="526" t="s">
        <v>1887</v>
      </c>
      <c r="AW80" s="526" t="s">
        <v>2294</v>
      </c>
    </row>
    <row r="81" spans="1:49" ht="93.6" customHeight="1" thickBot="1" x14ac:dyDescent="0.4">
      <c r="A81" s="223"/>
      <c r="B81" s="1390" t="s">
        <v>1014</v>
      </c>
      <c r="C81" s="1390" t="s">
        <v>1213</v>
      </c>
      <c r="D81" s="225" t="s">
        <v>1012</v>
      </c>
      <c r="E81" s="188">
        <v>0.15</v>
      </c>
      <c r="F81" s="186">
        <v>402</v>
      </c>
      <c r="G81" s="134">
        <v>102</v>
      </c>
      <c r="H81" s="134">
        <v>100</v>
      </c>
      <c r="I81" s="134">
        <v>100</v>
      </c>
      <c r="J81" s="139">
        <f t="shared" si="144"/>
        <v>0.2537313432835821</v>
      </c>
      <c r="K81" s="139">
        <f t="shared" si="145"/>
        <v>0.24875621890547264</v>
      </c>
      <c r="L81" s="139">
        <f t="shared" si="146"/>
        <v>0.24875621890547264</v>
      </c>
      <c r="M81" s="139">
        <f t="shared" si="147"/>
        <v>3.8059701492537311E-2</v>
      </c>
      <c r="N81" s="139">
        <f t="shared" si="148"/>
        <v>3.7313432835820892E-2</v>
      </c>
      <c r="O81" s="139"/>
      <c r="P81" s="238">
        <v>102</v>
      </c>
      <c r="Q81" s="515">
        <v>26</v>
      </c>
      <c r="R81" s="515">
        <v>21</v>
      </c>
      <c r="S81" s="515">
        <v>24</v>
      </c>
      <c r="T81" s="515">
        <v>29</v>
      </c>
      <c r="U81" s="515">
        <v>0</v>
      </c>
      <c r="V81" s="238">
        <f t="shared" si="135"/>
        <v>100</v>
      </c>
      <c r="W81" s="238">
        <f t="shared" si="158"/>
        <v>226</v>
      </c>
      <c r="X81" s="515">
        <v>19</v>
      </c>
      <c r="Y81" s="515">
        <v>5</v>
      </c>
      <c r="Z81" s="238"/>
      <c r="AA81" s="238"/>
      <c r="AB81" s="238">
        <f t="shared" si="149"/>
        <v>24</v>
      </c>
      <c r="AC81" s="156">
        <f>+(P81/G81)</f>
        <v>1</v>
      </c>
      <c r="AD81" s="156">
        <f t="shared" si="159"/>
        <v>1</v>
      </c>
      <c r="AE81" s="156">
        <f t="shared" si="150"/>
        <v>0.24</v>
      </c>
      <c r="AF81" s="156">
        <f t="shared" si="151"/>
        <v>0.15</v>
      </c>
      <c r="AG81" s="156">
        <f t="shared" si="152"/>
        <v>0.15</v>
      </c>
      <c r="AH81" s="156">
        <f t="shared" si="153"/>
        <v>3.5999999999999997E-2</v>
      </c>
      <c r="AI81" s="156">
        <f t="shared" si="154"/>
        <v>0.2537313432835821</v>
      </c>
      <c r="AJ81" s="156">
        <v>0.50248756218905477</v>
      </c>
      <c r="AK81" s="156">
        <f t="shared" si="160"/>
        <v>0.56218905472636815</v>
      </c>
      <c r="AL81" s="141">
        <f t="shared" si="155"/>
        <v>3.8059701492537311E-2</v>
      </c>
      <c r="AM81" s="141">
        <f t="shared" si="156"/>
        <v>7.537313432835821E-2</v>
      </c>
      <c r="AN81" s="141">
        <f t="shared" si="157"/>
        <v>8.432835820895522E-2</v>
      </c>
      <c r="AO81" s="206" t="s">
        <v>1846</v>
      </c>
      <c r="AP81" s="526" t="s">
        <v>1885</v>
      </c>
      <c r="AQ81" s="526" t="s">
        <v>1991</v>
      </c>
      <c r="AR81" s="526" t="s">
        <v>2010</v>
      </c>
      <c r="AS81" s="688" t="s">
        <v>2107</v>
      </c>
      <c r="AT81" s="688" t="s">
        <v>2141</v>
      </c>
      <c r="AU81" s="526" t="s">
        <v>2196</v>
      </c>
      <c r="AV81" s="526" t="s">
        <v>1887</v>
      </c>
      <c r="AW81" s="526" t="s">
        <v>2294</v>
      </c>
    </row>
    <row r="82" spans="1:49" ht="97.2" customHeight="1" thickBot="1" x14ac:dyDescent="0.4">
      <c r="A82" s="223"/>
      <c r="B82" s="1390" t="s">
        <v>1015</v>
      </c>
      <c r="C82" s="1390" t="s">
        <v>1214</v>
      </c>
      <c r="D82" s="225" t="s">
        <v>1012</v>
      </c>
      <c r="E82" s="188">
        <v>0.15</v>
      </c>
      <c r="F82" s="186">
        <v>1</v>
      </c>
      <c r="G82" s="195">
        <v>0.45</v>
      </c>
      <c r="H82" s="195">
        <v>0.55000000000000004</v>
      </c>
      <c r="I82" s="195">
        <v>0.05</v>
      </c>
      <c r="J82" s="139">
        <f t="shared" si="144"/>
        <v>0.45</v>
      </c>
      <c r="K82" s="139">
        <f t="shared" si="145"/>
        <v>0.55000000000000004</v>
      </c>
      <c r="L82" s="139">
        <f t="shared" si="146"/>
        <v>0.05</v>
      </c>
      <c r="M82" s="139">
        <f t="shared" si="147"/>
        <v>6.7500000000000004E-2</v>
      </c>
      <c r="N82" s="139">
        <f t="shared" si="148"/>
        <v>8.2500000000000004E-2</v>
      </c>
      <c r="O82" s="139"/>
      <c r="P82" s="239">
        <v>0.45</v>
      </c>
      <c r="Q82" s="516">
        <v>0</v>
      </c>
      <c r="R82" s="516">
        <v>0.05</v>
      </c>
      <c r="S82" s="516">
        <v>0</v>
      </c>
      <c r="T82" s="516">
        <v>0.27</v>
      </c>
      <c r="U82" s="516">
        <v>0.13</v>
      </c>
      <c r="V82" s="239">
        <f t="shared" si="135"/>
        <v>0.45</v>
      </c>
      <c r="W82" s="238">
        <f t="shared" si="158"/>
        <v>0.9</v>
      </c>
      <c r="X82" s="516">
        <v>0</v>
      </c>
      <c r="Y82" s="516">
        <v>0</v>
      </c>
      <c r="Z82" s="239"/>
      <c r="AA82" s="239"/>
      <c r="AB82" s="239">
        <f t="shared" si="149"/>
        <v>0</v>
      </c>
      <c r="AC82" s="156">
        <v>1</v>
      </c>
      <c r="AD82" s="156">
        <f>+V82/0.45</f>
        <v>1</v>
      </c>
      <c r="AE82" s="156">
        <f t="shared" si="150"/>
        <v>0</v>
      </c>
      <c r="AF82" s="156">
        <f t="shared" si="151"/>
        <v>0.15</v>
      </c>
      <c r="AG82" s="156">
        <f t="shared" si="152"/>
        <v>0.15</v>
      </c>
      <c r="AH82" s="156">
        <f t="shared" si="153"/>
        <v>0</v>
      </c>
      <c r="AI82" s="156">
        <f t="shared" si="154"/>
        <v>0.45</v>
      </c>
      <c r="AJ82" s="156">
        <v>0.9</v>
      </c>
      <c r="AK82" s="156">
        <f t="shared" si="160"/>
        <v>0.9</v>
      </c>
      <c r="AL82" s="141">
        <f t="shared" si="155"/>
        <v>6.7500000000000004E-2</v>
      </c>
      <c r="AM82" s="141">
        <f t="shared" si="156"/>
        <v>0.13500000000000001</v>
      </c>
      <c r="AN82" s="141">
        <f t="shared" si="157"/>
        <v>0.13500000000000001</v>
      </c>
      <c r="AO82" s="206" t="s">
        <v>1854</v>
      </c>
      <c r="AP82" s="526" t="s">
        <v>1885</v>
      </c>
      <c r="AQ82" s="526" t="s">
        <v>1991</v>
      </c>
      <c r="AR82" s="526" t="s">
        <v>2010</v>
      </c>
      <c r="AS82" s="688" t="s">
        <v>2107</v>
      </c>
      <c r="AT82" s="688" t="s">
        <v>2141</v>
      </c>
      <c r="AU82" s="526" t="s">
        <v>2196</v>
      </c>
      <c r="AV82" s="526" t="s">
        <v>1887</v>
      </c>
      <c r="AW82" s="526" t="s">
        <v>2294</v>
      </c>
    </row>
    <row r="83" spans="1:49" ht="137.4" customHeight="1" thickBot="1" x14ac:dyDescent="0.4">
      <c r="A83" s="223"/>
      <c r="B83" s="1390" t="s">
        <v>1016</v>
      </c>
      <c r="C83" s="1390" t="s">
        <v>1215</v>
      </c>
      <c r="D83" s="225" t="s">
        <v>1012</v>
      </c>
      <c r="E83" s="188">
        <v>0.15</v>
      </c>
      <c r="F83" s="186">
        <v>1</v>
      </c>
      <c r="G83" s="134">
        <v>0.45</v>
      </c>
      <c r="H83" s="134">
        <v>0.55000000000000004</v>
      </c>
      <c r="I83" s="134">
        <v>0.05</v>
      </c>
      <c r="J83" s="139">
        <f t="shared" si="144"/>
        <v>0.45</v>
      </c>
      <c r="K83" s="139">
        <f t="shared" si="145"/>
        <v>0.55000000000000004</v>
      </c>
      <c r="L83" s="139">
        <f t="shared" si="146"/>
        <v>0.05</v>
      </c>
      <c r="M83" s="139">
        <f t="shared" si="147"/>
        <v>6.7500000000000004E-2</v>
      </c>
      <c r="N83" s="139">
        <f t="shared" si="148"/>
        <v>8.2500000000000004E-2</v>
      </c>
      <c r="O83" s="139"/>
      <c r="P83" s="239">
        <v>0.45</v>
      </c>
      <c r="Q83" s="516">
        <v>0</v>
      </c>
      <c r="R83" s="516">
        <v>0.25</v>
      </c>
      <c r="S83" s="516">
        <v>0</v>
      </c>
      <c r="T83" s="516">
        <v>0.06</v>
      </c>
      <c r="U83" s="516">
        <v>0.14000000000000001</v>
      </c>
      <c r="V83" s="239">
        <f>+Q83+R83+S83+T83+U83</f>
        <v>0.45</v>
      </c>
      <c r="W83" s="238">
        <f t="shared" si="158"/>
        <v>0.9</v>
      </c>
      <c r="X83" s="516">
        <v>0</v>
      </c>
      <c r="Y83" s="516">
        <v>0</v>
      </c>
      <c r="Z83" s="239"/>
      <c r="AA83" s="239"/>
      <c r="AB83" s="239">
        <f t="shared" si="149"/>
        <v>0</v>
      </c>
      <c r="AC83" s="156">
        <f>+(P83/G83)</f>
        <v>1</v>
      </c>
      <c r="AD83" s="156">
        <f>+V83/H83</f>
        <v>0.81818181818181812</v>
      </c>
      <c r="AE83" s="156">
        <f t="shared" si="150"/>
        <v>0</v>
      </c>
      <c r="AF83" s="156">
        <f t="shared" si="151"/>
        <v>0.15</v>
      </c>
      <c r="AG83" s="156">
        <f t="shared" si="152"/>
        <v>0.12272727272727271</v>
      </c>
      <c r="AH83" s="156">
        <f t="shared" si="153"/>
        <v>0</v>
      </c>
      <c r="AI83" s="156">
        <f t="shared" si="154"/>
        <v>0.45</v>
      </c>
      <c r="AJ83" s="156">
        <v>0.9</v>
      </c>
      <c r="AK83" s="156">
        <f t="shared" si="160"/>
        <v>0.9</v>
      </c>
      <c r="AL83" s="141">
        <f t="shared" si="155"/>
        <v>6.7500000000000004E-2</v>
      </c>
      <c r="AM83" s="141">
        <f t="shared" si="156"/>
        <v>0.13500000000000001</v>
      </c>
      <c r="AN83" s="141">
        <f t="shared" si="157"/>
        <v>0.13500000000000001</v>
      </c>
      <c r="AO83" s="206" t="s">
        <v>1855</v>
      </c>
      <c r="AP83" s="526" t="s">
        <v>1885</v>
      </c>
      <c r="AQ83" s="526" t="s">
        <v>1991</v>
      </c>
      <c r="AR83" s="526" t="s">
        <v>2010</v>
      </c>
      <c r="AS83" s="688" t="s">
        <v>2107</v>
      </c>
      <c r="AT83" s="688" t="s">
        <v>2141</v>
      </c>
      <c r="AU83" s="526" t="s">
        <v>2196</v>
      </c>
      <c r="AV83" s="526" t="s">
        <v>1887</v>
      </c>
      <c r="AW83" s="526" t="s">
        <v>2294</v>
      </c>
    </row>
    <row r="84" spans="1:49" ht="133.19999999999999" customHeight="1" thickBot="1" x14ac:dyDescent="0.4">
      <c r="A84" s="223"/>
      <c r="B84" s="1390" t="s">
        <v>1017</v>
      </c>
      <c r="C84" s="1390" t="s">
        <v>1216</v>
      </c>
      <c r="D84" s="225" t="s">
        <v>1012</v>
      </c>
      <c r="E84" s="188">
        <v>0.25</v>
      </c>
      <c r="F84" s="186">
        <v>1</v>
      </c>
      <c r="G84" s="134">
        <v>0.25</v>
      </c>
      <c r="H84" s="134">
        <v>0.9</v>
      </c>
      <c r="I84" s="134">
        <v>0.05</v>
      </c>
      <c r="J84" s="139">
        <f t="shared" si="144"/>
        <v>0.25</v>
      </c>
      <c r="K84" s="139">
        <f t="shared" si="145"/>
        <v>0.9</v>
      </c>
      <c r="L84" s="139">
        <f t="shared" si="146"/>
        <v>0.05</v>
      </c>
      <c r="M84" s="139">
        <f t="shared" si="147"/>
        <v>6.25E-2</v>
      </c>
      <c r="N84" s="139">
        <f t="shared" si="148"/>
        <v>0.22500000000000001</v>
      </c>
      <c r="O84" s="139"/>
      <c r="P84" s="239">
        <v>0.1</v>
      </c>
      <c r="Q84" s="516">
        <v>0</v>
      </c>
      <c r="R84" s="516">
        <v>0.5</v>
      </c>
      <c r="S84" s="516">
        <v>0</v>
      </c>
      <c r="T84" s="516">
        <v>0.22</v>
      </c>
      <c r="U84" s="516">
        <v>0.08</v>
      </c>
      <c r="V84" s="239">
        <f>+Q84+R84+S84+T84+U84</f>
        <v>0.79999999999999993</v>
      </c>
      <c r="W84" s="238">
        <f t="shared" si="158"/>
        <v>0.93249999999999988</v>
      </c>
      <c r="X84" s="516">
        <v>0.02</v>
      </c>
      <c r="Y84" s="516">
        <v>1.2500000000000001E-2</v>
      </c>
      <c r="Z84" s="239"/>
      <c r="AA84" s="239"/>
      <c r="AB84" s="239">
        <f t="shared" si="149"/>
        <v>3.2500000000000001E-2</v>
      </c>
      <c r="AC84" s="156">
        <f>+(P84/G84)</f>
        <v>0.4</v>
      </c>
      <c r="AD84" s="156">
        <f>+V84/0.8</f>
        <v>0.99999999999999989</v>
      </c>
      <c r="AE84" s="156">
        <f t="shared" si="150"/>
        <v>0.65</v>
      </c>
      <c r="AF84" s="156">
        <f t="shared" si="151"/>
        <v>0.1</v>
      </c>
      <c r="AG84" s="156">
        <f t="shared" si="152"/>
        <v>0.24999999999999997</v>
      </c>
      <c r="AH84" s="156">
        <f t="shared" si="153"/>
        <v>0.16250000000000001</v>
      </c>
      <c r="AI84" s="156">
        <f t="shared" si="154"/>
        <v>0.1</v>
      </c>
      <c r="AJ84" s="156">
        <v>0.89999999999999991</v>
      </c>
      <c r="AK84" s="156">
        <f t="shared" si="160"/>
        <v>0.93249999999999988</v>
      </c>
      <c r="AL84" s="141">
        <f t="shared" si="155"/>
        <v>2.5000000000000001E-2</v>
      </c>
      <c r="AM84" s="141">
        <f t="shared" si="156"/>
        <v>0.22499999999999998</v>
      </c>
      <c r="AN84" s="141">
        <f t="shared" si="157"/>
        <v>0.23312499999999997</v>
      </c>
      <c r="AO84" s="206" t="s">
        <v>1846</v>
      </c>
      <c r="AP84" s="526" t="s">
        <v>1885</v>
      </c>
      <c r="AQ84" s="526" t="s">
        <v>1991</v>
      </c>
      <c r="AR84" s="526" t="s">
        <v>2010</v>
      </c>
      <c r="AS84" s="688" t="s">
        <v>2107</v>
      </c>
      <c r="AT84" s="688" t="s">
        <v>2141</v>
      </c>
      <c r="AU84" s="526" t="s">
        <v>2196</v>
      </c>
      <c r="AV84" s="526" t="s">
        <v>1887</v>
      </c>
      <c r="AW84" s="1038" t="s">
        <v>1859</v>
      </c>
    </row>
    <row r="85" spans="1:49" ht="67.2" customHeight="1" thickBot="1" x14ac:dyDescent="0.4">
      <c r="A85" s="223"/>
      <c r="B85" s="1419" t="s">
        <v>1768</v>
      </c>
      <c r="C85" s="1375"/>
      <c r="D85" s="225"/>
      <c r="E85" s="192">
        <v>0.3</v>
      </c>
      <c r="F85" s="177"/>
      <c r="G85" s="127"/>
      <c r="H85" s="127"/>
      <c r="I85" s="127"/>
      <c r="J85" s="133">
        <f>+AVERAGE(J86:J91)*((1/6)*2)</f>
        <v>0.17916666666666664</v>
      </c>
      <c r="K85" s="133">
        <f>+AVERAGE(K86:K91)</f>
        <v>0.23749999999999999</v>
      </c>
      <c r="L85" s="133">
        <f>+AVERAGE(L86:L91)</f>
        <v>0.37777777777777777</v>
      </c>
      <c r="M85" s="133">
        <f>+M86+M87+M88+M89+M90+M91</f>
        <v>0.14250000000000002</v>
      </c>
      <c r="N85" s="133">
        <f>+N86+N87+N88+N89+N90+N91</f>
        <v>0.16</v>
      </c>
      <c r="O85" s="133"/>
      <c r="P85" s="132"/>
      <c r="Q85" s="132"/>
      <c r="R85" s="132"/>
      <c r="S85" s="132"/>
      <c r="T85" s="132"/>
      <c r="U85" s="839"/>
      <c r="V85" s="132"/>
      <c r="W85" s="132"/>
      <c r="X85" s="132"/>
      <c r="Y85" s="132"/>
      <c r="Z85" s="132"/>
      <c r="AA85" s="132"/>
      <c r="AB85" s="132"/>
      <c r="AC85" s="154">
        <f>+AVERAGE(AC86:AC91)</f>
        <v>0.88888888888888884</v>
      </c>
      <c r="AD85" s="154">
        <f>+AVERAGE(AD86:AD91)</f>
        <v>0.55000000000000004</v>
      </c>
      <c r="AE85" s="154">
        <f>+AVERAGE(AE86:AE91)</f>
        <v>0.25</v>
      </c>
      <c r="AF85" s="154">
        <f>+(AF86+AF87+AF88+AF89+AF90+AF91)*E85</f>
        <v>0.11333333333333333</v>
      </c>
      <c r="AG85" s="154">
        <f>+(AG86+AG87+AG88+AG89+AG90+AG91)*E85</f>
        <v>0.13500000000000001</v>
      </c>
      <c r="AH85" s="154">
        <f>+(AH86+AH87+AH88+AH89+AH90+AH91)*E85</f>
        <v>6.7499999999999991E-2</v>
      </c>
      <c r="AI85" s="133">
        <f>+AVERAGE(AI86:AI91)*((1/6)*2)</f>
        <v>0.14999999999999997</v>
      </c>
      <c r="AJ85" s="133">
        <v>0.2558333333333333</v>
      </c>
      <c r="AK85" s="133">
        <f>+AVERAGE(AK86:AK91)</f>
        <v>0.29333333333333339</v>
      </c>
      <c r="AL85" s="133">
        <f>+(AL86+AL87+AL88+AL89+AL90+AL91)*E85</f>
        <v>3.9E-2</v>
      </c>
      <c r="AM85" s="133">
        <f>+(AM86+AM87+AM88+AM89+AM90+AM91)</f>
        <v>0.254</v>
      </c>
      <c r="AN85" s="133">
        <f>+(AN86+AN87+AN88+AN89+AN90+AN91)</f>
        <v>0.32150000000000001</v>
      </c>
      <c r="AO85" s="206" t="s">
        <v>1856</v>
      </c>
      <c r="AP85" s="127"/>
      <c r="AQ85" s="127"/>
      <c r="AR85" s="127"/>
      <c r="AS85" s="564"/>
      <c r="AT85" s="564"/>
      <c r="AU85" s="127"/>
      <c r="AV85" s="490"/>
    </row>
    <row r="86" spans="1:49" ht="83.4" customHeight="1" thickBot="1" x14ac:dyDescent="0.4">
      <c r="A86" s="223"/>
      <c r="B86" s="1390" t="s">
        <v>1018</v>
      </c>
      <c r="C86" s="1390" t="s">
        <v>1217</v>
      </c>
      <c r="D86" s="225" t="s">
        <v>1012</v>
      </c>
      <c r="E86" s="188">
        <v>0.4</v>
      </c>
      <c r="F86" s="186">
        <v>300</v>
      </c>
      <c r="G86" s="134">
        <v>0</v>
      </c>
      <c r="H86" s="134">
        <v>5</v>
      </c>
      <c r="I86" s="134">
        <v>150</v>
      </c>
      <c r="J86" s="139"/>
      <c r="K86" s="139">
        <f t="shared" ref="K86:K90" si="161">+H86/F86</f>
        <v>1.6666666666666666E-2</v>
      </c>
      <c r="L86" s="139">
        <f t="shared" ref="L86:L90" si="162">+I86/F86</f>
        <v>0.5</v>
      </c>
      <c r="M86" s="139"/>
      <c r="N86" s="139">
        <f t="shared" ref="N86:N90" si="163">+(H86/F86)*E86</f>
        <v>6.6666666666666671E-3</v>
      </c>
      <c r="O86" s="139"/>
      <c r="P86" s="134"/>
      <c r="Q86" s="496">
        <v>0</v>
      </c>
      <c r="R86" s="496">
        <v>0</v>
      </c>
      <c r="S86" s="496">
        <v>0</v>
      </c>
      <c r="T86" s="496">
        <v>0</v>
      </c>
      <c r="U86" s="496">
        <v>0.5</v>
      </c>
      <c r="V86" s="134">
        <f>+Q86+R86+S86+T86+U86</f>
        <v>0.5</v>
      </c>
      <c r="W86" s="134">
        <f>+V86+P86+AB86</f>
        <v>0.5</v>
      </c>
      <c r="X86" s="496">
        <v>0</v>
      </c>
      <c r="Y86" s="496">
        <v>0</v>
      </c>
      <c r="Z86" s="134"/>
      <c r="AA86" s="134"/>
      <c r="AB86" s="134">
        <f t="shared" ref="AB86:AB91" si="164">+X86+Y86+Z86+AA86</f>
        <v>0</v>
      </c>
      <c r="AC86" s="156"/>
      <c r="AD86" s="156">
        <f t="shared" ref="AD86:AD90" si="165">+V86/H86</f>
        <v>0.1</v>
      </c>
      <c r="AE86" s="156">
        <f t="shared" ref="AE86:AE90" si="166">+AB86/I86</f>
        <v>0</v>
      </c>
      <c r="AF86" s="156"/>
      <c r="AG86" s="156">
        <f>+AD86*E86</f>
        <v>4.0000000000000008E-2</v>
      </c>
      <c r="AH86" s="156">
        <f t="shared" ref="AH86:AH91" si="167">+AE86*E86</f>
        <v>0</v>
      </c>
      <c r="AI86" s="156"/>
      <c r="AJ86" s="156">
        <v>1.6666666666666668E-3</v>
      </c>
      <c r="AK86" s="156">
        <f t="shared" ref="AK86:AK91" si="168">+W86/F86</f>
        <v>1.6666666666666668E-3</v>
      </c>
      <c r="AL86" s="139"/>
      <c r="AM86" s="139">
        <f t="shared" ref="AM86:AM91" si="169">+AJ86*E86</f>
        <v>6.6666666666666675E-4</v>
      </c>
      <c r="AN86" s="139">
        <f t="shared" ref="AN86:AN91" si="170">+AK86*E86</f>
        <v>6.6666666666666675E-4</v>
      </c>
      <c r="AO86" s="206" t="s">
        <v>1846</v>
      </c>
      <c r="AP86" s="599" t="s">
        <v>1932</v>
      </c>
      <c r="AQ86" s="526" t="s">
        <v>1991</v>
      </c>
      <c r="AR86" s="526" t="s">
        <v>2010</v>
      </c>
      <c r="AS86" s="688" t="s">
        <v>2107</v>
      </c>
      <c r="AT86" s="688" t="s">
        <v>2141</v>
      </c>
      <c r="AU86" s="526" t="s">
        <v>2196</v>
      </c>
      <c r="AV86" s="526" t="s">
        <v>1887</v>
      </c>
      <c r="AW86" s="526" t="s">
        <v>2294</v>
      </c>
    </row>
    <row r="87" spans="1:49" ht="67.2" customHeight="1" thickBot="1" x14ac:dyDescent="0.4">
      <c r="A87" s="223"/>
      <c r="B87" s="1390" t="s">
        <v>1019</v>
      </c>
      <c r="C87" s="1390" t="s">
        <v>1218</v>
      </c>
      <c r="D87" s="225" t="s">
        <v>1012</v>
      </c>
      <c r="E87" s="188">
        <v>0.1</v>
      </c>
      <c r="F87" s="186">
        <v>100</v>
      </c>
      <c r="G87" s="134">
        <v>90</v>
      </c>
      <c r="H87" s="134">
        <v>30</v>
      </c>
      <c r="I87" s="134">
        <v>0</v>
      </c>
      <c r="J87" s="139">
        <f t="shared" ref="J87" si="171">+G87/F87</f>
        <v>0.9</v>
      </c>
      <c r="K87" s="139">
        <f t="shared" si="161"/>
        <v>0.3</v>
      </c>
      <c r="L87" s="139"/>
      <c r="M87" s="139">
        <f t="shared" ref="M87" si="172">+(G87/F87)*E87</f>
        <v>9.0000000000000011E-2</v>
      </c>
      <c r="N87" s="139">
        <f t="shared" si="163"/>
        <v>0.03</v>
      </c>
      <c r="O87" s="139"/>
      <c r="P87" s="134">
        <v>70</v>
      </c>
      <c r="Q87" s="496">
        <v>0</v>
      </c>
      <c r="R87" s="496">
        <v>0</v>
      </c>
      <c r="S87" s="496">
        <v>0</v>
      </c>
      <c r="T87" s="496">
        <v>30</v>
      </c>
      <c r="U87" s="496">
        <v>0</v>
      </c>
      <c r="V87" s="134">
        <f t="shared" ref="V87:V141" si="173">+Q87+R87+S87+T87+U87</f>
        <v>30</v>
      </c>
      <c r="W87" s="134">
        <f t="shared" ref="W87:W91" si="174">+V87+P87+AB87</f>
        <v>100</v>
      </c>
      <c r="X87" s="496"/>
      <c r="Y87" s="496"/>
      <c r="Z87" s="134"/>
      <c r="AA87" s="134"/>
      <c r="AB87" s="134">
        <f t="shared" si="164"/>
        <v>0</v>
      </c>
      <c r="AC87" s="156">
        <f>+(P87/G87)</f>
        <v>0.77777777777777779</v>
      </c>
      <c r="AD87" s="156">
        <f t="shared" si="165"/>
        <v>1</v>
      </c>
      <c r="AE87" s="156"/>
      <c r="AF87" s="156">
        <f>+AC87*E87</f>
        <v>7.7777777777777779E-2</v>
      </c>
      <c r="AG87" s="156">
        <f t="shared" ref="AG87:AG90" si="175">+AD87*E87</f>
        <v>0.1</v>
      </c>
      <c r="AH87" s="156">
        <f t="shared" si="167"/>
        <v>0</v>
      </c>
      <c r="AI87" s="156">
        <f>+P87/F87</f>
        <v>0.7</v>
      </c>
      <c r="AJ87" s="156">
        <v>1</v>
      </c>
      <c r="AK87" s="156">
        <f t="shared" si="168"/>
        <v>1</v>
      </c>
      <c r="AL87" s="139">
        <f>+AI87*E87</f>
        <v>6.9999999999999993E-2</v>
      </c>
      <c r="AM87" s="139">
        <f t="shared" si="169"/>
        <v>0.1</v>
      </c>
      <c r="AN87" s="139">
        <f t="shared" si="170"/>
        <v>0.1</v>
      </c>
      <c r="AO87" s="206" t="s">
        <v>1846</v>
      </c>
      <c r="AP87" s="526" t="s">
        <v>1885</v>
      </c>
      <c r="AQ87" s="526" t="s">
        <v>1991</v>
      </c>
      <c r="AR87" s="526" t="s">
        <v>2010</v>
      </c>
      <c r="AS87" s="688" t="s">
        <v>2107</v>
      </c>
      <c r="AT87" s="688" t="s">
        <v>2156</v>
      </c>
      <c r="AU87" s="526" t="s">
        <v>2196</v>
      </c>
      <c r="AV87" s="526" t="s">
        <v>1887</v>
      </c>
      <c r="AW87" s="526" t="s">
        <v>2294</v>
      </c>
    </row>
    <row r="88" spans="1:49" ht="91.2" customHeight="1" thickBot="1" x14ac:dyDescent="0.4">
      <c r="A88" s="223"/>
      <c r="B88" s="1390" t="s">
        <v>1020</v>
      </c>
      <c r="C88" s="1390" t="s">
        <v>1219</v>
      </c>
      <c r="D88" s="225" t="s">
        <v>1012</v>
      </c>
      <c r="E88" s="188">
        <v>0.1</v>
      </c>
      <c r="F88" s="186">
        <v>3</v>
      </c>
      <c r="G88" s="134">
        <v>0</v>
      </c>
      <c r="H88" s="134">
        <v>1</v>
      </c>
      <c r="I88" s="134">
        <v>1</v>
      </c>
      <c r="J88" s="139"/>
      <c r="K88" s="139">
        <f t="shared" si="161"/>
        <v>0.33333333333333331</v>
      </c>
      <c r="L88" s="139">
        <f t="shared" si="162"/>
        <v>0.33333333333333331</v>
      </c>
      <c r="M88" s="139"/>
      <c r="N88" s="139">
        <f t="shared" si="163"/>
        <v>3.3333333333333333E-2</v>
      </c>
      <c r="O88" s="139"/>
      <c r="P88" s="134"/>
      <c r="Q88" s="496">
        <v>0</v>
      </c>
      <c r="R88" s="496">
        <v>0</v>
      </c>
      <c r="S88" s="496">
        <v>0</v>
      </c>
      <c r="T88" s="496">
        <v>0</v>
      </c>
      <c r="U88" s="496">
        <v>0.1</v>
      </c>
      <c r="V88" s="134">
        <f t="shared" si="173"/>
        <v>0.1</v>
      </c>
      <c r="W88" s="134">
        <f t="shared" si="174"/>
        <v>0.1</v>
      </c>
      <c r="X88" s="496">
        <v>0</v>
      </c>
      <c r="Y88" s="496">
        <v>0</v>
      </c>
      <c r="Z88" s="134"/>
      <c r="AA88" s="134"/>
      <c r="AB88" s="134">
        <f t="shared" si="164"/>
        <v>0</v>
      </c>
      <c r="AC88" s="156"/>
      <c r="AD88" s="156">
        <f t="shared" si="165"/>
        <v>0.1</v>
      </c>
      <c r="AE88" s="156">
        <f t="shared" si="166"/>
        <v>0</v>
      </c>
      <c r="AF88" s="156"/>
      <c r="AG88" s="156">
        <f t="shared" si="175"/>
        <v>1.0000000000000002E-2</v>
      </c>
      <c r="AH88" s="156">
        <f t="shared" si="167"/>
        <v>0</v>
      </c>
      <c r="AI88" s="156"/>
      <c r="AJ88" s="156">
        <v>3.3333333333333333E-2</v>
      </c>
      <c r="AK88" s="156">
        <f t="shared" si="168"/>
        <v>3.3333333333333333E-2</v>
      </c>
      <c r="AL88" s="139"/>
      <c r="AM88" s="139">
        <f t="shared" si="169"/>
        <v>3.3333333333333335E-3</v>
      </c>
      <c r="AN88" s="139">
        <f t="shared" si="170"/>
        <v>3.3333333333333335E-3</v>
      </c>
      <c r="AO88" s="127" t="s">
        <v>1566</v>
      </c>
      <c r="AP88" s="599" t="s">
        <v>1932</v>
      </c>
      <c r="AQ88" s="526" t="s">
        <v>1991</v>
      </c>
      <c r="AR88" s="526" t="s">
        <v>2010</v>
      </c>
      <c r="AS88" s="688" t="s">
        <v>2107</v>
      </c>
      <c r="AT88" s="688" t="s">
        <v>2141</v>
      </c>
      <c r="AU88" s="526" t="s">
        <v>2196</v>
      </c>
      <c r="AV88" s="526" t="s">
        <v>1887</v>
      </c>
      <c r="AW88" s="526" t="s">
        <v>2294</v>
      </c>
    </row>
    <row r="89" spans="1:49" ht="67.2" customHeight="1" thickBot="1" x14ac:dyDescent="0.4">
      <c r="A89" s="223"/>
      <c r="B89" s="1390" t="s">
        <v>1021</v>
      </c>
      <c r="C89" s="1390" t="s">
        <v>1220</v>
      </c>
      <c r="D89" s="225" t="s">
        <v>1012</v>
      </c>
      <c r="E89" s="188">
        <v>0.05</v>
      </c>
      <c r="F89" s="186">
        <v>1</v>
      </c>
      <c r="G89" s="134">
        <v>0</v>
      </c>
      <c r="H89" s="134">
        <v>0</v>
      </c>
      <c r="I89" s="134">
        <v>0</v>
      </c>
      <c r="J89" s="139"/>
      <c r="K89" s="139"/>
      <c r="L89" s="139"/>
      <c r="M89" s="139"/>
      <c r="N89" s="139"/>
      <c r="O89" s="139"/>
      <c r="P89" s="134"/>
      <c r="Q89" s="496"/>
      <c r="R89" s="496"/>
      <c r="S89" s="496"/>
      <c r="T89" s="496"/>
      <c r="U89" s="496"/>
      <c r="V89" s="134">
        <f t="shared" si="173"/>
        <v>0</v>
      </c>
      <c r="W89" s="134">
        <f t="shared" si="174"/>
        <v>0</v>
      </c>
      <c r="X89" s="496"/>
      <c r="Y89" s="496"/>
      <c r="Z89" s="134"/>
      <c r="AA89" s="134"/>
      <c r="AB89" s="134">
        <f t="shared" si="164"/>
        <v>0</v>
      </c>
      <c r="AC89" s="156"/>
      <c r="AD89" s="156"/>
      <c r="AE89" s="156"/>
      <c r="AF89" s="156"/>
      <c r="AG89" s="156"/>
      <c r="AH89" s="156">
        <f t="shared" si="167"/>
        <v>0</v>
      </c>
      <c r="AI89" s="156"/>
      <c r="AJ89" s="156">
        <v>0</v>
      </c>
      <c r="AK89" s="156">
        <f t="shared" si="168"/>
        <v>0</v>
      </c>
      <c r="AL89" s="139"/>
      <c r="AM89" s="139">
        <f t="shared" si="169"/>
        <v>0</v>
      </c>
      <c r="AN89" s="139">
        <f t="shared" si="170"/>
        <v>0</v>
      </c>
      <c r="AO89" s="127" t="s">
        <v>1567</v>
      </c>
      <c r="AP89" s="526" t="s">
        <v>1885</v>
      </c>
      <c r="AQ89" s="526" t="s">
        <v>1991</v>
      </c>
      <c r="AR89" s="526" t="s">
        <v>2010</v>
      </c>
      <c r="AS89" s="688" t="s">
        <v>2107</v>
      </c>
      <c r="AT89" s="688" t="s">
        <v>2141</v>
      </c>
      <c r="AU89" s="526" t="s">
        <v>2196</v>
      </c>
      <c r="AV89" s="526" t="s">
        <v>1887</v>
      </c>
      <c r="AW89" s="526" t="s">
        <v>2294</v>
      </c>
    </row>
    <row r="90" spans="1:49" ht="112.95" customHeight="1" thickBot="1" x14ac:dyDescent="0.4">
      <c r="A90" s="223"/>
      <c r="B90" s="1390" t="s">
        <v>1022</v>
      </c>
      <c r="C90" s="1390" t="s">
        <v>1221</v>
      </c>
      <c r="D90" s="225" t="s">
        <v>1012</v>
      </c>
      <c r="E90" s="188">
        <v>0.3</v>
      </c>
      <c r="F90" s="186">
        <v>200</v>
      </c>
      <c r="G90" s="134">
        <v>35</v>
      </c>
      <c r="H90" s="134">
        <v>60</v>
      </c>
      <c r="I90" s="134">
        <v>60</v>
      </c>
      <c r="J90" s="139">
        <f>+G90/F90</f>
        <v>0.17499999999999999</v>
      </c>
      <c r="K90" s="139">
        <f t="shared" si="161"/>
        <v>0.3</v>
      </c>
      <c r="L90" s="139">
        <f t="shared" si="162"/>
        <v>0.3</v>
      </c>
      <c r="M90" s="139">
        <f>+(G90/F90)*E90</f>
        <v>5.2499999999999998E-2</v>
      </c>
      <c r="N90" s="139">
        <f t="shared" si="163"/>
        <v>0.09</v>
      </c>
      <c r="O90" s="139"/>
      <c r="P90" s="134">
        <v>40</v>
      </c>
      <c r="Q90" s="496">
        <v>12</v>
      </c>
      <c r="R90" s="496">
        <v>22</v>
      </c>
      <c r="S90" s="496">
        <v>9</v>
      </c>
      <c r="T90" s="496">
        <v>9</v>
      </c>
      <c r="U90" s="496">
        <v>8</v>
      </c>
      <c r="V90" s="134">
        <f t="shared" si="173"/>
        <v>60</v>
      </c>
      <c r="W90" s="134">
        <f t="shared" si="174"/>
        <v>145</v>
      </c>
      <c r="X90" s="496">
        <v>16</v>
      </c>
      <c r="Y90" s="496">
        <v>29</v>
      </c>
      <c r="Z90" s="134"/>
      <c r="AA90" s="134"/>
      <c r="AB90" s="134">
        <f t="shared" si="164"/>
        <v>45</v>
      </c>
      <c r="AC90" s="156">
        <v>1</v>
      </c>
      <c r="AD90" s="156">
        <f t="shared" si="165"/>
        <v>1</v>
      </c>
      <c r="AE90" s="156">
        <f t="shared" si="166"/>
        <v>0.75</v>
      </c>
      <c r="AF90" s="156">
        <f>+AC90*E90</f>
        <v>0.3</v>
      </c>
      <c r="AG90" s="156">
        <f t="shared" si="175"/>
        <v>0.3</v>
      </c>
      <c r="AH90" s="156">
        <f t="shared" si="167"/>
        <v>0.22499999999999998</v>
      </c>
      <c r="AI90" s="156">
        <f>+P90/F90</f>
        <v>0.2</v>
      </c>
      <c r="AJ90" s="156">
        <v>0.5</v>
      </c>
      <c r="AK90" s="156">
        <f t="shared" si="168"/>
        <v>0.72499999999999998</v>
      </c>
      <c r="AL90" s="139">
        <f>+AI90*E90</f>
        <v>0.06</v>
      </c>
      <c r="AM90" s="139">
        <f t="shared" si="169"/>
        <v>0.15</v>
      </c>
      <c r="AN90" s="139">
        <f t="shared" si="170"/>
        <v>0.2175</v>
      </c>
      <c r="AO90" s="206" t="s">
        <v>1846</v>
      </c>
      <c r="AP90" s="526" t="s">
        <v>1885</v>
      </c>
      <c r="AQ90" s="526" t="s">
        <v>1991</v>
      </c>
      <c r="AR90" s="526" t="s">
        <v>2010</v>
      </c>
      <c r="AS90" s="688" t="s">
        <v>2107</v>
      </c>
      <c r="AT90" s="688" t="s">
        <v>2141</v>
      </c>
      <c r="AU90" s="526" t="s">
        <v>2196</v>
      </c>
      <c r="AV90" s="526" t="s">
        <v>1887</v>
      </c>
      <c r="AW90" s="526" t="s">
        <v>2294</v>
      </c>
    </row>
    <row r="91" spans="1:49" ht="120.6" customHeight="1" thickBot="1" x14ac:dyDescent="0.4">
      <c r="A91" s="223"/>
      <c r="B91" s="1390" t="s">
        <v>1023</v>
      </c>
      <c r="C91" s="1390" t="s">
        <v>1222</v>
      </c>
      <c r="D91" s="225" t="s">
        <v>1012</v>
      </c>
      <c r="E91" s="188">
        <v>0.05</v>
      </c>
      <c r="F91" s="186">
        <v>1</v>
      </c>
      <c r="G91" s="134">
        <v>0</v>
      </c>
      <c r="H91" s="134">
        <v>0</v>
      </c>
      <c r="I91" s="134">
        <v>0</v>
      </c>
      <c r="J91" s="139"/>
      <c r="K91" s="139"/>
      <c r="L91" s="139"/>
      <c r="M91" s="139"/>
      <c r="N91" s="139"/>
      <c r="O91" s="139"/>
      <c r="P91" s="134"/>
      <c r="Q91" s="496"/>
      <c r="R91" s="496"/>
      <c r="S91" s="496"/>
      <c r="T91" s="496"/>
      <c r="U91" s="496"/>
      <c r="V91" s="134">
        <f t="shared" si="173"/>
        <v>0</v>
      </c>
      <c r="W91" s="134">
        <f t="shared" si="174"/>
        <v>0</v>
      </c>
      <c r="X91" s="496"/>
      <c r="Y91" s="496"/>
      <c r="Z91" s="134"/>
      <c r="AA91" s="134"/>
      <c r="AB91" s="134">
        <f t="shared" si="164"/>
        <v>0</v>
      </c>
      <c r="AC91" s="156"/>
      <c r="AD91" s="156"/>
      <c r="AE91" s="156"/>
      <c r="AF91" s="156"/>
      <c r="AG91" s="156"/>
      <c r="AH91" s="156">
        <f t="shared" si="167"/>
        <v>0</v>
      </c>
      <c r="AI91" s="156"/>
      <c r="AJ91" s="156">
        <v>0</v>
      </c>
      <c r="AK91" s="156">
        <f t="shared" si="168"/>
        <v>0</v>
      </c>
      <c r="AL91" s="139"/>
      <c r="AM91" s="139">
        <f t="shared" si="169"/>
        <v>0</v>
      </c>
      <c r="AN91" s="139">
        <f t="shared" si="170"/>
        <v>0</v>
      </c>
      <c r="AO91" s="206" t="s">
        <v>1846</v>
      </c>
      <c r="AP91" s="526" t="s">
        <v>1885</v>
      </c>
      <c r="AQ91" s="526" t="s">
        <v>1991</v>
      </c>
      <c r="AR91" s="526" t="s">
        <v>2010</v>
      </c>
      <c r="AS91" s="688" t="s">
        <v>2107</v>
      </c>
      <c r="AT91" s="688" t="s">
        <v>2141</v>
      </c>
      <c r="AU91" s="526" t="s">
        <v>2196</v>
      </c>
      <c r="AV91" s="526" t="s">
        <v>1887</v>
      </c>
      <c r="AW91" s="526" t="s">
        <v>2294</v>
      </c>
    </row>
    <row r="92" spans="1:49" ht="67.2" customHeight="1" thickBot="1" x14ac:dyDescent="0.4">
      <c r="A92" s="223"/>
      <c r="B92" s="1419" t="s">
        <v>1830</v>
      </c>
      <c r="C92" s="1375"/>
      <c r="D92" s="225"/>
      <c r="E92" s="192">
        <v>0.05</v>
      </c>
      <c r="F92" s="177"/>
      <c r="G92" s="127"/>
      <c r="H92" s="127"/>
      <c r="I92" s="127"/>
      <c r="J92" s="133"/>
      <c r="K92" s="133">
        <f>+AVERAGE(K93)</f>
        <v>0</v>
      </c>
      <c r="L92" s="133">
        <f>+AVERAGE(L93)</f>
        <v>0</v>
      </c>
      <c r="M92" s="133"/>
      <c r="N92" s="133">
        <f>+N93</f>
        <v>0</v>
      </c>
      <c r="O92" s="133"/>
      <c r="P92" s="132"/>
      <c r="Q92" s="132"/>
      <c r="R92" s="132"/>
      <c r="S92" s="132"/>
      <c r="T92" s="132"/>
      <c r="U92" s="839"/>
      <c r="V92" s="134"/>
      <c r="W92" s="132"/>
      <c r="X92" s="132"/>
      <c r="Y92" s="132"/>
      <c r="Z92" s="132"/>
      <c r="AA92" s="132"/>
      <c r="AB92" s="132"/>
      <c r="AC92" s="154"/>
      <c r="AD92" s="154"/>
      <c r="AE92" s="154">
        <v>0</v>
      </c>
      <c r="AF92" s="154"/>
      <c r="AG92" s="154">
        <f>+(AG93)*E92</f>
        <v>0</v>
      </c>
      <c r="AH92" s="154">
        <f>+(AH93)*E92</f>
        <v>0</v>
      </c>
      <c r="AI92" s="133"/>
      <c r="AJ92" s="133">
        <v>0</v>
      </c>
      <c r="AK92" s="133">
        <f>+AVERAGE(AK93)</f>
        <v>0</v>
      </c>
      <c r="AL92" s="133"/>
      <c r="AM92" s="133">
        <f>+(AM93)</f>
        <v>0</v>
      </c>
      <c r="AN92" s="133">
        <f>+(AN93)</f>
        <v>0</v>
      </c>
      <c r="AO92" s="127"/>
      <c r="AP92" s="503"/>
      <c r="AQ92" s="127"/>
      <c r="AR92" s="127"/>
      <c r="AS92" s="564"/>
      <c r="AT92" s="564"/>
      <c r="AU92" s="127"/>
      <c r="AV92" s="490"/>
    </row>
    <row r="93" spans="1:49" ht="81.599999999999994" customHeight="1" thickBot="1" x14ac:dyDescent="0.4">
      <c r="A93" s="223"/>
      <c r="B93" s="1390" t="s">
        <v>1024</v>
      </c>
      <c r="C93" s="1390" t="s">
        <v>1223</v>
      </c>
      <c r="D93" s="225" t="s">
        <v>1025</v>
      </c>
      <c r="E93" s="188">
        <v>1</v>
      </c>
      <c r="F93" s="186">
        <v>6000000000</v>
      </c>
      <c r="G93" s="134"/>
      <c r="H93" s="134">
        <v>0</v>
      </c>
      <c r="I93" s="134"/>
      <c r="J93" s="139"/>
      <c r="K93" s="139">
        <f t="shared" ref="K93" si="176">+H93/F93</f>
        <v>0</v>
      </c>
      <c r="L93" s="139">
        <f t="shared" ref="L93" si="177">+I93/F93</f>
        <v>0</v>
      </c>
      <c r="M93" s="139"/>
      <c r="N93" s="139">
        <f t="shared" ref="N93" si="178">+(H93/F93)*E93</f>
        <v>0</v>
      </c>
      <c r="O93" s="139"/>
      <c r="P93" s="134"/>
      <c r="Q93" s="496"/>
      <c r="R93" s="134"/>
      <c r="S93" s="134"/>
      <c r="T93" s="134"/>
      <c r="U93" s="195"/>
      <c r="V93" s="134">
        <f t="shared" si="173"/>
        <v>0</v>
      </c>
      <c r="W93" s="134">
        <f>+V93+P93+AB93</f>
        <v>0</v>
      </c>
      <c r="X93" s="134"/>
      <c r="Y93" s="134"/>
      <c r="Z93" s="134"/>
      <c r="AA93" s="134"/>
      <c r="AB93" s="134">
        <f>+X93+Y93+Z93+AA93</f>
        <v>0</v>
      </c>
      <c r="AC93" s="139"/>
      <c r="AD93" s="139"/>
      <c r="AE93" s="139"/>
      <c r="AF93" s="139"/>
      <c r="AG93" s="139">
        <f t="shared" ref="AG93" si="179">+AD93*E93</f>
        <v>0</v>
      </c>
      <c r="AH93" s="139">
        <f t="shared" ref="AH93" si="180">+AE93*E93</f>
        <v>0</v>
      </c>
      <c r="AI93" s="139"/>
      <c r="AJ93" s="139">
        <v>0</v>
      </c>
      <c r="AK93" s="139">
        <f t="shared" ref="AK93" si="181">+W93/F93</f>
        <v>0</v>
      </c>
      <c r="AL93" s="139"/>
      <c r="AM93" s="139">
        <f>+AJ93*E93</f>
        <v>0</v>
      </c>
      <c r="AN93" s="139">
        <f t="shared" ref="AN93" si="182">+AK93*E93</f>
        <v>0</v>
      </c>
      <c r="AO93" s="233" t="s">
        <v>1565</v>
      </c>
      <c r="AP93" s="599" t="s">
        <v>1933</v>
      </c>
      <c r="AQ93" s="127"/>
      <c r="AR93" s="127"/>
      <c r="AS93" s="564"/>
      <c r="AT93" s="564"/>
      <c r="AU93" s="127"/>
      <c r="AV93" s="1038" t="s">
        <v>1859</v>
      </c>
      <c r="AW93" s="1038" t="s">
        <v>1859</v>
      </c>
    </row>
    <row r="94" spans="1:49" ht="67.2" customHeight="1" thickBot="1" x14ac:dyDescent="0.4">
      <c r="A94" s="223"/>
      <c r="B94" s="1419" t="s">
        <v>1831</v>
      </c>
      <c r="C94" s="1375"/>
      <c r="D94" s="225"/>
      <c r="E94" s="192">
        <v>0.2</v>
      </c>
      <c r="F94" s="177"/>
      <c r="G94" s="127"/>
      <c r="H94" s="127"/>
      <c r="I94" s="127"/>
      <c r="J94" s="133">
        <f>+AVERAGE(J95:J98)</f>
        <v>0.18466666666666667</v>
      </c>
      <c r="K94" s="133">
        <f>+AVERAGE(K95:K98)</f>
        <v>0.29583333333333334</v>
      </c>
      <c r="L94" s="133">
        <f>+AVERAGE(L95:L98)</f>
        <v>0.29583333333333334</v>
      </c>
      <c r="M94" s="133">
        <f>+M95+M96+M97+M98</f>
        <v>0.17810000000000001</v>
      </c>
      <c r="N94" s="133">
        <f>+N95+N96+N97+N98</f>
        <v>0.29083333333333333</v>
      </c>
      <c r="O94" s="133"/>
      <c r="P94" s="132"/>
      <c r="Q94" s="132"/>
      <c r="R94" s="132"/>
      <c r="S94" s="132"/>
      <c r="T94" s="132"/>
      <c r="U94" s="839"/>
      <c r="V94" s="134"/>
      <c r="W94" s="132"/>
      <c r="X94" s="132"/>
      <c r="Y94" s="132"/>
      <c r="Z94" s="132"/>
      <c r="AA94" s="132"/>
      <c r="AB94" s="132"/>
      <c r="AC94" s="154">
        <f>+AVERAGE(AC95:AC98)</f>
        <v>1</v>
      </c>
      <c r="AD94" s="154">
        <f>+AVERAGE(AD95:AD98)</f>
        <v>0.9906166666666667</v>
      </c>
      <c r="AE94" s="154">
        <f>+AVERAGE(AE95:AE98)</f>
        <v>0.38483333333333336</v>
      </c>
      <c r="AF94" s="154">
        <f>+(AF95+AF96+AF97+AF98)*E94</f>
        <v>0.18000000000000002</v>
      </c>
      <c r="AG94" s="154">
        <f>+(AG95+AG96+AG97+AG98)*E94</f>
        <v>0.198874</v>
      </c>
      <c r="AH94" s="154">
        <f>+(AH95+AH96+AH97+AH98)*E94</f>
        <v>0.10451333333333333</v>
      </c>
      <c r="AI94" s="133">
        <f>+AVERAGE(AI95:AI98)</f>
        <v>0.18536666666666668</v>
      </c>
      <c r="AJ94" s="133">
        <v>0.43321000000000004</v>
      </c>
      <c r="AK94" s="133">
        <f>+AVERAGE(AK95:AK98)</f>
        <v>0.54866000000000004</v>
      </c>
      <c r="AL94" s="133">
        <f>+(AL95+AL96+AL97+AL98)*E94</f>
        <v>3.5682999999999999E-2</v>
      </c>
      <c r="AM94" s="133">
        <f>+(AM95+AM96+AM97+AM98)</f>
        <v>0.468026</v>
      </c>
      <c r="AN94" s="133">
        <f>+(AN95+AN96+AN97+AN98)</f>
        <v>0.62479600000000002</v>
      </c>
      <c r="AO94" s="127"/>
      <c r="AP94" s="127"/>
      <c r="AQ94" s="127"/>
      <c r="AR94" s="127"/>
      <c r="AS94" s="564"/>
      <c r="AT94" s="564"/>
      <c r="AU94" s="127"/>
      <c r="AV94" s="490"/>
    </row>
    <row r="95" spans="1:49" ht="94.95" customHeight="1" thickBot="1" x14ac:dyDescent="0.4">
      <c r="A95" s="223"/>
      <c r="B95" s="1390" t="s">
        <v>1026</v>
      </c>
      <c r="C95" s="1390" t="s">
        <v>1224</v>
      </c>
      <c r="D95" s="225" t="s">
        <v>1012</v>
      </c>
      <c r="E95" s="188">
        <v>0.15</v>
      </c>
      <c r="F95" s="186">
        <v>50000</v>
      </c>
      <c r="G95" s="238">
        <v>5200</v>
      </c>
      <c r="H95" s="238">
        <v>15000</v>
      </c>
      <c r="I95" s="238">
        <v>15000</v>
      </c>
      <c r="J95" s="139">
        <f>+G95/F95</f>
        <v>0.104</v>
      </c>
      <c r="K95" s="139">
        <f t="shared" ref="K95:K98" si="183">+H95/F95</f>
        <v>0.3</v>
      </c>
      <c r="L95" s="139">
        <f t="shared" ref="L95:L98" si="184">+I95/F95</f>
        <v>0.3</v>
      </c>
      <c r="M95" s="139">
        <f>+(G95/F95)*E95</f>
        <v>1.5599999999999999E-2</v>
      </c>
      <c r="N95" s="139">
        <f t="shared" ref="N95:N98" si="185">+(H95/F95)*E95</f>
        <v>4.4999999999999998E-2</v>
      </c>
      <c r="O95" s="139"/>
      <c r="P95" s="134">
        <v>5305</v>
      </c>
      <c r="Q95" s="496">
        <v>1745</v>
      </c>
      <c r="R95" s="496">
        <v>4389</v>
      </c>
      <c r="S95" s="496">
        <v>3466</v>
      </c>
      <c r="T95" s="496">
        <v>2446</v>
      </c>
      <c r="U95" s="496">
        <v>2391</v>
      </c>
      <c r="V95" s="134">
        <f t="shared" si="173"/>
        <v>14437</v>
      </c>
      <c r="W95" s="134">
        <f>+V95+P95+AB95</f>
        <v>30332</v>
      </c>
      <c r="X95" s="134">
        <v>4980</v>
      </c>
      <c r="Y95" s="134">
        <v>5610</v>
      </c>
      <c r="Z95" s="134"/>
      <c r="AA95" s="134"/>
      <c r="AB95" s="134">
        <f t="shared" ref="AB95:AB98" si="186">+X95+Y95+Z95+AA95</f>
        <v>10590</v>
      </c>
      <c r="AC95" s="156">
        <v>1</v>
      </c>
      <c r="AD95" s="156">
        <f t="shared" ref="AD95:AD97" si="187">+V95/H95</f>
        <v>0.96246666666666669</v>
      </c>
      <c r="AE95" s="156">
        <f t="shared" ref="AE95:AE97" si="188">+AB95/I95</f>
        <v>0.70599999999999996</v>
      </c>
      <c r="AF95" s="156">
        <f>+AC95*E95</f>
        <v>0.15</v>
      </c>
      <c r="AG95" s="156">
        <f t="shared" ref="AG95:AG98" si="189">+AD95*E95</f>
        <v>0.14437</v>
      </c>
      <c r="AH95" s="156">
        <f t="shared" ref="AH95:AH98" si="190">+AE95*E95</f>
        <v>0.10589999999999999</v>
      </c>
      <c r="AI95" s="156">
        <f>+P95/F95</f>
        <v>0.1061</v>
      </c>
      <c r="AJ95" s="156">
        <v>0.39484000000000002</v>
      </c>
      <c r="AK95" s="156">
        <f t="shared" ref="AK95:AK98" si="191">+W95/F95</f>
        <v>0.60663999999999996</v>
      </c>
      <c r="AL95" s="139">
        <f>+AI95*E95</f>
        <v>1.5914999999999999E-2</v>
      </c>
      <c r="AM95" s="139">
        <f>+AJ95*E95</f>
        <v>5.9226000000000001E-2</v>
      </c>
      <c r="AN95" s="139">
        <f t="shared" ref="AN95:AN98" si="192">+AK95*E95</f>
        <v>9.0995999999999994E-2</v>
      </c>
      <c r="AO95" s="206" t="s">
        <v>1846</v>
      </c>
      <c r="AP95" s="526" t="s">
        <v>1885</v>
      </c>
      <c r="AQ95" s="526" t="s">
        <v>1991</v>
      </c>
      <c r="AR95" s="526" t="s">
        <v>2010</v>
      </c>
      <c r="AS95" s="688" t="s">
        <v>2107</v>
      </c>
      <c r="AT95" s="688" t="s">
        <v>2141</v>
      </c>
      <c r="AU95" s="526" t="s">
        <v>2196</v>
      </c>
      <c r="AV95" s="526" t="s">
        <v>1887</v>
      </c>
      <c r="AW95" s="526" t="s">
        <v>2294</v>
      </c>
    </row>
    <row r="96" spans="1:49" ht="84.6" customHeight="1" thickBot="1" x14ac:dyDescent="0.4">
      <c r="A96" s="223"/>
      <c r="B96" s="1390" t="s">
        <v>1027</v>
      </c>
      <c r="C96" s="1390" t="s">
        <v>1225</v>
      </c>
      <c r="D96" s="225" t="s">
        <v>1012</v>
      </c>
      <c r="E96" s="229">
        <v>0.25</v>
      </c>
      <c r="F96" s="186">
        <v>4</v>
      </c>
      <c r="G96" s="238">
        <v>1</v>
      </c>
      <c r="H96" s="238">
        <v>1</v>
      </c>
      <c r="I96" s="238">
        <v>1</v>
      </c>
      <c r="J96" s="139">
        <f>+G96/F96</f>
        <v>0.25</v>
      </c>
      <c r="K96" s="139">
        <f t="shared" si="183"/>
        <v>0.25</v>
      </c>
      <c r="L96" s="139">
        <f t="shared" si="184"/>
        <v>0.25</v>
      </c>
      <c r="M96" s="139">
        <f>+(G96/F96)*E96</f>
        <v>6.25E-2</v>
      </c>
      <c r="N96" s="139">
        <f t="shared" si="185"/>
        <v>6.25E-2</v>
      </c>
      <c r="O96" s="139"/>
      <c r="P96" s="134">
        <v>1</v>
      </c>
      <c r="Q96" s="496">
        <v>0</v>
      </c>
      <c r="R96" s="496">
        <v>0</v>
      </c>
      <c r="S96" s="496">
        <v>0.25</v>
      </c>
      <c r="T96" s="496">
        <v>0.75</v>
      </c>
      <c r="U96" s="496"/>
      <c r="V96" s="134">
        <f t="shared" si="173"/>
        <v>1</v>
      </c>
      <c r="W96" s="134">
        <f t="shared" ref="W96:W98" si="193">+V96+P96+AB96</f>
        <v>2</v>
      </c>
      <c r="X96" s="134">
        <v>0</v>
      </c>
      <c r="Y96" s="134">
        <v>0</v>
      </c>
      <c r="Z96" s="134"/>
      <c r="AA96" s="134"/>
      <c r="AB96" s="134">
        <f t="shared" si="186"/>
        <v>0</v>
      </c>
      <c r="AC96" s="156">
        <f>+(P96/G96)</f>
        <v>1</v>
      </c>
      <c r="AD96" s="156">
        <v>1</v>
      </c>
      <c r="AE96" s="156">
        <f t="shared" si="188"/>
        <v>0</v>
      </c>
      <c r="AF96" s="156">
        <f>+AC96*E96</f>
        <v>0.25</v>
      </c>
      <c r="AG96" s="156">
        <f t="shared" si="189"/>
        <v>0.25</v>
      </c>
      <c r="AH96" s="156">
        <f t="shared" si="190"/>
        <v>0</v>
      </c>
      <c r="AI96" s="156">
        <f>+P96/F96</f>
        <v>0.25</v>
      </c>
      <c r="AJ96" s="156">
        <v>0.5</v>
      </c>
      <c r="AK96" s="156">
        <f t="shared" si="191"/>
        <v>0.5</v>
      </c>
      <c r="AL96" s="139">
        <f>+AI96*E96</f>
        <v>6.25E-2</v>
      </c>
      <c r="AM96" s="139">
        <f>+AJ96*E96</f>
        <v>0.125</v>
      </c>
      <c r="AN96" s="139">
        <f t="shared" si="192"/>
        <v>0.125</v>
      </c>
      <c r="AO96" s="127"/>
      <c r="AP96" s="526" t="s">
        <v>1885</v>
      </c>
      <c r="AQ96" s="526" t="s">
        <v>1991</v>
      </c>
      <c r="AR96" s="526" t="s">
        <v>2010</v>
      </c>
      <c r="AS96" s="688" t="s">
        <v>2107</v>
      </c>
      <c r="AT96" s="688" t="s">
        <v>2141</v>
      </c>
      <c r="AU96" s="526" t="s">
        <v>2196</v>
      </c>
      <c r="AV96" s="526" t="s">
        <v>1887</v>
      </c>
      <c r="AW96" s="526" t="s">
        <v>2294</v>
      </c>
    </row>
    <row r="97" spans="1:49" ht="103.95" customHeight="1" thickBot="1" x14ac:dyDescent="0.4">
      <c r="A97" s="223"/>
      <c r="B97" s="1390" t="s">
        <v>1028</v>
      </c>
      <c r="C97" s="1390" t="s">
        <v>1226</v>
      </c>
      <c r="D97" s="225" t="s">
        <v>1012</v>
      </c>
      <c r="E97" s="240">
        <v>0.5</v>
      </c>
      <c r="F97" s="186">
        <v>20</v>
      </c>
      <c r="G97" s="238">
        <v>4</v>
      </c>
      <c r="H97" s="238">
        <v>6</v>
      </c>
      <c r="I97" s="238">
        <v>6</v>
      </c>
      <c r="J97" s="139">
        <f>+G97/F97</f>
        <v>0.2</v>
      </c>
      <c r="K97" s="139">
        <f t="shared" si="183"/>
        <v>0.3</v>
      </c>
      <c r="L97" s="139">
        <f t="shared" si="184"/>
        <v>0.3</v>
      </c>
      <c r="M97" s="139">
        <f>+(G97/F97)*E97</f>
        <v>0.1</v>
      </c>
      <c r="N97" s="139">
        <f t="shared" si="185"/>
        <v>0.15</v>
      </c>
      <c r="O97" s="139"/>
      <c r="P97" s="134">
        <v>4</v>
      </c>
      <c r="Q97" s="496">
        <v>1</v>
      </c>
      <c r="R97" s="496">
        <v>0</v>
      </c>
      <c r="S97" s="496">
        <v>3</v>
      </c>
      <c r="T97" s="496">
        <v>1</v>
      </c>
      <c r="U97" s="496">
        <v>1</v>
      </c>
      <c r="V97" s="134">
        <f t="shared" si="173"/>
        <v>6</v>
      </c>
      <c r="W97" s="134">
        <f t="shared" si="193"/>
        <v>15</v>
      </c>
      <c r="X97" s="134">
        <v>1</v>
      </c>
      <c r="Y97" s="134">
        <v>4</v>
      </c>
      <c r="Z97" s="134"/>
      <c r="AA97" s="134"/>
      <c r="AB97" s="134">
        <f t="shared" si="186"/>
        <v>5</v>
      </c>
      <c r="AC97" s="156">
        <f>+(P97/G97)</f>
        <v>1</v>
      </c>
      <c r="AD97" s="156">
        <f t="shared" si="187"/>
        <v>1</v>
      </c>
      <c r="AE97" s="156">
        <f t="shared" si="188"/>
        <v>0.83333333333333337</v>
      </c>
      <c r="AF97" s="156">
        <f>+AC97*E97</f>
        <v>0.5</v>
      </c>
      <c r="AG97" s="156">
        <f t="shared" si="189"/>
        <v>0.5</v>
      </c>
      <c r="AH97" s="156">
        <f t="shared" si="190"/>
        <v>0.41666666666666669</v>
      </c>
      <c r="AI97" s="156">
        <f>+P97/F97</f>
        <v>0.2</v>
      </c>
      <c r="AJ97" s="156">
        <v>0.5</v>
      </c>
      <c r="AK97" s="156">
        <f t="shared" si="191"/>
        <v>0.75</v>
      </c>
      <c r="AL97" s="139">
        <f>+AI97*E97</f>
        <v>0.1</v>
      </c>
      <c r="AM97" s="139">
        <f>+AJ97*E97</f>
        <v>0.25</v>
      </c>
      <c r="AN97" s="139">
        <f t="shared" si="192"/>
        <v>0.375</v>
      </c>
      <c r="AO97" s="206" t="s">
        <v>1846</v>
      </c>
      <c r="AP97" s="526" t="s">
        <v>1885</v>
      </c>
      <c r="AQ97" s="526" t="s">
        <v>1991</v>
      </c>
      <c r="AR97" s="526" t="s">
        <v>2010</v>
      </c>
      <c r="AS97" s="688" t="s">
        <v>2107</v>
      </c>
      <c r="AT97" s="688" t="s">
        <v>2141</v>
      </c>
      <c r="AU97" s="526" t="s">
        <v>2196</v>
      </c>
      <c r="AV97" s="526" t="s">
        <v>1887</v>
      </c>
      <c r="AW97" s="526" t="s">
        <v>2294</v>
      </c>
    </row>
    <row r="98" spans="1:49" ht="113.4" customHeight="1" thickBot="1" x14ac:dyDescent="0.4">
      <c r="A98" s="223"/>
      <c r="B98" s="1390" t="s">
        <v>1029</v>
      </c>
      <c r="C98" s="1390" t="s">
        <v>1227</v>
      </c>
      <c r="D98" s="225" t="s">
        <v>1012</v>
      </c>
      <c r="E98" s="185">
        <v>0.1</v>
      </c>
      <c r="F98" s="186">
        <v>1500</v>
      </c>
      <c r="G98" s="241">
        <v>0</v>
      </c>
      <c r="H98" s="241">
        <v>500</v>
      </c>
      <c r="I98" s="241">
        <v>500</v>
      </c>
      <c r="J98" s="139"/>
      <c r="K98" s="139">
        <f t="shared" si="183"/>
        <v>0.33333333333333331</v>
      </c>
      <c r="L98" s="139">
        <f t="shared" si="184"/>
        <v>0.33333333333333331</v>
      </c>
      <c r="M98" s="139"/>
      <c r="N98" s="139">
        <f t="shared" si="185"/>
        <v>3.3333333333333333E-2</v>
      </c>
      <c r="O98" s="139"/>
      <c r="P98" s="134"/>
      <c r="Q98" s="496">
        <v>0</v>
      </c>
      <c r="R98" s="496">
        <v>0</v>
      </c>
      <c r="S98" s="496">
        <v>0</v>
      </c>
      <c r="T98" s="496">
        <v>400</v>
      </c>
      <c r="U98" s="496">
        <v>107</v>
      </c>
      <c r="V98" s="134">
        <f t="shared" si="173"/>
        <v>507</v>
      </c>
      <c r="W98" s="134">
        <f t="shared" si="193"/>
        <v>507</v>
      </c>
      <c r="X98" s="134">
        <v>0</v>
      </c>
      <c r="Y98" s="134">
        <v>0</v>
      </c>
      <c r="Z98" s="134"/>
      <c r="AA98" s="134"/>
      <c r="AB98" s="134">
        <f t="shared" si="186"/>
        <v>0</v>
      </c>
      <c r="AC98" s="156"/>
      <c r="AD98" s="156">
        <v>1</v>
      </c>
      <c r="AE98" s="156">
        <f>+AB98/I98</f>
        <v>0</v>
      </c>
      <c r="AF98" s="156"/>
      <c r="AG98" s="156">
        <f t="shared" si="189"/>
        <v>0.1</v>
      </c>
      <c r="AH98" s="156">
        <f t="shared" si="190"/>
        <v>0</v>
      </c>
      <c r="AI98" s="156"/>
      <c r="AJ98" s="156">
        <v>0.33800000000000002</v>
      </c>
      <c r="AK98" s="156">
        <f t="shared" si="191"/>
        <v>0.33800000000000002</v>
      </c>
      <c r="AL98" s="139"/>
      <c r="AM98" s="139">
        <f>+AJ98*E98</f>
        <v>3.3800000000000004E-2</v>
      </c>
      <c r="AN98" s="139">
        <f t="shared" si="192"/>
        <v>3.3800000000000004E-2</v>
      </c>
      <c r="AO98" s="206" t="s">
        <v>1846</v>
      </c>
      <c r="AP98" s="543" t="s">
        <v>1913</v>
      </c>
      <c r="AQ98" s="526" t="s">
        <v>1991</v>
      </c>
      <c r="AR98" s="526" t="s">
        <v>2010</v>
      </c>
      <c r="AS98" s="688" t="s">
        <v>2107</v>
      </c>
      <c r="AT98" s="688" t="s">
        <v>2141</v>
      </c>
      <c r="AU98" s="526" t="s">
        <v>2196</v>
      </c>
      <c r="AV98" s="526" t="s">
        <v>1887</v>
      </c>
      <c r="AW98" s="526" t="s">
        <v>2294</v>
      </c>
    </row>
    <row r="99" spans="1:49" ht="67.2" customHeight="1" thickBot="1" x14ac:dyDescent="0.4">
      <c r="A99" s="223"/>
      <c r="B99" s="1419" t="s">
        <v>1771</v>
      </c>
      <c r="C99" s="1375"/>
      <c r="D99" s="225"/>
      <c r="E99" s="192">
        <v>0.1</v>
      </c>
      <c r="F99" s="177"/>
      <c r="G99" s="134"/>
      <c r="H99" s="134"/>
      <c r="I99" s="134"/>
      <c r="J99" s="133">
        <f>+AVERAGE(J100:J104)</f>
        <v>0.25</v>
      </c>
      <c r="K99" s="133">
        <f>+AVERAGE(K100:K104)</f>
        <v>0.55000000000000004</v>
      </c>
      <c r="L99" s="133">
        <f>+AVERAGE(L100:L104)</f>
        <v>0.25</v>
      </c>
      <c r="M99" s="133">
        <f>+M100+M101+M102+M103+M104</f>
        <v>0.185</v>
      </c>
      <c r="N99" s="133">
        <f>+N100+N101+N102+N103+N104</f>
        <v>0.44500000000000001</v>
      </c>
      <c r="O99" s="133"/>
      <c r="P99" s="132"/>
      <c r="Q99" s="132"/>
      <c r="R99" s="132"/>
      <c r="S99" s="132"/>
      <c r="T99" s="132"/>
      <c r="U99" s="839"/>
      <c r="V99" s="134"/>
      <c r="W99" s="132"/>
      <c r="X99" s="132"/>
      <c r="Y99" s="132"/>
      <c r="Z99" s="132"/>
      <c r="AA99" s="132"/>
      <c r="AB99" s="132"/>
      <c r="AC99" s="154">
        <f>+AVERAGE(AC100:AC104)</f>
        <v>1</v>
      </c>
      <c r="AD99" s="154">
        <f>+AVERAGE(AD100:AD104)</f>
        <v>1</v>
      </c>
      <c r="AE99" s="154">
        <f>+AVERAGE(AE100:AE104)</f>
        <v>0.51700000000000002</v>
      </c>
      <c r="AF99" s="154">
        <f>+(AF100+AF101+AF102+AF103+AF104)*E99</f>
        <v>7.3999999999999996E-2</v>
      </c>
      <c r="AG99" s="154">
        <f>+(AG100+AG101+AG102+AG103+AG104)*E99</f>
        <v>0.1</v>
      </c>
      <c r="AH99" s="154">
        <f>+(AH100+AH101+AH102+AH103+AH104)*E99</f>
        <v>4.0570000000000002E-2</v>
      </c>
      <c r="AI99" s="133">
        <f>+AVERAGE(AI100:AI104)</f>
        <v>0.26166666666666666</v>
      </c>
      <c r="AJ99" s="133">
        <v>0.70804999999999996</v>
      </c>
      <c r="AK99" s="133">
        <f>+AVERAGE(AK100:AK104)</f>
        <v>0.78559999999999997</v>
      </c>
      <c r="AL99" s="133">
        <f>+(AL100+AL101+AL102+AL103+AL104)*E99</f>
        <v>2.095E-2</v>
      </c>
      <c r="AM99" s="133">
        <f>+(AM100+AM101+AM102+AM103+AM104)</f>
        <v>0.65817499999999995</v>
      </c>
      <c r="AN99" s="133">
        <f>+(AN100+AN101+AN102+AN103+AN104)</f>
        <v>0.75960000000000005</v>
      </c>
      <c r="AO99" s="127"/>
      <c r="AP99" s="127"/>
      <c r="AQ99" s="127"/>
      <c r="AR99" s="127"/>
      <c r="AS99" s="564"/>
      <c r="AT99" s="564"/>
      <c r="AU99" s="127"/>
      <c r="AV99" s="490"/>
    </row>
    <row r="100" spans="1:49" ht="101.4" customHeight="1" thickBot="1" x14ac:dyDescent="0.4">
      <c r="A100" s="223"/>
      <c r="B100" s="1390" t="s">
        <v>1030</v>
      </c>
      <c r="C100" s="1390" t="s">
        <v>1228</v>
      </c>
      <c r="D100" s="225" t="s">
        <v>58</v>
      </c>
      <c r="E100" s="188">
        <v>0.06</v>
      </c>
      <c r="F100" s="186">
        <v>1</v>
      </c>
      <c r="G100" s="134">
        <v>0</v>
      </c>
      <c r="H100" s="134">
        <v>1</v>
      </c>
      <c r="I100" s="134">
        <v>0</v>
      </c>
      <c r="J100" s="139"/>
      <c r="K100" s="139">
        <f t="shared" ref="K100:K104" si="194">+H100/F100</f>
        <v>1</v>
      </c>
      <c r="L100" s="139"/>
      <c r="M100" s="139"/>
      <c r="N100" s="139">
        <f t="shared" ref="N100:N104" si="195">+(H100/F100)*E100</f>
        <v>0.06</v>
      </c>
      <c r="O100" s="139"/>
      <c r="P100" s="134"/>
      <c r="Q100" s="496">
        <v>0</v>
      </c>
      <c r="R100" s="496">
        <v>0.25</v>
      </c>
      <c r="S100" s="496">
        <v>0</v>
      </c>
      <c r="T100" s="496">
        <v>0.25</v>
      </c>
      <c r="U100" s="496">
        <v>0.5</v>
      </c>
      <c r="V100" s="134">
        <f t="shared" si="173"/>
        <v>1</v>
      </c>
      <c r="W100" s="134">
        <f>+V100+P100+AB100</f>
        <v>1.1200000000000001</v>
      </c>
      <c r="X100" s="496">
        <v>0</v>
      </c>
      <c r="Y100" s="496">
        <v>0.12</v>
      </c>
      <c r="Z100" s="134"/>
      <c r="AA100" s="134"/>
      <c r="AB100" s="134">
        <f t="shared" ref="AB100:AB104" si="196">+X100+Y100+Z100+AA100</f>
        <v>0.12</v>
      </c>
      <c r="AC100" s="139"/>
      <c r="AD100" s="156">
        <f t="shared" ref="AD100:AD104" si="197">+V100/H100</f>
        <v>1</v>
      </c>
      <c r="AE100" s="156"/>
      <c r="AF100" s="156"/>
      <c r="AG100" s="156">
        <f t="shared" ref="AG100:AG104" si="198">+AD100*E100</f>
        <v>0.06</v>
      </c>
      <c r="AH100" s="156">
        <f t="shared" ref="AH100:AH108" si="199">+AE100*E100</f>
        <v>0</v>
      </c>
      <c r="AI100" s="156"/>
      <c r="AJ100" s="156">
        <v>1</v>
      </c>
      <c r="AK100" s="156">
        <v>1</v>
      </c>
      <c r="AL100" s="139"/>
      <c r="AM100" s="139">
        <f>+AJ100*E100</f>
        <v>0.06</v>
      </c>
      <c r="AN100" s="139">
        <f t="shared" ref="AN100:AN104" si="200">+AK100*E100</f>
        <v>0.06</v>
      </c>
      <c r="AO100" s="206" t="s">
        <v>1846</v>
      </c>
      <c r="AP100" s="543" t="s">
        <v>1913</v>
      </c>
      <c r="AQ100" s="526" t="s">
        <v>1991</v>
      </c>
      <c r="AR100" s="526" t="s">
        <v>2010</v>
      </c>
      <c r="AS100" s="688" t="s">
        <v>2107</v>
      </c>
      <c r="AT100" s="688" t="s">
        <v>2141</v>
      </c>
      <c r="AU100" s="526" t="s">
        <v>2198</v>
      </c>
      <c r="AV100" s="526" t="s">
        <v>1887</v>
      </c>
      <c r="AW100" s="628" t="s">
        <v>1859</v>
      </c>
    </row>
    <row r="101" spans="1:49" ht="89.4" customHeight="1" thickBot="1" x14ac:dyDescent="0.4">
      <c r="A101" s="223"/>
      <c r="B101" s="1390" t="s">
        <v>1031</v>
      </c>
      <c r="C101" s="1390" t="s">
        <v>1229</v>
      </c>
      <c r="D101" s="225" t="s">
        <v>58</v>
      </c>
      <c r="E101" s="188">
        <v>0.2</v>
      </c>
      <c r="F101" s="186">
        <v>1</v>
      </c>
      <c r="G101" s="134">
        <v>0</v>
      </c>
      <c r="H101" s="134">
        <v>1</v>
      </c>
      <c r="I101" s="134">
        <v>0</v>
      </c>
      <c r="J101" s="139"/>
      <c r="K101" s="139">
        <f t="shared" si="194"/>
        <v>1</v>
      </c>
      <c r="L101" s="139"/>
      <c r="M101" s="139"/>
      <c r="N101" s="139">
        <f t="shared" si="195"/>
        <v>0.2</v>
      </c>
      <c r="O101" s="139"/>
      <c r="P101" s="134"/>
      <c r="Q101" s="496">
        <v>0</v>
      </c>
      <c r="R101" s="496">
        <v>0.5</v>
      </c>
      <c r="S101" s="496">
        <v>0.5</v>
      </c>
      <c r="T101" s="496">
        <v>0</v>
      </c>
      <c r="U101" s="496">
        <v>0</v>
      </c>
      <c r="V101" s="134">
        <f t="shared" si="173"/>
        <v>1</v>
      </c>
      <c r="W101" s="134">
        <f t="shared" ref="W101:W104" si="201">+V101+P101+AB101</f>
        <v>2</v>
      </c>
      <c r="X101" s="496">
        <v>1</v>
      </c>
      <c r="Y101" s="496">
        <v>0</v>
      </c>
      <c r="Z101" s="134"/>
      <c r="AA101" s="134"/>
      <c r="AB101" s="134">
        <f t="shared" si="196"/>
        <v>1</v>
      </c>
      <c r="AC101" s="139"/>
      <c r="AD101" s="156">
        <f t="shared" si="197"/>
        <v>1</v>
      </c>
      <c r="AE101" s="156"/>
      <c r="AF101" s="156"/>
      <c r="AG101" s="156">
        <f t="shared" si="198"/>
        <v>0.2</v>
      </c>
      <c r="AH101" s="156">
        <f t="shared" si="199"/>
        <v>0</v>
      </c>
      <c r="AI101" s="156"/>
      <c r="AJ101" s="156">
        <v>1</v>
      </c>
      <c r="AK101" s="156">
        <v>1</v>
      </c>
      <c r="AL101" s="139"/>
      <c r="AM101" s="139">
        <f t="shared" ref="AM101:AM104" si="202">+AJ101*E101</f>
        <v>0.2</v>
      </c>
      <c r="AN101" s="139">
        <f t="shared" si="200"/>
        <v>0.2</v>
      </c>
      <c r="AO101" s="206" t="s">
        <v>1846</v>
      </c>
      <c r="AP101" s="543" t="s">
        <v>1913</v>
      </c>
      <c r="AQ101" s="526" t="s">
        <v>1991</v>
      </c>
      <c r="AR101" s="526" t="s">
        <v>2010</v>
      </c>
      <c r="AS101" s="688" t="s">
        <v>2107</v>
      </c>
      <c r="AT101" s="688" t="s">
        <v>2141</v>
      </c>
      <c r="AU101" s="526" t="s">
        <v>2196</v>
      </c>
      <c r="AV101" s="526" t="s">
        <v>1887</v>
      </c>
      <c r="AW101" s="526" t="s">
        <v>2294</v>
      </c>
    </row>
    <row r="102" spans="1:49" ht="83.4" customHeight="1" thickBot="1" x14ac:dyDescent="0.4">
      <c r="A102" s="223"/>
      <c r="B102" s="1390" t="s">
        <v>1032</v>
      </c>
      <c r="C102" s="1390" t="s">
        <v>1230</v>
      </c>
      <c r="D102" s="225" t="s">
        <v>58</v>
      </c>
      <c r="E102" s="188">
        <v>0.7</v>
      </c>
      <c r="F102" s="186">
        <v>8000</v>
      </c>
      <c r="G102" s="134">
        <v>2000</v>
      </c>
      <c r="H102" s="134">
        <v>2000</v>
      </c>
      <c r="I102" s="134">
        <v>2000</v>
      </c>
      <c r="J102" s="139">
        <f>+G102/F102</f>
        <v>0.25</v>
      </c>
      <c r="K102" s="139">
        <f t="shared" si="194"/>
        <v>0.25</v>
      </c>
      <c r="L102" s="139">
        <f t="shared" ref="L102:L107" si="203">+I102/F102</f>
        <v>0.25</v>
      </c>
      <c r="M102" s="139">
        <f>+(G102/F102)*E102</f>
        <v>0.17499999999999999</v>
      </c>
      <c r="N102" s="139">
        <f t="shared" si="195"/>
        <v>0.17499999999999999</v>
      </c>
      <c r="O102" s="139"/>
      <c r="P102" s="134">
        <v>2280</v>
      </c>
      <c r="Q102" s="496">
        <v>309</v>
      </c>
      <c r="R102" s="496">
        <v>926</v>
      </c>
      <c r="S102" s="496">
        <v>604</v>
      </c>
      <c r="T102" s="496">
        <v>168</v>
      </c>
      <c r="U102" s="496">
        <v>35</v>
      </c>
      <c r="V102" s="134">
        <f t="shared" si="173"/>
        <v>2042</v>
      </c>
      <c r="W102" s="134">
        <f t="shared" si="201"/>
        <v>5424</v>
      </c>
      <c r="X102" s="496">
        <v>581</v>
      </c>
      <c r="Y102" s="496">
        <v>521</v>
      </c>
      <c r="Z102" s="134"/>
      <c r="AA102" s="134"/>
      <c r="AB102" s="134">
        <f t="shared" si="196"/>
        <v>1102</v>
      </c>
      <c r="AC102" s="139">
        <v>1</v>
      </c>
      <c r="AD102" s="156">
        <v>1</v>
      </c>
      <c r="AE102" s="156">
        <f t="shared" ref="AE102:AE107" si="204">+AB102/I102</f>
        <v>0.55100000000000005</v>
      </c>
      <c r="AF102" s="156">
        <f>+AC102*E102</f>
        <v>0.7</v>
      </c>
      <c r="AG102" s="156">
        <f t="shared" si="198"/>
        <v>0.7</v>
      </c>
      <c r="AH102" s="156">
        <f t="shared" si="199"/>
        <v>0.38569999999999999</v>
      </c>
      <c r="AI102" s="156">
        <f>+P102/F102</f>
        <v>0.28499999999999998</v>
      </c>
      <c r="AJ102" s="156">
        <v>0.54025000000000001</v>
      </c>
      <c r="AK102" s="156">
        <f t="shared" ref="AK102:AK104" si="205">+W102/F102</f>
        <v>0.67800000000000005</v>
      </c>
      <c r="AL102" s="139">
        <f>+AI102*E102</f>
        <v>0.19949999999999998</v>
      </c>
      <c r="AM102" s="139">
        <f t="shared" si="202"/>
        <v>0.37817499999999998</v>
      </c>
      <c r="AN102" s="139">
        <f t="shared" si="200"/>
        <v>0.47460000000000002</v>
      </c>
      <c r="AO102" s="206" t="s">
        <v>1846</v>
      </c>
      <c r="AP102" s="526" t="s">
        <v>1886</v>
      </c>
      <c r="AQ102" s="526" t="s">
        <v>1991</v>
      </c>
      <c r="AR102" s="526" t="s">
        <v>2010</v>
      </c>
      <c r="AS102" s="688" t="s">
        <v>2107</v>
      </c>
      <c r="AT102" s="688" t="s">
        <v>2141</v>
      </c>
      <c r="AU102" s="526" t="s">
        <v>2196</v>
      </c>
      <c r="AV102" s="526" t="s">
        <v>1887</v>
      </c>
      <c r="AW102" s="628" t="s">
        <v>1859</v>
      </c>
    </row>
    <row r="103" spans="1:49" ht="99" customHeight="1" thickBot="1" x14ac:dyDescent="0.4">
      <c r="A103" s="223"/>
      <c r="B103" s="1390" t="s">
        <v>1033</v>
      </c>
      <c r="C103" s="1390" t="s">
        <v>1231</v>
      </c>
      <c r="D103" s="225" t="s">
        <v>58</v>
      </c>
      <c r="E103" s="188">
        <v>0.02</v>
      </c>
      <c r="F103" s="186">
        <v>4</v>
      </c>
      <c r="G103" s="134">
        <v>1</v>
      </c>
      <c r="H103" s="134">
        <v>1</v>
      </c>
      <c r="I103" s="134">
        <v>1</v>
      </c>
      <c r="J103" s="139">
        <f>+G103/F103</f>
        <v>0.25</v>
      </c>
      <c r="K103" s="139">
        <f t="shared" si="194"/>
        <v>0.25</v>
      </c>
      <c r="L103" s="139">
        <f>+I103/F103</f>
        <v>0.25</v>
      </c>
      <c r="M103" s="139">
        <f>+(G103/F103)*E103</f>
        <v>5.0000000000000001E-3</v>
      </c>
      <c r="N103" s="139">
        <f t="shared" si="195"/>
        <v>5.0000000000000001E-3</v>
      </c>
      <c r="O103" s="139"/>
      <c r="P103" s="134">
        <v>1</v>
      </c>
      <c r="Q103" s="496">
        <v>0</v>
      </c>
      <c r="R103" s="496">
        <v>0</v>
      </c>
      <c r="S103" s="496">
        <v>1</v>
      </c>
      <c r="T103" s="496">
        <v>0</v>
      </c>
      <c r="U103" s="496">
        <v>0</v>
      </c>
      <c r="V103" s="134">
        <f t="shared" si="173"/>
        <v>1</v>
      </c>
      <c r="W103" s="134">
        <f t="shared" si="201"/>
        <v>2</v>
      </c>
      <c r="X103" s="496">
        <v>0</v>
      </c>
      <c r="Y103" s="496">
        <v>0</v>
      </c>
      <c r="Z103" s="134"/>
      <c r="AA103" s="134"/>
      <c r="AB103" s="134">
        <f t="shared" si="196"/>
        <v>0</v>
      </c>
      <c r="AC103" s="139">
        <f>+(P103/G103)</f>
        <v>1</v>
      </c>
      <c r="AD103" s="156">
        <f t="shared" si="197"/>
        <v>1</v>
      </c>
      <c r="AE103" s="156">
        <f>+AB103/I103</f>
        <v>0</v>
      </c>
      <c r="AF103" s="156">
        <f>+AC103*E103</f>
        <v>0.02</v>
      </c>
      <c r="AG103" s="156">
        <f t="shared" si="198"/>
        <v>0.02</v>
      </c>
      <c r="AH103" s="156">
        <f t="shared" si="199"/>
        <v>0</v>
      </c>
      <c r="AI103" s="156">
        <f>+P103/F103</f>
        <v>0.25</v>
      </c>
      <c r="AJ103" s="156">
        <v>0.5</v>
      </c>
      <c r="AK103" s="156">
        <f t="shared" si="205"/>
        <v>0.5</v>
      </c>
      <c r="AL103" s="139">
        <f>+AI103*E103</f>
        <v>5.0000000000000001E-3</v>
      </c>
      <c r="AM103" s="139">
        <f t="shared" si="202"/>
        <v>0.01</v>
      </c>
      <c r="AN103" s="139">
        <f t="shared" si="200"/>
        <v>0.01</v>
      </c>
      <c r="AO103" s="206" t="s">
        <v>1846</v>
      </c>
      <c r="AP103" s="526" t="s">
        <v>1886</v>
      </c>
      <c r="AQ103" s="526" t="s">
        <v>1991</v>
      </c>
      <c r="AR103" s="526" t="s">
        <v>2010</v>
      </c>
      <c r="AS103" s="688" t="s">
        <v>2107</v>
      </c>
      <c r="AT103" s="688" t="s">
        <v>2141</v>
      </c>
      <c r="AU103" s="526" t="s">
        <v>2196</v>
      </c>
      <c r="AV103" s="526" t="s">
        <v>1887</v>
      </c>
      <c r="AW103" s="526" t="s">
        <v>2294</v>
      </c>
    </row>
    <row r="104" spans="1:49" ht="99" customHeight="1" thickBot="1" x14ac:dyDescent="0.4">
      <c r="A104" s="223"/>
      <c r="B104" s="1390" t="s">
        <v>1034</v>
      </c>
      <c r="C104" s="1390" t="s">
        <v>1232</v>
      </c>
      <c r="D104" s="225" t="s">
        <v>58</v>
      </c>
      <c r="E104" s="229">
        <v>0.02</v>
      </c>
      <c r="F104" s="186">
        <v>4</v>
      </c>
      <c r="G104" s="134">
        <v>1</v>
      </c>
      <c r="H104" s="134">
        <v>1</v>
      </c>
      <c r="I104" s="134">
        <v>1</v>
      </c>
      <c r="J104" s="139">
        <f>+G104/F104</f>
        <v>0.25</v>
      </c>
      <c r="K104" s="139">
        <f t="shared" si="194"/>
        <v>0.25</v>
      </c>
      <c r="L104" s="139">
        <f t="shared" si="203"/>
        <v>0.25</v>
      </c>
      <c r="M104" s="139">
        <f>+(G104/F104)*E104</f>
        <v>5.0000000000000001E-3</v>
      </c>
      <c r="N104" s="139">
        <f t="shared" si="195"/>
        <v>5.0000000000000001E-3</v>
      </c>
      <c r="O104" s="139"/>
      <c r="P104" s="134">
        <v>1</v>
      </c>
      <c r="Q104" s="496">
        <v>0.25</v>
      </c>
      <c r="R104" s="496">
        <v>0.25</v>
      </c>
      <c r="S104" s="496">
        <v>0.25</v>
      </c>
      <c r="T104" s="496">
        <v>0.25</v>
      </c>
      <c r="U104" s="496">
        <v>0</v>
      </c>
      <c r="V104" s="134">
        <f t="shared" si="173"/>
        <v>1</v>
      </c>
      <c r="W104" s="134">
        <f t="shared" si="201"/>
        <v>3</v>
      </c>
      <c r="X104" s="496">
        <v>1</v>
      </c>
      <c r="Y104" s="496">
        <v>0</v>
      </c>
      <c r="Z104" s="134"/>
      <c r="AA104" s="134"/>
      <c r="AB104" s="134">
        <f t="shared" si="196"/>
        <v>1</v>
      </c>
      <c r="AC104" s="139">
        <f>+(P104/G104)</f>
        <v>1</v>
      </c>
      <c r="AD104" s="156">
        <f t="shared" si="197"/>
        <v>1</v>
      </c>
      <c r="AE104" s="156">
        <f t="shared" si="204"/>
        <v>1</v>
      </c>
      <c r="AF104" s="156">
        <f>+AC104*E104</f>
        <v>0.02</v>
      </c>
      <c r="AG104" s="156">
        <f t="shared" si="198"/>
        <v>0.02</v>
      </c>
      <c r="AH104" s="156">
        <f t="shared" si="199"/>
        <v>0.02</v>
      </c>
      <c r="AI104" s="156">
        <f>+P104/F104</f>
        <v>0.25</v>
      </c>
      <c r="AJ104" s="156">
        <v>0.5</v>
      </c>
      <c r="AK104" s="156">
        <f t="shared" si="205"/>
        <v>0.75</v>
      </c>
      <c r="AL104" s="139">
        <f>+AI104*E104</f>
        <v>5.0000000000000001E-3</v>
      </c>
      <c r="AM104" s="139">
        <f t="shared" si="202"/>
        <v>0.01</v>
      </c>
      <c r="AN104" s="139">
        <f t="shared" si="200"/>
        <v>1.4999999999999999E-2</v>
      </c>
      <c r="AO104" s="206" t="s">
        <v>1846</v>
      </c>
      <c r="AP104" s="526" t="s">
        <v>1886</v>
      </c>
      <c r="AQ104" s="526" t="s">
        <v>1991</v>
      </c>
      <c r="AR104" s="526" t="s">
        <v>2010</v>
      </c>
      <c r="AS104" s="688" t="s">
        <v>2107</v>
      </c>
      <c r="AT104" s="688" t="s">
        <v>2141</v>
      </c>
      <c r="AU104" s="526" t="s">
        <v>2196</v>
      </c>
      <c r="AV104" s="526" t="s">
        <v>1887</v>
      </c>
      <c r="AW104" s="526" t="s">
        <v>2294</v>
      </c>
    </row>
    <row r="105" spans="1:49" ht="67.2" customHeight="1" thickBot="1" x14ac:dyDescent="0.4">
      <c r="A105" s="223"/>
      <c r="B105" s="1419" t="s">
        <v>1772</v>
      </c>
      <c r="C105" s="1375"/>
      <c r="D105" s="225"/>
      <c r="E105" s="231">
        <v>0.2</v>
      </c>
      <c r="F105" s="186"/>
      <c r="G105" s="127"/>
      <c r="H105" s="127"/>
      <c r="I105" s="127"/>
      <c r="J105" s="133">
        <f>+AVERAGE(J106:J108)</f>
        <v>0.30555555555555552</v>
      </c>
      <c r="K105" s="133">
        <f>+AVERAGE(K106:K108)</f>
        <v>0.33333333333333331</v>
      </c>
      <c r="L105" s="133">
        <f>+AVERAGE(L106:L108)</f>
        <v>0.25</v>
      </c>
      <c r="M105" s="133">
        <f>+M106+M107+M108</f>
        <v>0.34166666666666667</v>
      </c>
      <c r="N105" s="133">
        <f>+N106+N107+N108</f>
        <v>0.375</v>
      </c>
      <c r="O105" s="133"/>
      <c r="P105" s="132"/>
      <c r="Q105" s="132"/>
      <c r="R105" s="132"/>
      <c r="S105" s="132"/>
      <c r="T105" s="132"/>
      <c r="U105" s="839"/>
      <c r="V105" s="134"/>
      <c r="W105" s="132"/>
      <c r="X105" s="1011"/>
      <c r="Y105" s="132"/>
      <c r="Z105" s="132"/>
      <c r="AA105" s="132"/>
      <c r="AB105" s="132"/>
      <c r="AC105" s="154">
        <f>+AVERAGE(AC106:AC108)</f>
        <v>0.48266666666666663</v>
      </c>
      <c r="AD105" s="154">
        <f>+AVERAGE(AD106:AD108)</f>
        <v>1</v>
      </c>
      <c r="AE105" s="154">
        <f>+AVERAGE(AE106:AE108)</f>
        <v>0.61599999999999999</v>
      </c>
      <c r="AF105" s="154">
        <f>+(AF106+AF107+AF108)*E105</f>
        <v>5.5840000000000001E-2</v>
      </c>
      <c r="AG105" s="154">
        <f>+(AG106+AG107+AG108)*E105</f>
        <v>0.2</v>
      </c>
      <c r="AH105" s="154">
        <f>+(AH106+AH107+AH108)*E105</f>
        <v>6.9760000000000003E-2</v>
      </c>
      <c r="AI105" s="133">
        <f>+AVERAGE(AI106:AI108)</f>
        <v>0.10822222222222222</v>
      </c>
      <c r="AJ105" s="133">
        <v>0.63655555555555554</v>
      </c>
      <c r="AK105" s="133">
        <f>+AVERAGE(AK106:AK108)</f>
        <v>0.73922222222222222</v>
      </c>
      <c r="AL105" s="133">
        <f>+(AL106+AL107+AL108)*E105</f>
        <v>1.0973333333333335E-2</v>
      </c>
      <c r="AM105" s="133">
        <f>+(AM106+AM107+AM108)</f>
        <v>0.71386666666666665</v>
      </c>
      <c r="AN105" s="133">
        <f>+(AN106+AN107+AN108)</f>
        <v>0.8010666666666667</v>
      </c>
      <c r="AO105" s="127"/>
      <c r="AP105" s="127"/>
      <c r="AQ105" s="127"/>
      <c r="AR105" s="127"/>
      <c r="AS105" s="564"/>
      <c r="AT105" s="564"/>
      <c r="AU105" s="127"/>
      <c r="AV105" s="490"/>
    </row>
    <row r="106" spans="1:49" ht="90" customHeight="1" thickBot="1" x14ac:dyDescent="0.4">
      <c r="A106" s="223"/>
      <c r="B106" s="1390" t="s">
        <v>1035</v>
      </c>
      <c r="C106" s="1390" t="s">
        <v>1233</v>
      </c>
      <c r="D106" s="225" t="s">
        <v>58</v>
      </c>
      <c r="E106" s="188">
        <v>0.1</v>
      </c>
      <c r="F106" s="186">
        <v>1</v>
      </c>
      <c r="G106" s="134">
        <v>0.25</v>
      </c>
      <c r="H106" s="134">
        <v>0.25</v>
      </c>
      <c r="I106" s="134">
        <v>0.25</v>
      </c>
      <c r="J106" s="139">
        <f>+G106/F106</f>
        <v>0.25</v>
      </c>
      <c r="K106" s="139">
        <f t="shared" ref="K106:K108" si="206">+H106/F106</f>
        <v>0.25</v>
      </c>
      <c r="L106" s="139">
        <f t="shared" si="203"/>
        <v>0.25</v>
      </c>
      <c r="M106" s="139">
        <f>+(G106/F106)*E106</f>
        <v>2.5000000000000001E-2</v>
      </c>
      <c r="N106" s="139">
        <f t="shared" ref="N106:N108" si="207">+(H106/F106)*E106</f>
        <v>2.5000000000000001E-2</v>
      </c>
      <c r="O106" s="139"/>
      <c r="P106" s="134">
        <v>0.25</v>
      </c>
      <c r="Q106" s="496">
        <v>0</v>
      </c>
      <c r="R106" s="496">
        <v>0.125</v>
      </c>
      <c r="S106" s="496">
        <v>0</v>
      </c>
      <c r="T106" s="496">
        <v>0</v>
      </c>
      <c r="U106" s="496">
        <v>0.125</v>
      </c>
      <c r="V106" s="134">
        <f t="shared" si="173"/>
        <v>0.25</v>
      </c>
      <c r="W106" s="134">
        <f>+V106+P106+AB106</f>
        <v>0.62</v>
      </c>
      <c r="X106" s="496">
        <v>0</v>
      </c>
      <c r="Y106" s="496">
        <v>0.12</v>
      </c>
      <c r="Z106" s="134"/>
      <c r="AA106" s="134"/>
      <c r="AB106" s="134">
        <f>+Y106+Z106+AA106+X106</f>
        <v>0.12</v>
      </c>
      <c r="AC106" s="139">
        <f>+(P106/G106)</f>
        <v>1</v>
      </c>
      <c r="AD106" s="156">
        <f t="shared" ref="AD106" si="208">+V106/H106</f>
        <v>1</v>
      </c>
      <c r="AE106" s="156">
        <f t="shared" si="204"/>
        <v>0.48</v>
      </c>
      <c r="AF106" s="156">
        <f>+AC106*E106</f>
        <v>0.1</v>
      </c>
      <c r="AG106" s="156">
        <f t="shared" ref="AG106:AG108" si="209">+AD106*E106</f>
        <v>0.1</v>
      </c>
      <c r="AH106" s="156">
        <f>+AE106*E106</f>
        <v>4.8000000000000001E-2</v>
      </c>
      <c r="AI106" s="156">
        <f>+P106/F106</f>
        <v>0.25</v>
      </c>
      <c r="AJ106" s="156">
        <v>0.5</v>
      </c>
      <c r="AK106" s="156">
        <f t="shared" ref="AK106:AK108" si="210">+W106/F106</f>
        <v>0.62</v>
      </c>
      <c r="AL106" s="139">
        <f>+AI106*E106</f>
        <v>2.5000000000000001E-2</v>
      </c>
      <c r="AM106" s="139">
        <f>+AJ106*E106</f>
        <v>0.05</v>
      </c>
      <c r="AN106" s="139">
        <f t="shared" ref="AN106:AN108" si="211">+AK106*E106</f>
        <v>6.2E-2</v>
      </c>
      <c r="AO106" s="206" t="s">
        <v>1846</v>
      </c>
      <c r="AP106" s="526" t="s">
        <v>1886</v>
      </c>
      <c r="AQ106" s="526" t="s">
        <v>1991</v>
      </c>
      <c r="AR106" s="526" t="s">
        <v>2010</v>
      </c>
      <c r="AS106" s="688" t="s">
        <v>2107</v>
      </c>
      <c r="AT106" s="688" t="s">
        <v>2141</v>
      </c>
      <c r="AU106" s="526" t="s">
        <v>2196</v>
      </c>
      <c r="AV106" s="526" t="s">
        <v>1887</v>
      </c>
      <c r="AW106" s="526" t="s">
        <v>2294</v>
      </c>
    </row>
    <row r="107" spans="1:49" ht="94.2" customHeight="1" thickBot="1" x14ac:dyDescent="0.4">
      <c r="A107" s="223"/>
      <c r="B107" s="1390" t="s">
        <v>1036</v>
      </c>
      <c r="C107" s="1390" t="s">
        <v>1234</v>
      </c>
      <c r="D107" s="225" t="s">
        <v>58</v>
      </c>
      <c r="E107" s="188">
        <v>0.4</v>
      </c>
      <c r="F107" s="186">
        <v>3000</v>
      </c>
      <c r="G107" s="134">
        <v>500</v>
      </c>
      <c r="H107" s="134">
        <v>750</v>
      </c>
      <c r="I107" s="134">
        <v>750</v>
      </c>
      <c r="J107" s="139">
        <f>+G107/F107</f>
        <v>0.16666666666666666</v>
      </c>
      <c r="K107" s="139">
        <f t="shared" si="206"/>
        <v>0.25</v>
      </c>
      <c r="L107" s="139">
        <f t="shared" si="203"/>
        <v>0.25</v>
      </c>
      <c r="M107" s="139">
        <f>+(G107/F107)*E107</f>
        <v>6.6666666666666666E-2</v>
      </c>
      <c r="N107" s="139">
        <f t="shared" si="207"/>
        <v>0.1</v>
      </c>
      <c r="O107" s="139"/>
      <c r="P107" s="134">
        <v>224</v>
      </c>
      <c r="Q107" s="496">
        <v>162</v>
      </c>
      <c r="R107" s="496">
        <v>8</v>
      </c>
      <c r="S107" s="496">
        <v>118</v>
      </c>
      <c r="T107" s="496">
        <v>641</v>
      </c>
      <c r="U107" s="496">
        <v>76</v>
      </c>
      <c r="V107" s="134">
        <f t="shared" si="173"/>
        <v>1005</v>
      </c>
      <c r="W107" s="134">
        <f t="shared" ref="W107:W108" si="212">+V107+P107+AB107</f>
        <v>1793</v>
      </c>
      <c r="X107" s="496">
        <v>348</v>
      </c>
      <c r="Y107" s="496">
        <v>216</v>
      </c>
      <c r="Z107" s="134"/>
      <c r="AA107" s="134"/>
      <c r="AB107" s="134">
        <f>+Y107+Z107+AA107+X107</f>
        <v>564</v>
      </c>
      <c r="AC107" s="139">
        <f>+(P107/G107)</f>
        <v>0.44800000000000001</v>
      </c>
      <c r="AD107" s="156">
        <v>1</v>
      </c>
      <c r="AE107" s="156">
        <f t="shared" si="204"/>
        <v>0.752</v>
      </c>
      <c r="AF107" s="156">
        <f>+AC107*E107</f>
        <v>0.17920000000000003</v>
      </c>
      <c r="AG107" s="156">
        <f t="shared" si="209"/>
        <v>0.4</v>
      </c>
      <c r="AH107" s="156">
        <f t="shared" si="199"/>
        <v>0.30080000000000001</v>
      </c>
      <c r="AI107" s="156">
        <f>+P107/F107</f>
        <v>7.4666666666666673E-2</v>
      </c>
      <c r="AJ107" s="156">
        <v>0.40966666666666668</v>
      </c>
      <c r="AK107" s="156">
        <f t="shared" si="210"/>
        <v>0.59766666666666668</v>
      </c>
      <c r="AL107" s="139">
        <f>+AI107*E107</f>
        <v>2.986666666666667E-2</v>
      </c>
      <c r="AM107" s="139">
        <f>+AJ107*E107</f>
        <v>0.16386666666666669</v>
      </c>
      <c r="AN107" s="139">
        <f t="shared" si="211"/>
        <v>0.23906666666666668</v>
      </c>
      <c r="AO107" s="206" t="s">
        <v>1846</v>
      </c>
      <c r="AP107" s="526" t="s">
        <v>1886</v>
      </c>
      <c r="AQ107" s="526" t="s">
        <v>1991</v>
      </c>
      <c r="AR107" s="526" t="s">
        <v>2010</v>
      </c>
      <c r="AS107" s="688" t="s">
        <v>2107</v>
      </c>
      <c r="AT107" s="688" t="s">
        <v>2141</v>
      </c>
      <c r="AU107" s="526" t="s">
        <v>2196</v>
      </c>
      <c r="AV107" s="526" t="s">
        <v>1887</v>
      </c>
      <c r="AW107" s="526" t="s">
        <v>2294</v>
      </c>
    </row>
    <row r="108" spans="1:49" ht="67.2" customHeight="1" thickBot="1" x14ac:dyDescent="0.4">
      <c r="A108" s="223"/>
      <c r="B108" s="1390" t="s">
        <v>1037</v>
      </c>
      <c r="C108" s="1390" t="s">
        <v>1235</v>
      </c>
      <c r="D108" s="225" t="s">
        <v>58</v>
      </c>
      <c r="E108" s="188">
        <v>0.5</v>
      </c>
      <c r="F108" s="186">
        <v>1</v>
      </c>
      <c r="G108" s="134">
        <v>0.5</v>
      </c>
      <c r="H108" s="134">
        <v>0.5</v>
      </c>
      <c r="I108" s="134">
        <v>0</v>
      </c>
      <c r="J108" s="139">
        <f>+G108/F108</f>
        <v>0.5</v>
      </c>
      <c r="K108" s="139">
        <f t="shared" si="206"/>
        <v>0.5</v>
      </c>
      <c r="L108" s="139"/>
      <c r="M108" s="139">
        <f>+(G108/F108)*E108</f>
        <v>0.25</v>
      </c>
      <c r="N108" s="139">
        <f t="shared" si="207"/>
        <v>0.25</v>
      </c>
      <c r="O108" s="139"/>
      <c r="P108" s="134">
        <v>0</v>
      </c>
      <c r="Q108" s="496">
        <v>0</v>
      </c>
      <c r="R108" s="496">
        <v>0</v>
      </c>
      <c r="S108" s="496">
        <v>0</v>
      </c>
      <c r="T108" s="496">
        <v>1</v>
      </c>
      <c r="U108" s="496">
        <v>0</v>
      </c>
      <c r="V108" s="134">
        <f t="shared" si="173"/>
        <v>1</v>
      </c>
      <c r="W108" s="134">
        <f t="shared" si="212"/>
        <v>1</v>
      </c>
      <c r="X108" s="496">
        <v>0</v>
      </c>
      <c r="Y108" s="496">
        <v>0</v>
      </c>
      <c r="Z108" s="134"/>
      <c r="AA108" s="134"/>
      <c r="AB108" s="134">
        <f>+Y108+Z108+AA108+X108</f>
        <v>0</v>
      </c>
      <c r="AC108" s="139">
        <f>+(P108/G108)</f>
        <v>0</v>
      </c>
      <c r="AD108" s="156">
        <v>1</v>
      </c>
      <c r="AE108" s="156"/>
      <c r="AF108" s="156">
        <f>+AC108*E108</f>
        <v>0</v>
      </c>
      <c r="AG108" s="156">
        <f t="shared" si="209"/>
        <v>0.5</v>
      </c>
      <c r="AH108" s="156">
        <f t="shared" si="199"/>
        <v>0</v>
      </c>
      <c r="AI108" s="156">
        <f>+P108/F108</f>
        <v>0</v>
      </c>
      <c r="AJ108" s="156">
        <v>1</v>
      </c>
      <c r="AK108" s="156">
        <f t="shared" si="210"/>
        <v>1</v>
      </c>
      <c r="AL108" s="139">
        <f>+AI108*E108</f>
        <v>0</v>
      </c>
      <c r="AM108" s="139">
        <f>+AJ108*E108</f>
        <v>0.5</v>
      </c>
      <c r="AN108" s="139">
        <f t="shared" si="211"/>
        <v>0.5</v>
      </c>
      <c r="AO108" s="206" t="s">
        <v>1846</v>
      </c>
      <c r="AP108" s="526" t="s">
        <v>1886</v>
      </c>
      <c r="AQ108" s="526" t="s">
        <v>1991</v>
      </c>
      <c r="AR108" s="526" t="s">
        <v>2010</v>
      </c>
      <c r="AS108" s="688" t="s">
        <v>2107</v>
      </c>
      <c r="AT108" s="688" t="s">
        <v>2156</v>
      </c>
      <c r="AU108" s="526" t="s">
        <v>2196</v>
      </c>
      <c r="AV108" s="526" t="s">
        <v>1887</v>
      </c>
      <c r="AW108" s="526" t="s">
        <v>2294</v>
      </c>
    </row>
    <row r="109" spans="1:49" ht="67.2" customHeight="1" thickBot="1" x14ac:dyDescent="0.4">
      <c r="A109" s="223"/>
      <c r="B109" s="1420" t="s">
        <v>1832</v>
      </c>
      <c r="C109" s="1375"/>
      <c r="D109" s="225"/>
      <c r="E109" s="194">
        <v>0.2</v>
      </c>
      <c r="F109" s="226">
        <f>E109*AF109</f>
        <v>0.15047200000000005</v>
      </c>
      <c r="G109" s="127"/>
      <c r="H109" s="226">
        <f>+E109*AG109</f>
        <v>0.14340000000000003</v>
      </c>
      <c r="I109" s="226">
        <f>+E109*AH109</f>
        <v>8.5187702882483382E-2</v>
      </c>
      <c r="J109" s="125">
        <f>+(J110+J116+J123+J131+J134+J139)/6</f>
        <v>0.24594907407407407</v>
      </c>
      <c r="K109" s="125">
        <f>+(K110+K116+K123+K131+K134+K139)/6</f>
        <v>0.29876710128495843</v>
      </c>
      <c r="L109" s="125">
        <f>+(L110+L116+L123+L131+L134+L139)/6</f>
        <v>0.35785383597883591</v>
      </c>
      <c r="M109" s="126">
        <f>+(M110+M116+M123+M131+M134+M139)/6</f>
        <v>0.20215277777777776</v>
      </c>
      <c r="N109" s="126">
        <f>+(N110+N116+N123+N131+N134+N139)/6</f>
        <v>0.28790873015873014</v>
      </c>
      <c r="O109" s="126"/>
      <c r="P109" s="127"/>
      <c r="Q109" s="127"/>
      <c r="R109" s="127"/>
      <c r="S109" s="127"/>
      <c r="T109" s="127"/>
      <c r="U109" s="176"/>
      <c r="V109" s="819"/>
      <c r="W109" s="127"/>
      <c r="X109" s="127"/>
      <c r="Y109" s="127"/>
      <c r="Z109" s="127"/>
      <c r="AA109" s="127"/>
      <c r="AB109" s="127"/>
      <c r="AC109" s="125">
        <f>+(AC110+AC116+AC123+AC131+AC134+AC139)/6</f>
        <v>0.92183333333333339</v>
      </c>
      <c r="AD109" s="125">
        <f>+(AD110+AD116+AD123+AD131+AD134+AD139)/6</f>
        <v>0.87160846560846561</v>
      </c>
      <c r="AE109" s="125">
        <f>+(AE110+AE116+AE123+AE131+AE134+AE139)/6</f>
        <v>0.42924401389035544</v>
      </c>
      <c r="AF109" s="126">
        <f>+AF110+AF116+AF123+AF131+AF134+AF139</f>
        <v>0.75236000000000014</v>
      </c>
      <c r="AG109" s="126">
        <f>+AG110+AG116+AG123+AG131+AG134+AG139</f>
        <v>0.71700000000000008</v>
      </c>
      <c r="AH109" s="126">
        <f>+AH110+AH116+AH123+AH131+AH134+AH139</f>
        <v>0.42593851441241687</v>
      </c>
      <c r="AI109" s="125">
        <f>(AI110+AI116+AI123+AI131+AI134+AI139)/6</f>
        <v>0.20931944444444447</v>
      </c>
      <c r="AJ109" s="994">
        <v>0.56069755291005297</v>
      </c>
      <c r="AK109" s="994">
        <f>(AK110+AK116+AK123+AK131+AK134+AK139)/6</f>
        <v>0.65596292688792679</v>
      </c>
      <c r="AL109" s="227">
        <f>(AL110+AL116+AL123+AL131+AL134+AL139)</f>
        <v>0.18588916666666666</v>
      </c>
      <c r="AM109" s="227">
        <f>(AM110*E110+AM116*E116+AM123*E123+AM131*E131+AM134*E134+AM139*E139)</f>
        <v>0.49863416666666671</v>
      </c>
      <c r="AN109" s="227">
        <f>(AN110*E110+AN116*E116+AN123*E123+AN131*E131+AN134*E134+AN139*E139)</f>
        <v>0.62322590909090914</v>
      </c>
      <c r="AO109" s="127"/>
      <c r="AP109" s="127"/>
      <c r="AQ109" s="127"/>
      <c r="AR109" s="127"/>
      <c r="AS109" s="564"/>
      <c r="AT109" s="564"/>
      <c r="AU109" s="127"/>
      <c r="AV109" s="490"/>
    </row>
    <row r="110" spans="1:49" ht="67.2" customHeight="1" thickBot="1" x14ac:dyDescent="0.4">
      <c r="A110" s="223"/>
      <c r="B110" s="1419" t="s">
        <v>1773</v>
      </c>
      <c r="C110" s="1375"/>
      <c r="D110" s="225"/>
      <c r="E110" s="192">
        <v>0.2</v>
      </c>
      <c r="F110" s="177"/>
      <c r="G110" s="127"/>
      <c r="H110" s="127"/>
      <c r="I110" s="127"/>
      <c r="J110" s="133">
        <f>+AVERAGE(J111:J115)</f>
        <v>0.20833333333333331</v>
      </c>
      <c r="K110" s="133">
        <f>+AVERAGE(K111:K115)</f>
        <v>0.29833333333333334</v>
      </c>
      <c r="L110" s="133">
        <f>+AVERAGE(L111:L115)</f>
        <v>0.55000000000000004</v>
      </c>
      <c r="M110" s="133">
        <f>+M111+M112+M113+M114+M115</f>
        <v>0.10833333333333334</v>
      </c>
      <c r="N110" s="133">
        <f>+N111+N112+N113+N114+N115</f>
        <v>0.24833333333333332</v>
      </c>
      <c r="O110" s="133"/>
      <c r="P110" s="132"/>
      <c r="Q110" s="132"/>
      <c r="R110" s="132"/>
      <c r="S110" s="132"/>
      <c r="T110" s="132"/>
      <c r="U110" s="839"/>
      <c r="V110" s="134"/>
      <c r="W110" s="132"/>
      <c r="X110" s="132"/>
      <c r="Y110" s="132"/>
      <c r="Z110" s="132"/>
      <c r="AA110" s="132"/>
      <c r="AB110" s="132"/>
      <c r="AC110" s="154">
        <f>+AVERAGE(AC111:AC115)</f>
        <v>1</v>
      </c>
      <c r="AD110" s="154">
        <f>+AVERAGE(AD111:AD115)</f>
        <v>0.98000000000000009</v>
      </c>
      <c r="AE110" s="154">
        <f>+AVERAGE(AE111:AE115)</f>
        <v>0.6272727272727272</v>
      </c>
      <c r="AF110" s="154">
        <f>+(AF111+AF112+AF113+AF114+AF115)*E110</f>
        <v>0.11000000000000001</v>
      </c>
      <c r="AG110" s="154">
        <f>+(AG111+AG112+AG113+AG114+AG115)*E110</f>
        <v>0.19900000000000001</v>
      </c>
      <c r="AH110" s="154">
        <f>+(AH111+AH112+AH113+AH114+AH115)*E110</f>
        <v>0.13636363636363638</v>
      </c>
      <c r="AI110" s="133">
        <f>+AVERAGE(AI111:AI115)</f>
        <v>0.18888888888888888</v>
      </c>
      <c r="AJ110" s="133">
        <v>0.82333333333333347</v>
      </c>
      <c r="AK110" s="133">
        <f>+AVERAGE(AK111:AK115)</f>
        <v>0.96</v>
      </c>
      <c r="AL110" s="133">
        <f>+(AL111+AL113+AL114+AL115)*E110</f>
        <v>2.7666666666666669E-2</v>
      </c>
      <c r="AM110" s="133">
        <f>+(AM111+AM113+AM114+AM115)</f>
        <v>0.51416666666666666</v>
      </c>
      <c r="AN110" s="133">
        <f>+(AN111+AN113+AN114+AN115)</f>
        <v>0.79</v>
      </c>
      <c r="AO110" s="127"/>
      <c r="AP110" s="127"/>
      <c r="AQ110" s="127"/>
      <c r="AR110" s="127"/>
      <c r="AS110" s="564"/>
      <c r="AT110" s="564"/>
      <c r="AU110" s="127"/>
      <c r="AV110" s="490"/>
    </row>
    <row r="111" spans="1:49" ht="67.2" customHeight="1" thickBot="1" x14ac:dyDescent="0.4">
      <c r="A111" s="223"/>
      <c r="B111" s="1390" t="s">
        <v>1038</v>
      </c>
      <c r="C111" s="1390" t="s">
        <v>1236</v>
      </c>
      <c r="D111" s="225" t="s">
        <v>560</v>
      </c>
      <c r="E111" s="188">
        <v>0.2</v>
      </c>
      <c r="F111" s="186">
        <v>4</v>
      </c>
      <c r="G111" s="134">
        <v>0</v>
      </c>
      <c r="H111" s="134">
        <v>1</v>
      </c>
      <c r="I111" s="134">
        <v>1</v>
      </c>
      <c r="J111" s="139"/>
      <c r="K111" s="139">
        <f t="shared" ref="K111:K115" si="213">+H111/F111</f>
        <v>0.25</v>
      </c>
      <c r="L111" s="139"/>
      <c r="M111" s="139">
        <v>0</v>
      </c>
      <c r="N111" s="139">
        <f t="shared" ref="N111:N115" si="214">+(H111/F111)*E111</f>
        <v>0.05</v>
      </c>
      <c r="O111" s="139"/>
      <c r="P111" s="195"/>
      <c r="Q111" s="496">
        <v>1</v>
      </c>
      <c r="R111" s="496">
        <v>0</v>
      </c>
      <c r="S111" s="496">
        <v>4</v>
      </c>
      <c r="T111" s="496">
        <v>0</v>
      </c>
      <c r="U111" s="496">
        <v>0</v>
      </c>
      <c r="V111" s="195">
        <f t="shared" si="173"/>
        <v>5</v>
      </c>
      <c r="W111" s="195">
        <f>+V111+P111+AB111</f>
        <v>5</v>
      </c>
      <c r="X111" s="496">
        <v>0</v>
      </c>
      <c r="Y111" s="496">
        <v>0</v>
      </c>
      <c r="Z111" s="195"/>
      <c r="AA111" s="195"/>
      <c r="AB111" s="195">
        <f t="shared" ref="AB111:AB115" si="215">+X111+Y111+Z111+AA111</f>
        <v>0</v>
      </c>
      <c r="AC111" s="139"/>
      <c r="AD111" s="156">
        <v>1</v>
      </c>
      <c r="AE111" s="156">
        <f t="shared" ref="AE111:AE115" si="216">+AB111/I111</f>
        <v>0</v>
      </c>
      <c r="AF111" s="156"/>
      <c r="AG111" s="156">
        <f t="shared" ref="AG111:AG115" si="217">+AD111*E111</f>
        <v>0.2</v>
      </c>
      <c r="AH111" s="156">
        <f t="shared" ref="AH111:AH115" si="218">+AE111*E111</f>
        <v>0</v>
      </c>
      <c r="AI111" s="156"/>
      <c r="AJ111" s="156">
        <v>1</v>
      </c>
      <c r="AK111" s="156">
        <v>1</v>
      </c>
      <c r="AL111" s="139">
        <v>0</v>
      </c>
      <c r="AM111" s="201">
        <v>0</v>
      </c>
      <c r="AN111" s="201">
        <f>+AK111*E111</f>
        <v>0.2</v>
      </c>
      <c r="AO111" s="143" t="s">
        <v>1844</v>
      </c>
      <c r="AP111" s="526" t="s">
        <v>1886</v>
      </c>
      <c r="AQ111" s="526" t="s">
        <v>1991</v>
      </c>
      <c r="AR111" s="526" t="s">
        <v>2010</v>
      </c>
      <c r="AS111" s="688" t="s">
        <v>2117</v>
      </c>
      <c r="AT111" s="688" t="s">
        <v>2141</v>
      </c>
      <c r="AU111" s="526" t="s">
        <v>2196</v>
      </c>
      <c r="AV111" s="526" t="s">
        <v>1887</v>
      </c>
      <c r="AW111" s="781" t="s">
        <v>1859</v>
      </c>
    </row>
    <row r="112" spans="1:49" ht="67.2" customHeight="1" thickBot="1" x14ac:dyDescent="0.4">
      <c r="A112" s="223"/>
      <c r="B112" s="1390" t="s">
        <v>1039</v>
      </c>
      <c r="C112" s="1390" t="s">
        <v>1237</v>
      </c>
      <c r="D112" s="225" t="s">
        <v>560</v>
      </c>
      <c r="E112" s="188">
        <v>0.2</v>
      </c>
      <c r="F112" s="186">
        <v>6</v>
      </c>
      <c r="G112" s="134">
        <v>0</v>
      </c>
      <c r="H112" s="134">
        <v>3</v>
      </c>
      <c r="I112" s="134">
        <v>2</v>
      </c>
      <c r="J112" s="139"/>
      <c r="K112" s="139">
        <f t="shared" si="213"/>
        <v>0.5</v>
      </c>
      <c r="L112" s="139"/>
      <c r="M112" s="139">
        <v>0</v>
      </c>
      <c r="N112" s="139">
        <f t="shared" si="214"/>
        <v>0.1</v>
      </c>
      <c r="O112" s="139"/>
      <c r="P112" s="195"/>
      <c r="Q112" s="496">
        <v>3</v>
      </c>
      <c r="R112" s="496">
        <v>0</v>
      </c>
      <c r="S112" s="496">
        <v>0</v>
      </c>
      <c r="T112" s="496">
        <v>2</v>
      </c>
      <c r="U112" s="496"/>
      <c r="V112" s="195">
        <f t="shared" si="173"/>
        <v>5</v>
      </c>
      <c r="W112" s="195">
        <f t="shared" ref="W112:W140" si="219">+V112+P112+AB112</f>
        <v>12</v>
      </c>
      <c r="X112" s="496">
        <v>1</v>
      </c>
      <c r="Y112" s="496">
        <v>6</v>
      </c>
      <c r="Z112" s="195"/>
      <c r="AA112" s="195"/>
      <c r="AB112" s="195">
        <f t="shared" si="215"/>
        <v>7</v>
      </c>
      <c r="AC112" s="139"/>
      <c r="AD112" s="156">
        <v>1</v>
      </c>
      <c r="AE112" s="156">
        <v>1</v>
      </c>
      <c r="AF112" s="156"/>
      <c r="AG112" s="156">
        <f t="shared" si="217"/>
        <v>0.2</v>
      </c>
      <c r="AH112" s="156">
        <f t="shared" si="218"/>
        <v>0.2</v>
      </c>
      <c r="AI112" s="156"/>
      <c r="AJ112" s="156">
        <v>0.83333333333333337</v>
      </c>
      <c r="AK112" s="156">
        <v>1</v>
      </c>
      <c r="AL112" s="139">
        <v>0</v>
      </c>
      <c r="AM112" s="201">
        <v>0</v>
      </c>
      <c r="AN112" s="201">
        <f>+AK112*E112</f>
        <v>0.2</v>
      </c>
      <c r="AO112" s="143" t="s">
        <v>1844</v>
      </c>
      <c r="AP112" s="526" t="s">
        <v>1886</v>
      </c>
      <c r="AQ112" s="526" t="s">
        <v>1991</v>
      </c>
      <c r="AR112" s="526" t="s">
        <v>2010</v>
      </c>
      <c r="AS112" s="688" t="s">
        <v>2117</v>
      </c>
      <c r="AT112" s="688" t="s">
        <v>2141</v>
      </c>
      <c r="AU112" s="526" t="s">
        <v>2196</v>
      </c>
      <c r="AV112" s="628" t="s">
        <v>2258</v>
      </c>
      <c r="AW112" s="526" t="s">
        <v>2294</v>
      </c>
    </row>
    <row r="113" spans="1:49" ht="67.2" customHeight="1" thickBot="1" x14ac:dyDescent="0.4">
      <c r="A113" s="223"/>
      <c r="B113" s="1390" t="s">
        <v>1040</v>
      </c>
      <c r="C113" s="1390" t="s">
        <v>1238</v>
      </c>
      <c r="D113" s="225" t="s">
        <v>560</v>
      </c>
      <c r="E113" s="188">
        <v>0.35</v>
      </c>
      <c r="F113" s="186">
        <v>6</v>
      </c>
      <c r="G113" s="134">
        <v>1</v>
      </c>
      <c r="H113" s="134">
        <v>1</v>
      </c>
      <c r="I113" s="134">
        <v>2</v>
      </c>
      <c r="J113" s="139">
        <f>+G113/F113</f>
        <v>0.16666666666666666</v>
      </c>
      <c r="K113" s="139">
        <f t="shared" si="213"/>
        <v>0.16666666666666666</v>
      </c>
      <c r="L113" s="139"/>
      <c r="M113" s="139">
        <f>+(G113/F113)*E113</f>
        <v>5.8333333333333327E-2</v>
      </c>
      <c r="N113" s="139">
        <f t="shared" si="214"/>
        <v>5.8333333333333327E-2</v>
      </c>
      <c r="O113" s="139"/>
      <c r="P113" s="195">
        <v>1</v>
      </c>
      <c r="Q113" s="496">
        <v>1</v>
      </c>
      <c r="R113" s="496">
        <v>0</v>
      </c>
      <c r="S113" s="496">
        <v>3</v>
      </c>
      <c r="T113" s="496">
        <v>0</v>
      </c>
      <c r="U113" s="496">
        <v>0</v>
      </c>
      <c r="V113" s="195">
        <f t="shared" si="173"/>
        <v>4</v>
      </c>
      <c r="W113" s="195">
        <f t="shared" si="219"/>
        <v>19.5</v>
      </c>
      <c r="X113" s="496">
        <v>7</v>
      </c>
      <c r="Y113" s="496">
        <v>7.5</v>
      </c>
      <c r="Z113" s="195"/>
      <c r="AA113" s="195"/>
      <c r="AB113" s="195">
        <f t="shared" si="215"/>
        <v>14.5</v>
      </c>
      <c r="AC113" s="139">
        <v>1</v>
      </c>
      <c r="AD113" s="156">
        <v>1</v>
      </c>
      <c r="AE113" s="156">
        <v>1</v>
      </c>
      <c r="AF113" s="156">
        <f>+AC113*E113</f>
        <v>0.35</v>
      </c>
      <c r="AG113" s="156">
        <f t="shared" si="217"/>
        <v>0.35</v>
      </c>
      <c r="AH113" s="156">
        <f t="shared" si="218"/>
        <v>0.35</v>
      </c>
      <c r="AI113" s="156">
        <f>+P113/F113</f>
        <v>0.16666666666666666</v>
      </c>
      <c r="AJ113" s="156">
        <v>0.83333333333333337</v>
      </c>
      <c r="AK113" s="156">
        <v>1</v>
      </c>
      <c r="AL113" s="139">
        <f>+AI113*E113</f>
        <v>5.8333333333333327E-2</v>
      </c>
      <c r="AM113" s="139">
        <f>+AJ113*E113</f>
        <v>0.29166666666666669</v>
      </c>
      <c r="AN113" s="139">
        <f t="shared" ref="AN113:AN115" si="220">+AK113*E113</f>
        <v>0.35</v>
      </c>
      <c r="AO113" s="143" t="s">
        <v>1844</v>
      </c>
      <c r="AP113" s="526" t="s">
        <v>1886</v>
      </c>
      <c r="AQ113" s="526" t="s">
        <v>1991</v>
      </c>
      <c r="AR113" s="526" t="s">
        <v>2010</v>
      </c>
      <c r="AS113" s="688" t="s">
        <v>2107</v>
      </c>
      <c r="AT113" s="688" t="s">
        <v>2141</v>
      </c>
      <c r="AU113" s="526" t="s">
        <v>2196</v>
      </c>
      <c r="AV113" s="781" t="s">
        <v>1859</v>
      </c>
      <c r="AW113" s="526" t="s">
        <v>2294</v>
      </c>
    </row>
    <row r="114" spans="1:49" ht="67.2" customHeight="1" thickBot="1" x14ac:dyDescent="0.4">
      <c r="A114" s="223"/>
      <c r="B114" s="1390" t="s">
        <v>1041</v>
      </c>
      <c r="C114" s="1390" t="s">
        <v>1239</v>
      </c>
      <c r="D114" s="225" t="s">
        <v>560</v>
      </c>
      <c r="E114" s="188">
        <v>0.2</v>
      </c>
      <c r="F114" s="186">
        <v>40</v>
      </c>
      <c r="G114" s="134">
        <v>10</v>
      </c>
      <c r="H114" s="134">
        <v>3</v>
      </c>
      <c r="I114" s="134">
        <v>2</v>
      </c>
      <c r="J114" s="139">
        <f>+G114/F114</f>
        <v>0.25</v>
      </c>
      <c r="K114" s="139">
        <f t="shared" si="213"/>
        <v>7.4999999999999997E-2</v>
      </c>
      <c r="L114" s="139"/>
      <c r="M114" s="139">
        <f>+(G114/F114)*E114</f>
        <v>0.05</v>
      </c>
      <c r="N114" s="139">
        <f t="shared" si="214"/>
        <v>1.4999999999999999E-2</v>
      </c>
      <c r="O114" s="139"/>
      <c r="P114" s="195">
        <v>16</v>
      </c>
      <c r="Q114" s="496">
        <v>0</v>
      </c>
      <c r="R114" s="496">
        <v>3</v>
      </c>
      <c r="S114" s="496">
        <v>0</v>
      </c>
      <c r="T114" s="496">
        <v>35</v>
      </c>
      <c r="U114" s="496">
        <v>6</v>
      </c>
      <c r="V114" s="195">
        <f t="shared" si="173"/>
        <v>44</v>
      </c>
      <c r="W114" s="195">
        <f t="shared" si="219"/>
        <v>61</v>
      </c>
      <c r="X114" s="496">
        <v>1</v>
      </c>
      <c r="Y114" s="496">
        <v>0</v>
      </c>
      <c r="Z114" s="195"/>
      <c r="AA114" s="195"/>
      <c r="AB114" s="195">
        <f t="shared" si="215"/>
        <v>1</v>
      </c>
      <c r="AC114" s="139">
        <v>1</v>
      </c>
      <c r="AD114" s="156">
        <v>1</v>
      </c>
      <c r="AE114" s="156">
        <f t="shared" si="216"/>
        <v>0.5</v>
      </c>
      <c r="AF114" s="156">
        <f>+AC114*E114</f>
        <v>0.2</v>
      </c>
      <c r="AG114" s="156">
        <f t="shared" si="217"/>
        <v>0.2</v>
      </c>
      <c r="AH114" s="156">
        <f t="shared" si="218"/>
        <v>0.1</v>
      </c>
      <c r="AI114" s="156">
        <f>+P114/F114</f>
        <v>0.4</v>
      </c>
      <c r="AJ114" s="156">
        <v>1</v>
      </c>
      <c r="AK114" s="156">
        <v>1</v>
      </c>
      <c r="AL114" s="139">
        <f>+AI114*E114</f>
        <v>8.0000000000000016E-2</v>
      </c>
      <c r="AM114" s="139">
        <f>+AJ114*E114</f>
        <v>0.2</v>
      </c>
      <c r="AN114" s="139">
        <f t="shared" si="220"/>
        <v>0.2</v>
      </c>
      <c r="AO114" s="143" t="s">
        <v>1844</v>
      </c>
      <c r="AP114" s="526" t="s">
        <v>1886</v>
      </c>
      <c r="AQ114" s="526" t="s">
        <v>1991</v>
      </c>
      <c r="AR114" s="526" t="s">
        <v>1588</v>
      </c>
      <c r="AS114" s="688" t="s">
        <v>2107</v>
      </c>
      <c r="AT114" s="688" t="s">
        <v>2141</v>
      </c>
      <c r="AU114" s="526" t="s">
        <v>2196</v>
      </c>
      <c r="AV114" s="781" t="s">
        <v>1859</v>
      </c>
      <c r="AW114" s="526" t="s">
        <v>2294</v>
      </c>
    </row>
    <row r="115" spans="1:49" ht="67.2" customHeight="1" thickBot="1" x14ac:dyDescent="0.4">
      <c r="A115" s="223"/>
      <c r="B115" s="1390" t="s">
        <v>1042</v>
      </c>
      <c r="C115" s="1390" t="s">
        <v>1240</v>
      </c>
      <c r="D115" s="225" t="s">
        <v>560</v>
      </c>
      <c r="E115" s="188">
        <v>0.05</v>
      </c>
      <c r="F115" s="186">
        <v>1</v>
      </c>
      <c r="G115" s="134">
        <v>0</v>
      </c>
      <c r="H115" s="134">
        <v>0.5</v>
      </c>
      <c r="I115" s="134">
        <v>0.55000000000000004</v>
      </c>
      <c r="J115" s="139"/>
      <c r="K115" s="139">
        <f t="shared" si="213"/>
        <v>0.5</v>
      </c>
      <c r="L115" s="139">
        <f t="shared" ref="L115" si="221">+I115/F115</f>
        <v>0.55000000000000004</v>
      </c>
      <c r="M115" s="139"/>
      <c r="N115" s="139">
        <f t="shared" si="214"/>
        <v>2.5000000000000001E-2</v>
      </c>
      <c r="O115" s="139"/>
      <c r="P115" s="134"/>
      <c r="Q115" s="496">
        <v>0</v>
      </c>
      <c r="R115" s="496">
        <v>0.1</v>
      </c>
      <c r="S115" s="496">
        <v>0.15</v>
      </c>
      <c r="T115" s="496">
        <v>0.15</v>
      </c>
      <c r="U115" s="496">
        <v>0.05</v>
      </c>
      <c r="V115" s="134">
        <f t="shared" si="173"/>
        <v>0.45</v>
      </c>
      <c r="W115" s="200">
        <f t="shared" si="219"/>
        <v>0.8</v>
      </c>
      <c r="X115" s="496">
        <v>0.05</v>
      </c>
      <c r="Y115" s="496">
        <v>0.3</v>
      </c>
      <c r="Z115" s="134"/>
      <c r="AA115" s="134"/>
      <c r="AB115" s="134">
        <f t="shared" si="215"/>
        <v>0.35</v>
      </c>
      <c r="AC115" s="139"/>
      <c r="AD115" s="156">
        <f t="shared" ref="AD115" si="222">+V115/H115</f>
        <v>0.9</v>
      </c>
      <c r="AE115" s="156">
        <f t="shared" si="216"/>
        <v>0.63636363636363624</v>
      </c>
      <c r="AF115" s="156"/>
      <c r="AG115" s="156">
        <f t="shared" si="217"/>
        <v>4.5000000000000005E-2</v>
      </c>
      <c r="AH115" s="156">
        <f t="shared" si="218"/>
        <v>3.1818181818181815E-2</v>
      </c>
      <c r="AI115" s="697">
        <v>0</v>
      </c>
      <c r="AJ115" s="697">
        <v>0.45</v>
      </c>
      <c r="AK115" s="697">
        <f t="shared" ref="AK115" si="223">+W115/F115</f>
        <v>0.8</v>
      </c>
      <c r="AL115" s="139">
        <v>0</v>
      </c>
      <c r="AM115" s="139">
        <f>+AJ115*E115</f>
        <v>2.2500000000000003E-2</v>
      </c>
      <c r="AN115" s="139">
        <f t="shared" si="220"/>
        <v>4.0000000000000008E-2</v>
      </c>
      <c r="AO115" s="143" t="s">
        <v>1844</v>
      </c>
      <c r="AP115" s="526" t="s">
        <v>1886</v>
      </c>
      <c r="AQ115" s="526" t="s">
        <v>1991</v>
      </c>
      <c r="AR115" s="526" t="s">
        <v>2010</v>
      </c>
      <c r="AS115" s="683" t="s">
        <v>2092</v>
      </c>
      <c r="AT115" s="688" t="s">
        <v>2141</v>
      </c>
      <c r="AU115" s="526" t="s">
        <v>2196</v>
      </c>
      <c r="AV115" s="526" t="s">
        <v>1887</v>
      </c>
      <c r="AW115" s="526" t="s">
        <v>2294</v>
      </c>
    </row>
    <row r="116" spans="1:49" ht="67.2" customHeight="1" thickBot="1" x14ac:dyDescent="0.4">
      <c r="A116" s="223"/>
      <c r="B116" s="1419" t="s">
        <v>1774</v>
      </c>
      <c r="C116" s="1375"/>
      <c r="D116" s="225"/>
      <c r="E116" s="192">
        <v>0.2</v>
      </c>
      <c r="F116" s="177"/>
      <c r="G116" s="127"/>
      <c r="H116" s="127"/>
      <c r="I116" s="127"/>
      <c r="J116" s="133">
        <f>+AVERAGE(J117:J122)</f>
        <v>0.19999999999999998</v>
      </c>
      <c r="K116" s="133">
        <f>+AVERAGE(K117:K122)</f>
        <v>0.28150000000000003</v>
      </c>
      <c r="L116" s="133">
        <f>+AVERAGE(L117:L122)</f>
        <v>0.26666666666666666</v>
      </c>
      <c r="M116" s="133">
        <f>+M117+M118+M119+M120+M121+M122</f>
        <v>0.17499999999999999</v>
      </c>
      <c r="N116" s="133">
        <f>+N117+N118+N119+N120+N121+N122</f>
        <v>0.28525</v>
      </c>
      <c r="O116" s="133"/>
      <c r="P116" s="132"/>
      <c r="Q116" s="132"/>
      <c r="R116" s="132"/>
      <c r="S116" s="132"/>
      <c r="T116" s="132"/>
      <c r="U116" s="839"/>
      <c r="V116" s="134"/>
      <c r="W116" s="195"/>
      <c r="X116" s="132"/>
      <c r="Y116" s="132"/>
      <c r="Z116" s="132"/>
      <c r="AA116" s="132"/>
      <c r="AB116" s="132"/>
      <c r="AC116" s="154">
        <f>+AVERAGE(AC117:AC122)</f>
        <v>0.90600000000000003</v>
      </c>
      <c r="AD116" s="154">
        <f>+AVERAGE(AD117:AD122)</f>
        <v>1</v>
      </c>
      <c r="AE116" s="154">
        <f>+AVERAGE(AE117:AE122)</f>
        <v>0.43181818181818182</v>
      </c>
      <c r="AF116" s="154">
        <f>+(AF117+AF118+AF119+AF120+AF121+AF122)*E116</f>
        <v>0.18236000000000002</v>
      </c>
      <c r="AG116" s="154">
        <f>+(AG117+AG118+AG119+AG120+AG121+AG122)*E116</f>
        <v>0.2</v>
      </c>
      <c r="AH116" s="154">
        <f>+(AH117+AH118+AH119+AH120+AH121+AH122)*E116</f>
        <v>7.1363636363636365E-2</v>
      </c>
      <c r="AI116" s="133">
        <f>+AVERAGE(AI117:AI122)</f>
        <v>0.18400000000000002</v>
      </c>
      <c r="AJ116" s="133">
        <v>0.53839166666666671</v>
      </c>
      <c r="AK116" s="133">
        <f>+AVERAGE(AK117:AK122)</f>
        <v>0.57009621212121209</v>
      </c>
      <c r="AL116" s="133">
        <f>+(AL117+AL118+AL119+AL120+AL121+AL122)*E116</f>
        <v>3.2840000000000001E-2</v>
      </c>
      <c r="AM116" s="133">
        <f>+(AM117+AM118+AM119+AM120+AM121+AM122)</f>
        <v>0.54608749999999995</v>
      </c>
      <c r="AN116" s="133">
        <f>+(AN117+AN118+AN119+AN120+AN121+AN122)</f>
        <v>0.53341704545454549</v>
      </c>
      <c r="AO116" s="127"/>
      <c r="AP116" s="127"/>
      <c r="AQ116" s="127"/>
      <c r="AR116" s="127"/>
      <c r="AS116" s="564"/>
      <c r="AT116" s="564"/>
      <c r="AU116" s="127"/>
      <c r="AV116" s="490"/>
    </row>
    <row r="117" spans="1:49" ht="67.2" customHeight="1" thickBot="1" x14ac:dyDescent="0.4">
      <c r="A117" s="223"/>
      <c r="B117" s="1390" t="s">
        <v>1043</v>
      </c>
      <c r="C117" s="1390" t="s">
        <v>1241</v>
      </c>
      <c r="D117" s="225" t="s">
        <v>560</v>
      </c>
      <c r="E117" s="188">
        <v>0.05</v>
      </c>
      <c r="F117" s="186">
        <v>1</v>
      </c>
      <c r="G117" s="195">
        <v>0.25</v>
      </c>
      <c r="H117" s="195">
        <v>0.3</v>
      </c>
      <c r="I117" s="195">
        <v>0.25</v>
      </c>
      <c r="J117" s="139">
        <f t="shared" ref="J117:J122" si="224">+G117/F117</f>
        <v>0.25</v>
      </c>
      <c r="K117" s="139">
        <f t="shared" ref="K117:K122" si="225">+H117/F117</f>
        <v>0.3</v>
      </c>
      <c r="L117" s="139">
        <f t="shared" ref="L117:L122" si="226">+I117/F117</f>
        <v>0.25</v>
      </c>
      <c r="M117" s="139">
        <f t="shared" ref="M117:M122" si="227">+(G117/F117)*E117</f>
        <v>1.2500000000000001E-2</v>
      </c>
      <c r="N117" s="139">
        <f t="shared" ref="N117:N122" si="228">+(H117/F117)*E117</f>
        <v>1.4999999999999999E-2</v>
      </c>
      <c r="O117" s="139"/>
      <c r="P117" s="195">
        <v>0.19900000000000001</v>
      </c>
      <c r="Q117" s="496">
        <v>2.4E-2</v>
      </c>
      <c r="R117" s="496">
        <v>0.03</v>
      </c>
      <c r="S117" s="496">
        <v>0.13189999999999999</v>
      </c>
      <c r="T117" s="496">
        <v>5.8000000000000003E-2</v>
      </c>
      <c r="U117" s="496">
        <v>5.7099999999999998E-2</v>
      </c>
      <c r="V117" s="195">
        <f t="shared" si="173"/>
        <v>0.30099999999999999</v>
      </c>
      <c r="W117" s="195">
        <f t="shared" si="219"/>
        <v>0.625</v>
      </c>
      <c r="X117" s="496">
        <v>6.25E-2</v>
      </c>
      <c r="Y117" s="496">
        <v>6.25E-2</v>
      </c>
      <c r="Z117" s="195"/>
      <c r="AA117" s="195"/>
      <c r="AB117" s="195">
        <f t="shared" ref="AB117:AB122" si="229">+X117+Y117+Z117+AA117</f>
        <v>0.125</v>
      </c>
      <c r="AC117" s="139">
        <f t="shared" ref="AC117:AC122" si="230">+(P117/G117)</f>
        <v>0.79600000000000004</v>
      </c>
      <c r="AD117" s="156">
        <v>1</v>
      </c>
      <c r="AE117" s="156">
        <f t="shared" ref="AE117:AE122" si="231">+AB117/I117</f>
        <v>0.5</v>
      </c>
      <c r="AF117" s="156">
        <f t="shared" ref="AF117:AF122" si="232">+AC117*E117</f>
        <v>3.9800000000000002E-2</v>
      </c>
      <c r="AG117" s="156">
        <f t="shared" ref="AG117:AG122" si="233">+AD117*E117</f>
        <v>0.05</v>
      </c>
      <c r="AH117" s="156">
        <f t="shared" ref="AH117:AH122" si="234">+AE117*E117</f>
        <v>2.5000000000000001E-2</v>
      </c>
      <c r="AI117" s="156">
        <f t="shared" ref="AI117:AI122" si="235">+P117/F117</f>
        <v>0.19900000000000001</v>
      </c>
      <c r="AJ117" s="156">
        <v>0.5</v>
      </c>
      <c r="AK117" s="156">
        <f t="shared" ref="AK117:AK122" si="236">+W117/F117</f>
        <v>0.625</v>
      </c>
      <c r="AL117" s="139">
        <f t="shared" ref="AL117:AL122" si="237">+AI117*E117</f>
        <v>9.9500000000000005E-3</v>
      </c>
      <c r="AM117" s="139">
        <f t="shared" ref="AM117:AM122" si="238">+AJ117*E117</f>
        <v>2.5000000000000001E-2</v>
      </c>
      <c r="AN117" s="139">
        <f t="shared" ref="AN117:AN122" si="239">+AK117*E117</f>
        <v>3.125E-2</v>
      </c>
      <c r="AO117" s="143" t="s">
        <v>1844</v>
      </c>
      <c r="AP117" s="526" t="s">
        <v>1886</v>
      </c>
      <c r="AQ117" s="526" t="s">
        <v>1991</v>
      </c>
      <c r="AR117" s="526" t="s">
        <v>2010</v>
      </c>
      <c r="AS117" s="688" t="s">
        <v>2107</v>
      </c>
      <c r="AT117" s="688" t="s">
        <v>2141</v>
      </c>
      <c r="AU117" s="526" t="s">
        <v>2196</v>
      </c>
      <c r="AV117" s="526" t="s">
        <v>1887</v>
      </c>
      <c r="AW117" s="526" t="s">
        <v>2294</v>
      </c>
    </row>
    <row r="118" spans="1:49" ht="83.4" customHeight="1" thickBot="1" x14ac:dyDescent="0.4">
      <c r="A118" s="223"/>
      <c r="B118" s="1390" t="s">
        <v>1044</v>
      </c>
      <c r="C118" s="1390" t="s">
        <v>1242</v>
      </c>
      <c r="D118" s="225" t="s">
        <v>560</v>
      </c>
      <c r="E118" s="188">
        <v>0.25</v>
      </c>
      <c r="F118" s="186">
        <v>1</v>
      </c>
      <c r="G118" s="195">
        <v>0.1</v>
      </c>
      <c r="H118" s="195">
        <v>0.32900000000000001</v>
      </c>
      <c r="I118" s="195">
        <v>0.3</v>
      </c>
      <c r="J118" s="201">
        <f t="shared" si="224"/>
        <v>0.1</v>
      </c>
      <c r="K118" s="201">
        <f t="shared" si="225"/>
        <v>0.32900000000000001</v>
      </c>
      <c r="L118" s="201">
        <f t="shared" si="226"/>
        <v>0.3</v>
      </c>
      <c r="M118" s="201">
        <f t="shared" si="227"/>
        <v>2.5000000000000001E-2</v>
      </c>
      <c r="N118" s="201">
        <f t="shared" si="228"/>
        <v>8.2250000000000004E-2</v>
      </c>
      <c r="O118" s="201"/>
      <c r="P118" s="200">
        <v>7.0000000000000007E-2</v>
      </c>
      <c r="Q118" s="530">
        <v>2.9000000000000001E-2</v>
      </c>
      <c r="R118" s="530">
        <v>2.8000000000000001E-2</v>
      </c>
      <c r="S118" s="530">
        <v>0.1799</v>
      </c>
      <c r="T118" s="497">
        <v>4.5999999999999999E-2</v>
      </c>
      <c r="U118" s="497">
        <v>4.6100000000000002E-2</v>
      </c>
      <c r="V118" s="200">
        <f t="shared" si="173"/>
        <v>0.32899999999999996</v>
      </c>
      <c r="W118" s="195">
        <f t="shared" si="219"/>
        <v>0.54899999999999993</v>
      </c>
      <c r="X118" s="530">
        <v>7.4999999999999997E-2</v>
      </c>
      <c r="Y118" s="497">
        <v>7.4999999999999997E-2</v>
      </c>
      <c r="Z118" s="200"/>
      <c r="AA118" s="200"/>
      <c r="AB118" s="200">
        <f t="shared" si="229"/>
        <v>0.15</v>
      </c>
      <c r="AC118" s="139">
        <f t="shared" si="230"/>
        <v>0.70000000000000007</v>
      </c>
      <c r="AD118" s="156">
        <v>1</v>
      </c>
      <c r="AE118" s="156">
        <f t="shared" si="231"/>
        <v>0.5</v>
      </c>
      <c r="AF118" s="156">
        <f t="shared" si="232"/>
        <v>0.17500000000000002</v>
      </c>
      <c r="AG118" s="156">
        <f t="shared" si="233"/>
        <v>0.25</v>
      </c>
      <c r="AH118" s="156">
        <f t="shared" si="234"/>
        <v>0.125</v>
      </c>
      <c r="AI118" s="156">
        <f t="shared" si="235"/>
        <v>7.0000000000000007E-2</v>
      </c>
      <c r="AJ118" s="156">
        <v>0.39899999999999997</v>
      </c>
      <c r="AK118" s="156">
        <f t="shared" si="236"/>
        <v>0.54899999999999993</v>
      </c>
      <c r="AL118" s="139">
        <f t="shared" si="237"/>
        <v>1.7500000000000002E-2</v>
      </c>
      <c r="AM118" s="139">
        <f t="shared" si="238"/>
        <v>9.9749999999999991E-2</v>
      </c>
      <c r="AN118" s="139">
        <f t="shared" si="239"/>
        <v>0.13724999999999998</v>
      </c>
      <c r="AO118" s="143" t="s">
        <v>1844</v>
      </c>
      <c r="AP118" s="526" t="s">
        <v>1886</v>
      </c>
      <c r="AQ118" s="526" t="s">
        <v>1991</v>
      </c>
      <c r="AR118" s="526" t="s">
        <v>2010</v>
      </c>
      <c r="AS118" s="688" t="s">
        <v>2107</v>
      </c>
      <c r="AT118" s="688" t="s">
        <v>2141</v>
      </c>
      <c r="AU118" s="526" t="s">
        <v>2196</v>
      </c>
      <c r="AV118" s="526" t="s">
        <v>1887</v>
      </c>
      <c r="AW118" s="526" t="s">
        <v>2294</v>
      </c>
    </row>
    <row r="119" spans="1:49" ht="67.2" customHeight="1" thickBot="1" x14ac:dyDescent="0.4">
      <c r="A119" s="223"/>
      <c r="B119" s="1390" t="s">
        <v>1045</v>
      </c>
      <c r="C119" s="1390" t="s">
        <v>1243</v>
      </c>
      <c r="D119" s="225" t="s">
        <v>560</v>
      </c>
      <c r="E119" s="188">
        <v>0.05</v>
      </c>
      <c r="F119" s="186">
        <v>1</v>
      </c>
      <c r="G119" s="134">
        <v>0.25</v>
      </c>
      <c r="H119" s="134">
        <v>0.26</v>
      </c>
      <c r="I119" s="134">
        <v>0.25</v>
      </c>
      <c r="J119" s="139">
        <f>+G119/F119</f>
        <v>0.25</v>
      </c>
      <c r="K119" s="139">
        <f t="shared" si="225"/>
        <v>0.26</v>
      </c>
      <c r="L119" s="139">
        <f t="shared" si="226"/>
        <v>0.25</v>
      </c>
      <c r="M119" s="139">
        <f t="shared" si="227"/>
        <v>1.2500000000000001E-2</v>
      </c>
      <c r="N119" s="139">
        <f t="shared" si="228"/>
        <v>1.3000000000000001E-2</v>
      </c>
      <c r="O119" s="139"/>
      <c r="P119" s="134">
        <f>0.94*G119</f>
        <v>0.23499999999999999</v>
      </c>
      <c r="Q119" s="496">
        <v>8.2500000000000004E-2</v>
      </c>
      <c r="R119" s="496">
        <v>7.4999999999999997E-3</v>
      </c>
      <c r="S119" s="496">
        <v>9.7500000000000003E-2</v>
      </c>
      <c r="T119" s="496">
        <v>3.6999999999999998E-2</v>
      </c>
      <c r="U119" s="496">
        <v>3.5500000000000004E-2</v>
      </c>
      <c r="V119" s="134">
        <f t="shared" si="173"/>
        <v>0.26</v>
      </c>
      <c r="W119" s="195">
        <f>+V119+P119+AB119</f>
        <v>0.62</v>
      </c>
      <c r="X119" s="496">
        <v>6.25E-2</v>
      </c>
      <c r="Y119" s="496">
        <v>6.25E-2</v>
      </c>
      <c r="Z119" s="134"/>
      <c r="AA119" s="134"/>
      <c r="AB119" s="134">
        <f t="shared" si="229"/>
        <v>0.125</v>
      </c>
      <c r="AC119" s="139">
        <f t="shared" si="230"/>
        <v>0.94</v>
      </c>
      <c r="AD119" s="156">
        <f t="shared" ref="AD119" si="240">+V119/H119</f>
        <v>1</v>
      </c>
      <c r="AE119" s="156">
        <f t="shared" si="231"/>
        <v>0.5</v>
      </c>
      <c r="AF119" s="156">
        <f t="shared" si="232"/>
        <v>4.7E-2</v>
      </c>
      <c r="AG119" s="156">
        <f t="shared" si="233"/>
        <v>0.05</v>
      </c>
      <c r="AH119" s="156">
        <f t="shared" si="234"/>
        <v>2.5000000000000001E-2</v>
      </c>
      <c r="AI119" s="156">
        <f t="shared" si="235"/>
        <v>0.23499999999999999</v>
      </c>
      <c r="AJ119" s="156">
        <v>0.495</v>
      </c>
      <c r="AK119" s="156">
        <f t="shared" si="236"/>
        <v>0.62</v>
      </c>
      <c r="AL119" s="139">
        <f t="shared" si="237"/>
        <v>1.175E-2</v>
      </c>
      <c r="AM119" s="139">
        <f t="shared" si="238"/>
        <v>2.4750000000000001E-2</v>
      </c>
      <c r="AN119" s="139">
        <f t="shared" si="239"/>
        <v>3.1E-2</v>
      </c>
      <c r="AO119" s="143" t="s">
        <v>1844</v>
      </c>
      <c r="AP119" s="526" t="s">
        <v>1886</v>
      </c>
      <c r="AQ119" s="526" t="s">
        <v>1991</v>
      </c>
      <c r="AR119" s="526" t="s">
        <v>2010</v>
      </c>
      <c r="AS119" s="688" t="s">
        <v>2107</v>
      </c>
      <c r="AT119" s="688" t="s">
        <v>2141</v>
      </c>
      <c r="AU119" s="526" t="s">
        <v>2196</v>
      </c>
      <c r="AV119" s="526" t="s">
        <v>1887</v>
      </c>
      <c r="AW119" s="526" t="s">
        <v>2294</v>
      </c>
    </row>
    <row r="120" spans="1:49" ht="67.2" customHeight="1" thickBot="1" x14ac:dyDescent="0.4">
      <c r="A120" s="223"/>
      <c r="B120" s="1390" t="s">
        <v>1046</v>
      </c>
      <c r="C120" s="1390" t="s">
        <v>1244</v>
      </c>
      <c r="D120" s="225" t="s">
        <v>560</v>
      </c>
      <c r="E120" s="188">
        <v>0.25</v>
      </c>
      <c r="F120" s="186">
        <v>1</v>
      </c>
      <c r="G120" s="134">
        <v>0.1</v>
      </c>
      <c r="H120" s="134">
        <v>0.3</v>
      </c>
      <c r="I120" s="134">
        <v>0.3</v>
      </c>
      <c r="J120" s="139">
        <f t="shared" si="224"/>
        <v>0.1</v>
      </c>
      <c r="K120" s="139">
        <f t="shared" si="225"/>
        <v>0.3</v>
      </c>
      <c r="L120" s="139">
        <f t="shared" si="226"/>
        <v>0.3</v>
      </c>
      <c r="M120" s="139">
        <f t="shared" si="227"/>
        <v>2.5000000000000001E-2</v>
      </c>
      <c r="N120" s="139">
        <f t="shared" si="228"/>
        <v>7.4999999999999997E-2</v>
      </c>
      <c r="O120" s="139"/>
      <c r="P120" s="134">
        <v>0.1</v>
      </c>
      <c r="Q120" s="496">
        <v>6.5000000000000002E-2</v>
      </c>
      <c r="R120" s="496">
        <v>0</v>
      </c>
      <c r="S120" s="496">
        <v>0.14269999999999999</v>
      </c>
      <c r="T120" s="496">
        <v>4.6149999999999997E-2</v>
      </c>
      <c r="U120" s="496">
        <v>4.4999999999999998E-2</v>
      </c>
      <c r="V120" s="134">
        <f t="shared" si="173"/>
        <v>0.29885</v>
      </c>
      <c r="W120" s="733">
        <f>+V120+P120+AB120-0.07</f>
        <v>0.47885000000000005</v>
      </c>
      <c r="X120" s="496">
        <v>7.4999999999999997E-2</v>
      </c>
      <c r="Y120" s="496">
        <v>7.4999999999999997E-2</v>
      </c>
      <c r="Z120" s="134"/>
      <c r="AA120" s="134"/>
      <c r="AB120" s="134">
        <f t="shared" si="229"/>
        <v>0.15</v>
      </c>
      <c r="AC120" s="139">
        <f t="shared" si="230"/>
        <v>1</v>
      </c>
      <c r="AD120" s="156">
        <v>1</v>
      </c>
      <c r="AE120" s="156">
        <f t="shared" si="231"/>
        <v>0.5</v>
      </c>
      <c r="AF120" s="156">
        <f t="shared" si="232"/>
        <v>0.25</v>
      </c>
      <c r="AG120" s="156">
        <f t="shared" si="233"/>
        <v>0.25</v>
      </c>
      <c r="AH120" s="156">
        <f t="shared" si="234"/>
        <v>0.125</v>
      </c>
      <c r="AI120" s="156">
        <f t="shared" si="235"/>
        <v>0.1</v>
      </c>
      <c r="AJ120" s="156">
        <v>0.39885000000000004</v>
      </c>
      <c r="AK120" s="156">
        <f t="shared" si="236"/>
        <v>0.47885000000000005</v>
      </c>
      <c r="AL120" s="139">
        <f t="shared" si="237"/>
        <v>2.5000000000000001E-2</v>
      </c>
      <c r="AM120" s="139">
        <f t="shared" si="238"/>
        <v>9.9712500000000009E-2</v>
      </c>
      <c r="AN120" s="139">
        <f t="shared" si="239"/>
        <v>0.11971250000000001</v>
      </c>
      <c r="AO120" s="143" t="s">
        <v>1844</v>
      </c>
      <c r="AP120" s="526" t="s">
        <v>1886</v>
      </c>
      <c r="AQ120" s="526" t="s">
        <v>1991</v>
      </c>
      <c r="AR120" s="526" t="s">
        <v>2010</v>
      </c>
      <c r="AS120" s="688" t="s">
        <v>2107</v>
      </c>
      <c r="AT120" s="781" t="s">
        <v>1859</v>
      </c>
      <c r="AU120" s="526" t="s">
        <v>2196</v>
      </c>
      <c r="AV120" s="526" t="s">
        <v>1887</v>
      </c>
      <c r="AW120" s="526" t="s">
        <v>2294</v>
      </c>
    </row>
    <row r="121" spans="1:49" ht="101.4" customHeight="1" thickBot="1" x14ac:dyDescent="0.4">
      <c r="A121" s="223"/>
      <c r="B121" s="1390" t="s">
        <v>1047</v>
      </c>
      <c r="C121" s="1390" t="s">
        <v>1245</v>
      </c>
      <c r="D121" s="225" t="s">
        <v>560</v>
      </c>
      <c r="E121" s="188">
        <v>0.05</v>
      </c>
      <c r="F121" s="186">
        <v>4</v>
      </c>
      <c r="G121" s="134">
        <v>1</v>
      </c>
      <c r="H121" s="134">
        <v>1</v>
      </c>
      <c r="I121" s="134">
        <v>1</v>
      </c>
      <c r="J121" s="139">
        <f t="shared" si="224"/>
        <v>0.25</v>
      </c>
      <c r="K121" s="139">
        <f t="shared" si="225"/>
        <v>0.25</v>
      </c>
      <c r="L121" s="139">
        <f t="shared" si="226"/>
        <v>0.25</v>
      </c>
      <c r="M121" s="139">
        <f t="shared" si="227"/>
        <v>1.2500000000000001E-2</v>
      </c>
      <c r="N121" s="139">
        <f t="shared" si="228"/>
        <v>1.2500000000000001E-2</v>
      </c>
      <c r="O121" s="139"/>
      <c r="P121" s="134">
        <v>1</v>
      </c>
      <c r="Q121" s="496">
        <v>0.25</v>
      </c>
      <c r="R121" s="496">
        <v>0.25</v>
      </c>
      <c r="S121" s="496">
        <v>0.25</v>
      </c>
      <c r="T121" s="497">
        <v>0.25</v>
      </c>
      <c r="U121" s="496">
        <v>0</v>
      </c>
      <c r="V121" s="134">
        <f t="shared" si="173"/>
        <v>1</v>
      </c>
      <c r="W121" s="195">
        <f>+V121+P121+AB121</f>
        <v>2.5</v>
      </c>
      <c r="X121" s="496">
        <v>0.25</v>
      </c>
      <c r="Y121" s="496">
        <v>0.25</v>
      </c>
      <c r="Z121" s="134"/>
      <c r="AA121" s="134"/>
      <c r="AB121" s="134">
        <f t="shared" si="229"/>
        <v>0.5</v>
      </c>
      <c r="AC121" s="139">
        <f t="shared" si="230"/>
        <v>1</v>
      </c>
      <c r="AD121" s="156">
        <v>1</v>
      </c>
      <c r="AE121" s="156">
        <f t="shared" si="231"/>
        <v>0.5</v>
      </c>
      <c r="AF121" s="156">
        <f t="shared" si="232"/>
        <v>0.05</v>
      </c>
      <c r="AG121" s="156">
        <f t="shared" si="233"/>
        <v>0.05</v>
      </c>
      <c r="AH121" s="156">
        <f t="shared" si="234"/>
        <v>2.5000000000000001E-2</v>
      </c>
      <c r="AI121" s="156">
        <f t="shared" si="235"/>
        <v>0.25</v>
      </c>
      <c r="AJ121" s="156">
        <v>0.6875</v>
      </c>
      <c r="AK121" s="156">
        <f t="shared" si="236"/>
        <v>0.625</v>
      </c>
      <c r="AL121" s="139">
        <f t="shared" si="237"/>
        <v>1.2500000000000001E-2</v>
      </c>
      <c r="AM121" s="139">
        <f t="shared" si="238"/>
        <v>3.4375000000000003E-2</v>
      </c>
      <c r="AN121" s="139">
        <f t="shared" si="239"/>
        <v>3.125E-2</v>
      </c>
      <c r="AO121" s="143" t="s">
        <v>1844</v>
      </c>
      <c r="AP121" s="526" t="s">
        <v>1886</v>
      </c>
      <c r="AQ121" s="526" t="s">
        <v>1991</v>
      </c>
      <c r="AR121" s="526" t="s">
        <v>2010</v>
      </c>
      <c r="AS121" s="781" t="s">
        <v>2107</v>
      </c>
      <c r="AT121" s="781" t="s">
        <v>1859</v>
      </c>
      <c r="AU121" s="526" t="s">
        <v>2196</v>
      </c>
      <c r="AV121" s="526" t="s">
        <v>1887</v>
      </c>
      <c r="AW121" s="526" t="s">
        <v>2294</v>
      </c>
    </row>
    <row r="122" spans="1:49" ht="102" customHeight="1" thickBot="1" x14ac:dyDescent="0.4">
      <c r="A122" s="223"/>
      <c r="B122" s="1390" t="s">
        <v>1048</v>
      </c>
      <c r="C122" s="1390" t="s">
        <v>1246</v>
      </c>
      <c r="D122" s="225" t="s">
        <v>560</v>
      </c>
      <c r="E122" s="188">
        <v>0.35</v>
      </c>
      <c r="F122" s="186">
        <v>44</v>
      </c>
      <c r="G122" s="134">
        <v>11</v>
      </c>
      <c r="H122" s="134">
        <v>11</v>
      </c>
      <c r="I122" s="134">
        <v>11</v>
      </c>
      <c r="J122" s="139">
        <f t="shared" si="224"/>
        <v>0.25</v>
      </c>
      <c r="K122" s="139">
        <f t="shared" si="225"/>
        <v>0.25</v>
      </c>
      <c r="L122" s="139">
        <f t="shared" si="226"/>
        <v>0.25</v>
      </c>
      <c r="M122" s="139">
        <f t="shared" si="227"/>
        <v>8.7499999999999994E-2</v>
      </c>
      <c r="N122" s="139">
        <f t="shared" si="228"/>
        <v>8.7499999999999994E-2</v>
      </c>
      <c r="O122" s="139"/>
      <c r="P122" s="134">
        <v>11</v>
      </c>
      <c r="Q122" s="496">
        <v>5</v>
      </c>
      <c r="R122" s="496">
        <v>2</v>
      </c>
      <c r="S122" s="496">
        <v>4</v>
      </c>
      <c r="T122" s="496">
        <v>0</v>
      </c>
      <c r="U122" s="496">
        <v>0</v>
      </c>
      <c r="V122" s="134">
        <f t="shared" si="173"/>
        <v>11</v>
      </c>
      <c r="W122" s="195">
        <f t="shared" si="219"/>
        <v>23</v>
      </c>
      <c r="X122" s="496">
        <v>0</v>
      </c>
      <c r="Y122" s="496">
        <v>1</v>
      </c>
      <c r="Z122" s="134"/>
      <c r="AA122" s="134"/>
      <c r="AB122" s="134">
        <f t="shared" si="229"/>
        <v>1</v>
      </c>
      <c r="AC122" s="139">
        <f t="shared" si="230"/>
        <v>1</v>
      </c>
      <c r="AD122" s="156">
        <v>1</v>
      </c>
      <c r="AE122" s="156">
        <f t="shared" si="231"/>
        <v>9.0909090909090912E-2</v>
      </c>
      <c r="AF122" s="156">
        <f t="shared" si="232"/>
        <v>0.35</v>
      </c>
      <c r="AG122" s="156">
        <f t="shared" si="233"/>
        <v>0.35</v>
      </c>
      <c r="AH122" s="156">
        <f t="shared" si="234"/>
        <v>3.1818181818181815E-2</v>
      </c>
      <c r="AI122" s="156">
        <f t="shared" si="235"/>
        <v>0.25</v>
      </c>
      <c r="AJ122" s="156">
        <v>0.75</v>
      </c>
      <c r="AK122" s="156">
        <f t="shared" si="236"/>
        <v>0.52272727272727271</v>
      </c>
      <c r="AL122" s="139">
        <f t="shared" si="237"/>
        <v>8.7499999999999994E-2</v>
      </c>
      <c r="AM122" s="139">
        <f t="shared" si="238"/>
        <v>0.26249999999999996</v>
      </c>
      <c r="AN122" s="139">
        <f t="shared" si="239"/>
        <v>0.18295454545454543</v>
      </c>
      <c r="AO122" s="143" t="s">
        <v>1844</v>
      </c>
      <c r="AP122" s="526" t="s">
        <v>1886</v>
      </c>
      <c r="AQ122" s="526" t="s">
        <v>1991</v>
      </c>
      <c r="AR122" s="526" t="s">
        <v>2010</v>
      </c>
      <c r="AS122" s="688" t="s">
        <v>2107</v>
      </c>
      <c r="AT122" s="688" t="s">
        <v>2141</v>
      </c>
      <c r="AU122" s="526" t="s">
        <v>2196</v>
      </c>
      <c r="AV122" s="526" t="s">
        <v>1887</v>
      </c>
      <c r="AW122" s="526" t="s">
        <v>2294</v>
      </c>
    </row>
    <row r="123" spans="1:49" ht="67.2" customHeight="1" thickBot="1" x14ac:dyDescent="0.4">
      <c r="A123" s="223"/>
      <c r="B123" s="1419" t="s">
        <v>1775</v>
      </c>
      <c r="C123" s="1375"/>
      <c r="D123" s="225"/>
      <c r="E123" s="192">
        <v>0.2</v>
      </c>
      <c r="F123" s="177"/>
      <c r="G123" s="127"/>
      <c r="H123" s="127"/>
      <c r="I123" s="127"/>
      <c r="J123" s="133">
        <f>+AVERAGE(J124:J130)</f>
        <v>0.25</v>
      </c>
      <c r="K123" s="133">
        <f>+AVERAGE(K124:K130)</f>
        <v>0.27040816326530609</v>
      </c>
      <c r="L123" s="133">
        <f>+AVERAGE(L124:L130)</f>
        <v>0.32976190476190476</v>
      </c>
      <c r="M123" s="133">
        <f>M124+M125+M126+M127+M128+M129+M130</f>
        <v>0.2</v>
      </c>
      <c r="N123" s="133">
        <f>N124+N125+N126+N127+N128+N129+N130</f>
        <v>0.26428571428571429</v>
      </c>
      <c r="O123" s="133"/>
      <c r="P123" s="132"/>
      <c r="Q123" s="132"/>
      <c r="R123" s="132"/>
      <c r="S123" s="132"/>
      <c r="T123" s="132"/>
      <c r="U123" s="839"/>
      <c r="V123" s="134"/>
      <c r="W123" s="195"/>
      <c r="X123" s="132"/>
      <c r="Y123" s="132"/>
      <c r="Z123" s="132"/>
      <c r="AA123" s="132"/>
      <c r="AB123" s="132"/>
      <c r="AC123" s="154">
        <f>+AVERAGE(AC124:AC130)</f>
        <v>1</v>
      </c>
      <c r="AD123" s="154">
        <f>+AVERAGE(AD124:AD130)</f>
        <v>0.77142857142857146</v>
      </c>
      <c r="AE123" s="154">
        <f>+AVERAGE(AE124:AE130)</f>
        <v>0.44749783549783551</v>
      </c>
      <c r="AF123" s="154">
        <f>+(AF124+AF125+AF126+AF127+AF128+AF129+AF130)*E123</f>
        <v>0.16000000000000003</v>
      </c>
      <c r="AG123" s="154">
        <f>+(AG124+AG125+AG126+AG127+AG128+AG129+AG130)*E123</f>
        <v>0.16800000000000004</v>
      </c>
      <c r="AH123" s="154">
        <f>+(AH124+AH125+AH126+AH127+AH128+AH129+AH130)*E123</f>
        <v>9.5489696969696961E-2</v>
      </c>
      <c r="AI123" s="133">
        <f>+AVERAGE(AI124:AI130)</f>
        <v>0.25941666666666668</v>
      </c>
      <c r="AJ123" s="237">
        <v>0.46607142857142858</v>
      </c>
      <c r="AK123" s="237">
        <f>+AVERAGE(AK124:AK130)</f>
        <v>0.60059523809523807</v>
      </c>
      <c r="AL123" s="133">
        <f>+(AL124+AL125+AL126+AL127+AL128+AL129+AL130)*E123</f>
        <v>4.8570000000000002E-2</v>
      </c>
      <c r="AM123" s="133">
        <f>+(AM124+AM125+AM126+AM127+AM128+AM129+AM130)</f>
        <v>0.50124999999999997</v>
      </c>
      <c r="AN123" s="133">
        <f>+(AN124+AN125+AN126+AN127+AN128+AN129+AN130)</f>
        <v>0.62666666666666671</v>
      </c>
      <c r="AO123" s="127"/>
      <c r="AP123" s="127"/>
      <c r="AQ123" s="127"/>
      <c r="AR123" s="127"/>
      <c r="AS123" s="564"/>
      <c r="AT123" s="564"/>
      <c r="AU123" s="127"/>
      <c r="AV123" s="490"/>
    </row>
    <row r="124" spans="1:49" ht="67.2" customHeight="1" thickBot="1" x14ac:dyDescent="0.4">
      <c r="A124" s="223"/>
      <c r="B124" s="1390" t="s">
        <v>1049</v>
      </c>
      <c r="C124" s="1390" t="s">
        <v>1247</v>
      </c>
      <c r="D124" s="225" t="s">
        <v>560</v>
      </c>
      <c r="E124" s="188">
        <v>0.1</v>
      </c>
      <c r="F124" s="186">
        <v>16</v>
      </c>
      <c r="G124" s="134">
        <v>4</v>
      </c>
      <c r="H124" s="134">
        <v>4</v>
      </c>
      <c r="I124" s="134">
        <v>4</v>
      </c>
      <c r="J124" s="139">
        <f t="shared" ref="J124:J129" si="241">+G124/F124</f>
        <v>0.25</v>
      </c>
      <c r="K124" s="139">
        <f t="shared" ref="K124:K130" si="242">+H124/F124</f>
        <v>0.25</v>
      </c>
      <c r="L124" s="139">
        <f t="shared" ref="L124:L130" si="243">+I124/F124</f>
        <v>0.25</v>
      </c>
      <c r="M124" s="139">
        <f t="shared" ref="M124:M129" si="244">+(G124/F124)*E124</f>
        <v>2.5000000000000001E-2</v>
      </c>
      <c r="N124" s="139">
        <f t="shared" ref="N124:N130" si="245">+(H124/F124)*E124</f>
        <v>2.5000000000000001E-2</v>
      </c>
      <c r="O124" s="139"/>
      <c r="P124" s="195">
        <v>5</v>
      </c>
      <c r="Q124" s="496">
        <v>1</v>
      </c>
      <c r="R124" s="496">
        <v>1</v>
      </c>
      <c r="S124" s="496">
        <v>1</v>
      </c>
      <c r="T124" s="496"/>
      <c r="U124" s="496">
        <v>1</v>
      </c>
      <c r="V124" s="195">
        <f t="shared" si="173"/>
        <v>4</v>
      </c>
      <c r="W124" s="195">
        <f t="shared" si="219"/>
        <v>11</v>
      </c>
      <c r="X124" s="496">
        <v>1</v>
      </c>
      <c r="Y124" s="496">
        <v>1</v>
      </c>
      <c r="Z124" s="195"/>
      <c r="AA124" s="195"/>
      <c r="AB124" s="195">
        <f t="shared" ref="AB124:AB130" si="246">+X124+Y124+Z124+AA124</f>
        <v>2</v>
      </c>
      <c r="AC124" s="156">
        <v>1</v>
      </c>
      <c r="AD124" s="156">
        <f t="shared" ref="AD124:AD141" si="247">+V124/H124</f>
        <v>1</v>
      </c>
      <c r="AE124" s="156">
        <f t="shared" ref="AE124:AE130" si="248">+AB124/I124</f>
        <v>0.5</v>
      </c>
      <c r="AF124" s="156">
        <f>+AC124*E124</f>
        <v>0.1</v>
      </c>
      <c r="AG124" s="156">
        <f t="shared" ref="AG124:AG130" si="249">+AD124*E124</f>
        <v>0.1</v>
      </c>
      <c r="AH124" s="156">
        <f t="shared" ref="AH124:AH130" si="250">+AE124*E124</f>
        <v>0.05</v>
      </c>
      <c r="AI124" s="156">
        <f>+P124/F124</f>
        <v>0.3125</v>
      </c>
      <c r="AJ124" s="156">
        <v>0.5625</v>
      </c>
      <c r="AK124" s="156">
        <f t="shared" ref="AK124:AK130" si="251">+W124/F124</f>
        <v>0.6875</v>
      </c>
      <c r="AL124" s="139">
        <f>+AI124*E124</f>
        <v>3.125E-2</v>
      </c>
      <c r="AM124" s="139">
        <f>+AJ124*E124</f>
        <v>5.6250000000000001E-2</v>
      </c>
      <c r="AN124" s="139">
        <f t="shared" ref="AN124:AN130" si="252">+AK124*E124</f>
        <v>6.8750000000000006E-2</v>
      </c>
      <c r="AO124" s="143" t="s">
        <v>1844</v>
      </c>
      <c r="AP124" s="526" t="s">
        <v>1886</v>
      </c>
      <c r="AQ124" s="526" t="s">
        <v>1991</v>
      </c>
      <c r="AR124" s="526" t="s">
        <v>2010</v>
      </c>
      <c r="AS124" s="688" t="s">
        <v>2107</v>
      </c>
      <c r="AT124" s="688" t="s">
        <v>2141</v>
      </c>
      <c r="AU124" s="526" t="s">
        <v>2196</v>
      </c>
      <c r="AV124" s="526" t="s">
        <v>1887</v>
      </c>
      <c r="AW124" s="526" t="s">
        <v>2294</v>
      </c>
    </row>
    <row r="125" spans="1:49" ht="67.2" customHeight="1" thickBot="1" x14ac:dyDescent="0.4">
      <c r="A125" s="223"/>
      <c r="B125" s="1390" t="s">
        <v>1050</v>
      </c>
      <c r="C125" s="1390" t="s">
        <v>1248</v>
      </c>
      <c r="D125" s="225" t="s">
        <v>560</v>
      </c>
      <c r="E125" s="188">
        <v>0.15</v>
      </c>
      <c r="F125" s="186">
        <v>92</v>
      </c>
      <c r="G125" s="134">
        <v>23</v>
      </c>
      <c r="H125" s="134">
        <v>23</v>
      </c>
      <c r="I125" s="134">
        <v>23</v>
      </c>
      <c r="J125" s="139">
        <f t="shared" si="241"/>
        <v>0.25</v>
      </c>
      <c r="K125" s="139">
        <f t="shared" si="242"/>
        <v>0.25</v>
      </c>
      <c r="L125" s="139">
        <f t="shared" si="243"/>
        <v>0.25</v>
      </c>
      <c r="M125" s="139">
        <f t="shared" si="244"/>
        <v>3.7499999999999999E-2</v>
      </c>
      <c r="N125" s="139">
        <f t="shared" si="245"/>
        <v>3.7499999999999999E-2</v>
      </c>
      <c r="O125" s="139"/>
      <c r="P125" s="195">
        <v>23</v>
      </c>
      <c r="Q125" s="496">
        <v>23</v>
      </c>
      <c r="R125" s="496">
        <v>0</v>
      </c>
      <c r="S125" s="496">
        <v>0</v>
      </c>
      <c r="T125" s="496"/>
      <c r="U125" s="496"/>
      <c r="V125" s="195">
        <f t="shared" si="173"/>
        <v>23</v>
      </c>
      <c r="W125" s="195">
        <f t="shared" si="219"/>
        <v>92</v>
      </c>
      <c r="X125" s="496">
        <v>23</v>
      </c>
      <c r="Y125" s="496">
        <v>23</v>
      </c>
      <c r="Z125" s="195"/>
      <c r="AA125" s="195"/>
      <c r="AB125" s="195">
        <f t="shared" si="246"/>
        <v>46</v>
      </c>
      <c r="AC125" s="156">
        <f>+(P125/G125)</f>
        <v>1</v>
      </c>
      <c r="AD125" s="156">
        <v>1</v>
      </c>
      <c r="AE125" s="156">
        <f>+AB125/I125*0.25</f>
        <v>0.5</v>
      </c>
      <c r="AF125" s="156">
        <f>+AC125*E125</f>
        <v>0.15</v>
      </c>
      <c r="AG125" s="156">
        <f t="shared" si="249"/>
        <v>0.15</v>
      </c>
      <c r="AH125" s="156">
        <f t="shared" si="250"/>
        <v>7.4999999999999997E-2</v>
      </c>
      <c r="AI125" s="156">
        <f>+P125/F125</f>
        <v>0.25</v>
      </c>
      <c r="AJ125" s="156">
        <v>0.5</v>
      </c>
      <c r="AK125" s="156">
        <f>+AJ125+AE125*0.25</f>
        <v>0.625</v>
      </c>
      <c r="AL125" s="139">
        <f>+AI125*E125</f>
        <v>3.7499999999999999E-2</v>
      </c>
      <c r="AM125" s="139">
        <f>+AJ125*E125</f>
        <v>7.4999999999999997E-2</v>
      </c>
      <c r="AN125" s="139">
        <f t="shared" si="252"/>
        <v>9.375E-2</v>
      </c>
      <c r="AO125" s="143" t="s">
        <v>1844</v>
      </c>
      <c r="AP125" s="526" t="s">
        <v>1886</v>
      </c>
      <c r="AQ125" s="526" t="s">
        <v>1991</v>
      </c>
      <c r="AR125" s="526" t="s">
        <v>2010</v>
      </c>
      <c r="AS125" s="782" t="s">
        <v>2107</v>
      </c>
      <c r="AT125" s="781" t="s">
        <v>1859</v>
      </c>
      <c r="AU125" s="526" t="s">
        <v>2196</v>
      </c>
      <c r="AV125" s="526" t="s">
        <v>1887</v>
      </c>
      <c r="AW125" s="526" t="s">
        <v>2294</v>
      </c>
    </row>
    <row r="126" spans="1:49" ht="67.2" customHeight="1" thickBot="1" x14ac:dyDescent="0.4">
      <c r="A126" s="223"/>
      <c r="B126" s="1390" t="s">
        <v>1051</v>
      </c>
      <c r="C126" s="1390" t="s">
        <v>1249</v>
      </c>
      <c r="D126" s="225" t="s">
        <v>560</v>
      </c>
      <c r="E126" s="188">
        <v>0.15</v>
      </c>
      <c r="F126" s="186">
        <v>1500</v>
      </c>
      <c r="G126" s="134">
        <v>375</v>
      </c>
      <c r="H126" s="134">
        <v>375</v>
      </c>
      <c r="I126" s="134">
        <v>375</v>
      </c>
      <c r="J126" s="139">
        <f t="shared" si="241"/>
        <v>0.25</v>
      </c>
      <c r="K126" s="139">
        <f t="shared" si="242"/>
        <v>0.25</v>
      </c>
      <c r="L126" s="139"/>
      <c r="M126" s="139">
        <f t="shared" si="244"/>
        <v>3.7499999999999999E-2</v>
      </c>
      <c r="N126" s="139">
        <f t="shared" si="245"/>
        <v>3.7499999999999999E-2</v>
      </c>
      <c r="O126" s="139"/>
      <c r="P126" s="195">
        <v>741</v>
      </c>
      <c r="Q126" s="496">
        <v>80</v>
      </c>
      <c r="R126" s="496">
        <v>197</v>
      </c>
      <c r="S126" s="496">
        <v>259</v>
      </c>
      <c r="T126" s="496">
        <v>281</v>
      </c>
      <c r="U126" s="496">
        <v>340</v>
      </c>
      <c r="V126" s="195">
        <f t="shared" si="173"/>
        <v>1157</v>
      </c>
      <c r="W126" s="195">
        <f t="shared" si="219"/>
        <v>2192</v>
      </c>
      <c r="X126" s="496">
        <v>80</v>
      </c>
      <c r="Y126" s="496">
        <v>214</v>
      </c>
      <c r="Z126" s="195"/>
      <c r="AA126" s="195"/>
      <c r="AB126" s="195">
        <f t="shared" si="246"/>
        <v>294</v>
      </c>
      <c r="AC126" s="156">
        <v>1</v>
      </c>
      <c r="AD126" s="156">
        <v>1</v>
      </c>
      <c r="AE126" s="156">
        <f t="shared" si="248"/>
        <v>0.78400000000000003</v>
      </c>
      <c r="AF126" s="156">
        <f>+AC126*E126</f>
        <v>0.15</v>
      </c>
      <c r="AG126" s="156">
        <f t="shared" si="249"/>
        <v>0.15</v>
      </c>
      <c r="AH126" s="156">
        <f t="shared" si="250"/>
        <v>0.1176</v>
      </c>
      <c r="AI126" s="156">
        <f>+P126/F126</f>
        <v>0.49399999999999999</v>
      </c>
      <c r="AJ126" s="156">
        <v>1</v>
      </c>
      <c r="AK126" s="156">
        <v>1</v>
      </c>
      <c r="AL126" s="139">
        <f>+AI126*E126</f>
        <v>7.4099999999999999E-2</v>
      </c>
      <c r="AM126" s="139">
        <f>+AJ126*E126</f>
        <v>0.15</v>
      </c>
      <c r="AN126" s="139">
        <f t="shared" si="252"/>
        <v>0.15</v>
      </c>
      <c r="AO126" s="143" t="s">
        <v>1844</v>
      </c>
      <c r="AP126" s="526" t="s">
        <v>1886</v>
      </c>
      <c r="AQ126" s="526" t="s">
        <v>1991</v>
      </c>
      <c r="AR126" s="526" t="s">
        <v>2010</v>
      </c>
      <c r="AS126" s="688" t="s">
        <v>2107</v>
      </c>
      <c r="AT126" s="781" t="s">
        <v>1859</v>
      </c>
      <c r="AU126" s="628" t="s">
        <v>1859</v>
      </c>
      <c r="AV126" s="526" t="s">
        <v>1887</v>
      </c>
      <c r="AW126" s="526" t="s">
        <v>2294</v>
      </c>
    </row>
    <row r="127" spans="1:49" ht="67.2" customHeight="1" thickBot="1" x14ac:dyDescent="0.4">
      <c r="A127" s="223"/>
      <c r="B127" s="1390" t="s">
        <v>1052</v>
      </c>
      <c r="C127" s="1390" t="s">
        <v>1250</v>
      </c>
      <c r="D127" s="225" t="s">
        <v>560</v>
      </c>
      <c r="E127" s="188">
        <v>0.1</v>
      </c>
      <c r="F127" s="186">
        <v>12</v>
      </c>
      <c r="G127" s="134">
        <v>3</v>
      </c>
      <c r="H127" s="134">
        <v>3</v>
      </c>
      <c r="I127" s="134">
        <v>3</v>
      </c>
      <c r="J127" s="139">
        <f t="shared" si="241"/>
        <v>0.25</v>
      </c>
      <c r="K127" s="139">
        <f t="shared" si="242"/>
        <v>0.25</v>
      </c>
      <c r="L127" s="139">
        <f t="shared" si="243"/>
        <v>0.25</v>
      </c>
      <c r="M127" s="139">
        <f t="shared" si="244"/>
        <v>2.5000000000000001E-2</v>
      </c>
      <c r="N127" s="139">
        <f t="shared" si="245"/>
        <v>2.5000000000000001E-2</v>
      </c>
      <c r="O127" s="139"/>
      <c r="P127" s="195">
        <v>3</v>
      </c>
      <c r="Q127" s="496">
        <v>1</v>
      </c>
      <c r="R127" s="496">
        <v>1</v>
      </c>
      <c r="S127" s="496">
        <v>1</v>
      </c>
      <c r="T127" s="496"/>
      <c r="U127" s="496"/>
      <c r="V127" s="195">
        <f t="shared" si="173"/>
        <v>3</v>
      </c>
      <c r="W127" s="195">
        <f t="shared" si="219"/>
        <v>8</v>
      </c>
      <c r="X127" s="496">
        <v>1</v>
      </c>
      <c r="Y127" s="496">
        <v>1</v>
      </c>
      <c r="Z127" s="195"/>
      <c r="AA127" s="195"/>
      <c r="AB127" s="195">
        <f t="shared" si="246"/>
        <v>2</v>
      </c>
      <c r="AC127" s="156">
        <f>+(P127/G127)</f>
        <v>1</v>
      </c>
      <c r="AD127" s="156">
        <f t="shared" si="247"/>
        <v>1</v>
      </c>
      <c r="AE127" s="156">
        <f t="shared" si="248"/>
        <v>0.66666666666666663</v>
      </c>
      <c r="AF127" s="156">
        <f>+AC127*E127</f>
        <v>0.1</v>
      </c>
      <c r="AG127" s="156">
        <f t="shared" si="249"/>
        <v>0.1</v>
      </c>
      <c r="AH127" s="156">
        <f t="shared" si="250"/>
        <v>6.6666666666666666E-2</v>
      </c>
      <c r="AI127" s="156">
        <f>+P127/F127</f>
        <v>0.25</v>
      </c>
      <c r="AJ127" s="156">
        <v>0.5</v>
      </c>
      <c r="AK127" s="156">
        <f t="shared" si="251"/>
        <v>0.66666666666666663</v>
      </c>
      <c r="AL127" s="139">
        <f>+AI127*E127</f>
        <v>2.5000000000000001E-2</v>
      </c>
      <c r="AM127" s="139">
        <f>+AJ127*E127</f>
        <v>0.05</v>
      </c>
      <c r="AN127" s="139">
        <f t="shared" si="252"/>
        <v>6.6666666666666666E-2</v>
      </c>
      <c r="AO127" s="143" t="s">
        <v>1844</v>
      </c>
      <c r="AP127" s="526" t="s">
        <v>1886</v>
      </c>
      <c r="AQ127" s="526" t="s">
        <v>1991</v>
      </c>
      <c r="AR127" s="526" t="s">
        <v>2010</v>
      </c>
      <c r="AS127" s="688" t="s">
        <v>2107</v>
      </c>
      <c r="AT127" s="688" t="s">
        <v>2141</v>
      </c>
      <c r="AU127" s="526" t="s">
        <v>2196</v>
      </c>
      <c r="AV127" s="526" t="s">
        <v>1887</v>
      </c>
      <c r="AW127" s="526" t="s">
        <v>2294</v>
      </c>
    </row>
    <row r="128" spans="1:49" ht="101.4" customHeight="1" thickBot="1" x14ac:dyDescent="0.4">
      <c r="A128" s="223"/>
      <c r="B128" s="1390" t="s">
        <v>1053</v>
      </c>
      <c r="C128" s="1390" t="s">
        <v>1251</v>
      </c>
      <c r="D128" s="225" t="s">
        <v>560</v>
      </c>
      <c r="E128" s="188">
        <v>0.1</v>
      </c>
      <c r="F128" s="186">
        <v>1</v>
      </c>
      <c r="G128" s="195">
        <v>0</v>
      </c>
      <c r="H128" s="195">
        <v>0.5</v>
      </c>
      <c r="I128" s="195">
        <v>0.55000000000000004</v>
      </c>
      <c r="J128" s="139"/>
      <c r="K128" s="139">
        <f t="shared" si="242"/>
        <v>0.5</v>
      </c>
      <c r="L128" s="139">
        <f t="shared" si="243"/>
        <v>0.55000000000000004</v>
      </c>
      <c r="M128" s="139"/>
      <c r="N128" s="139">
        <f t="shared" si="245"/>
        <v>0.05</v>
      </c>
      <c r="O128" s="139"/>
      <c r="P128" s="195"/>
      <c r="Q128" s="496">
        <v>0</v>
      </c>
      <c r="R128" s="496">
        <v>0.1</v>
      </c>
      <c r="S128" s="496">
        <v>0.1</v>
      </c>
      <c r="T128" s="496">
        <v>0</v>
      </c>
      <c r="U128" s="496">
        <v>0</v>
      </c>
      <c r="V128" s="195">
        <f t="shared" si="173"/>
        <v>0.2</v>
      </c>
      <c r="W128" s="195">
        <f>+V128+P128+AB128+0.3</f>
        <v>0.60000000000000009</v>
      </c>
      <c r="X128" s="496">
        <v>0.05</v>
      </c>
      <c r="Y128" s="496">
        <v>0.05</v>
      </c>
      <c r="Z128" s="195"/>
      <c r="AA128" s="195"/>
      <c r="AB128" s="195">
        <f t="shared" si="246"/>
        <v>0.1</v>
      </c>
      <c r="AC128" s="156"/>
      <c r="AD128" s="156">
        <f>+V128/H128</f>
        <v>0.4</v>
      </c>
      <c r="AE128" s="156">
        <f t="shared" si="248"/>
        <v>0.18181818181818182</v>
      </c>
      <c r="AF128" s="156"/>
      <c r="AG128" s="156">
        <f t="shared" si="249"/>
        <v>4.0000000000000008E-2</v>
      </c>
      <c r="AH128" s="156">
        <f t="shared" si="250"/>
        <v>1.8181818181818184E-2</v>
      </c>
      <c r="AI128" s="697">
        <v>0</v>
      </c>
      <c r="AJ128" s="697">
        <v>0.2</v>
      </c>
      <c r="AK128" s="697">
        <f t="shared" si="251"/>
        <v>0.60000000000000009</v>
      </c>
      <c r="AL128" s="139"/>
      <c r="AM128" s="139">
        <f t="shared" ref="AM128:AM130" si="253">+AJ128*E128</f>
        <v>2.0000000000000004E-2</v>
      </c>
      <c r="AN128" s="139">
        <f t="shared" si="252"/>
        <v>6.0000000000000012E-2</v>
      </c>
      <c r="AO128" s="143" t="s">
        <v>1844</v>
      </c>
      <c r="AP128" s="526" t="s">
        <v>1886</v>
      </c>
      <c r="AQ128" s="526" t="s">
        <v>1991</v>
      </c>
      <c r="AR128" s="526" t="s">
        <v>2010</v>
      </c>
      <c r="AS128" s="688" t="s">
        <v>2107</v>
      </c>
      <c r="AT128" s="688" t="s">
        <v>2141</v>
      </c>
      <c r="AU128" s="526" t="s">
        <v>2196</v>
      </c>
      <c r="AV128" s="526" t="s">
        <v>1887</v>
      </c>
      <c r="AW128" s="526" t="s">
        <v>2294</v>
      </c>
    </row>
    <row r="129" spans="1:49" ht="67.2" customHeight="1" thickBot="1" x14ac:dyDescent="0.4">
      <c r="A129" s="223"/>
      <c r="B129" s="1390" t="s">
        <v>1054</v>
      </c>
      <c r="C129" s="1390" t="s">
        <v>1252</v>
      </c>
      <c r="D129" s="225" t="s">
        <v>560</v>
      </c>
      <c r="E129" s="188">
        <v>0.3</v>
      </c>
      <c r="F129" s="186">
        <f>21*4</f>
        <v>84</v>
      </c>
      <c r="G129" s="134">
        <v>21</v>
      </c>
      <c r="H129" s="134">
        <v>21</v>
      </c>
      <c r="I129" s="134">
        <v>21</v>
      </c>
      <c r="J129" s="139">
        <f t="shared" si="241"/>
        <v>0.25</v>
      </c>
      <c r="K129" s="139">
        <f t="shared" si="242"/>
        <v>0.25</v>
      </c>
      <c r="L129" s="139">
        <f t="shared" si="243"/>
        <v>0.25</v>
      </c>
      <c r="M129" s="139">
        <f t="shared" si="244"/>
        <v>7.4999999999999997E-2</v>
      </c>
      <c r="N129" s="139">
        <f t="shared" si="245"/>
        <v>7.4999999999999997E-2</v>
      </c>
      <c r="O129" s="139"/>
      <c r="P129" s="134">
        <v>21</v>
      </c>
      <c r="Q129" s="496">
        <v>21</v>
      </c>
      <c r="R129" s="496">
        <v>0</v>
      </c>
      <c r="S129" s="496">
        <v>0</v>
      </c>
      <c r="T129" s="496"/>
      <c r="U129" s="496"/>
      <c r="V129" s="134">
        <f t="shared" si="173"/>
        <v>21</v>
      </c>
      <c r="W129" s="195">
        <f t="shared" si="219"/>
        <v>52.5</v>
      </c>
      <c r="X129" s="496">
        <f>21/4</f>
        <v>5.25</v>
      </c>
      <c r="Y129" s="496">
        <v>5.25</v>
      </c>
      <c r="Z129" s="134"/>
      <c r="AA129" s="134"/>
      <c r="AB129" s="134">
        <f t="shared" si="246"/>
        <v>10.5</v>
      </c>
      <c r="AC129" s="156">
        <f>+(P129/G129)</f>
        <v>1</v>
      </c>
      <c r="AD129" s="156">
        <v>1</v>
      </c>
      <c r="AE129" s="156">
        <f t="shared" si="248"/>
        <v>0.5</v>
      </c>
      <c r="AF129" s="156">
        <f>+AC129*E129</f>
        <v>0.3</v>
      </c>
      <c r="AG129" s="156">
        <f t="shared" si="249"/>
        <v>0.3</v>
      </c>
      <c r="AH129" s="156">
        <f t="shared" si="250"/>
        <v>0.15</v>
      </c>
      <c r="AI129" s="156">
        <f>+P129/F129</f>
        <v>0.25</v>
      </c>
      <c r="AJ129" s="156">
        <v>0.5</v>
      </c>
      <c r="AK129" s="156">
        <f t="shared" si="251"/>
        <v>0.625</v>
      </c>
      <c r="AL129" s="139">
        <f>+AI129*E129</f>
        <v>7.4999999999999997E-2</v>
      </c>
      <c r="AM129" s="139">
        <f t="shared" si="253"/>
        <v>0.15</v>
      </c>
      <c r="AN129" s="139">
        <f t="shared" si="252"/>
        <v>0.1875</v>
      </c>
      <c r="AO129" s="143" t="s">
        <v>1844</v>
      </c>
      <c r="AP129" s="526" t="s">
        <v>1886</v>
      </c>
      <c r="AQ129" s="526" t="s">
        <v>1991</v>
      </c>
      <c r="AR129" s="526" t="s">
        <v>2010</v>
      </c>
      <c r="AS129" s="782" t="s">
        <v>2107</v>
      </c>
      <c r="AT129" s="688" t="s">
        <v>2141</v>
      </c>
      <c r="AU129" s="526" t="s">
        <v>2196</v>
      </c>
      <c r="AV129" s="526" t="s">
        <v>1887</v>
      </c>
      <c r="AW129" s="526" t="s">
        <v>2294</v>
      </c>
    </row>
    <row r="130" spans="1:49" ht="67.2" customHeight="1" thickBot="1" x14ac:dyDescent="0.4">
      <c r="A130" s="223"/>
      <c r="B130" s="1390" t="s">
        <v>1055</v>
      </c>
      <c r="C130" s="1390" t="s">
        <v>1253</v>
      </c>
      <c r="D130" s="225" t="s">
        <v>560</v>
      </c>
      <c r="E130" s="188">
        <v>0.1</v>
      </c>
      <c r="F130" s="186">
        <v>7</v>
      </c>
      <c r="G130" s="134">
        <v>0</v>
      </c>
      <c r="H130" s="134">
        <v>1</v>
      </c>
      <c r="I130" s="134">
        <v>3</v>
      </c>
      <c r="J130" s="139"/>
      <c r="K130" s="139">
        <f t="shared" si="242"/>
        <v>0.14285714285714285</v>
      </c>
      <c r="L130" s="139">
        <f t="shared" si="243"/>
        <v>0.42857142857142855</v>
      </c>
      <c r="M130" s="139"/>
      <c r="N130" s="139">
        <f t="shared" si="245"/>
        <v>1.4285714285714285E-2</v>
      </c>
      <c r="O130" s="139"/>
      <c r="P130" s="195"/>
      <c r="Q130" s="496">
        <v>0</v>
      </c>
      <c r="R130" s="496">
        <v>0</v>
      </c>
      <c r="S130" s="496">
        <v>0</v>
      </c>
      <c r="T130" s="496"/>
      <c r="U130" s="195"/>
      <c r="V130" s="195">
        <f t="shared" si="173"/>
        <v>0</v>
      </c>
      <c r="W130" s="195">
        <f t="shared" si="219"/>
        <v>0</v>
      </c>
      <c r="X130" s="496">
        <v>0</v>
      </c>
      <c r="Y130" s="496">
        <v>0</v>
      </c>
      <c r="Z130" s="195"/>
      <c r="AA130" s="195"/>
      <c r="AB130" s="195">
        <f t="shared" si="246"/>
        <v>0</v>
      </c>
      <c r="AC130" s="156"/>
      <c r="AD130" s="156">
        <f t="shared" si="247"/>
        <v>0</v>
      </c>
      <c r="AE130" s="156">
        <f t="shared" si="248"/>
        <v>0</v>
      </c>
      <c r="AF130" s="156"/>
      <c r="AG130" s="156">
        <f t="shared" si="249"/>
        <v>0</v>
      </c>
      <c r="AH130" s="156">
        <f t="shared" si="250"/>
        <v>0</v>
      </c>
      <c r="AI130" s="156"/>
      <c r="AJ130" s="156">
        <v>0</v>
      </c>
      <c r="AK130" s="156">
        <f t="shared" si="251"/>
        <v>0</v>
      </c>
      <c r="AL130" s="139"/>
      <c r="AM130" s="139">
        <f t="shared" si="253"/>
        <v>0</v>
      </c>
      <c r="AN130" s="139">
        <f t="shared" si="252"/>
        <v>0</v>
      </c>
      <c r="AO130" s="143" t="s">
        <v>1844</v>
      </c>
      <c r="AP130" s="526" t="s">
        <v>1886</v>
      </c>
      <c r="AQ130" s="526" t="s">
        <v>1991</v>
      </c>
      <c r="AR130" s="526" t="s">
        <v>2010</v>
      </c>
      <c r="AS130" s="688" t="s">
        <v>2107</v>
      </c>
      <c r="AT130" s="688" t="s">
        <v>2141</v>
      </c>
      <c r="AU130" s="526" t="s">
        <v>2196</v>
      </c>
      <c r="AV130" s="526" t="s">
        <v>1887</v>
      </c>
      <c r="AW130" s="526" t="s">
        <v>2294</v>
      </c>
    </row>
    <row r="131" spans="1:49" ht="67.2" customHeight="1" thickBot="1" x14ac:dyDescent="0.4">
      <c r="A131" s="223"/>
      <c r="B131" s="1419" t="s">
        <v>1776</v>
      </c>
      <c r="C131" s="1375"/>
      <c r="D131" s="225"/>
      <c r="E131" s="192">
        <v>0.15</v>
      </c>
      <c r="F131" s="177"/>
      <c r="G131" s="127"/>
      <c r="H131" s="127"/>
      <c r="I131" s="127"/>
      <c r="J131" s="133">
        <f>+AVERAGE(J132:J133)</f>
        <v>0.41111111111111109</v>
      </c>
      <c r="K131" s="133">
        <f>+AVERAGE(K132:K133)</f>
        <v>0.41111111111111109</v>
      </c>
      <c r="L131" s="133">
        <f>+AVERAGE(L132:L133)</f>
        <v>0.41111111111111109</v>
      </c>
      <c r="M131" s="133">
        <f>+M132+M133</f>
        <v>0.37333333333333329</v>
      </c>
      <c r="N131" s="133">
        <f>+N132+N133</f>
        <v>0.37333333333333329</v>
      </c>
      <c r="O131" s="133"/>
      <c r="P131" s="132"/>
      <c r="Q131" s="132"/>
      <c r="R131" s="132"/>
      <c r="S131" s="132"/>
      <c r="T131" s="132"/>
      <c r="U131" s="839"/>
      <c r="V131" s="134"/>
      <c r="W131" s="195"/>
      <c r="X131" s="132"/>
      <c r="Y131" s="132"/>
      <c r="Z131" s="132"/>
      <c r="AA131" s="132"/>
      <c r="AB131" s="132"/>
      <c r="AC131" s="154">
        <f>+AVERAGE(AC132:AC133)</f>
        <v>1</v>
      </c>
      <c r="AD131" s="154">
        <f>+AVERAGE(AD132:AD133)</f>
        <v>1</v>
      </c>
      <c r="AE131" s="154">
        <f>+AVERAGE(AE132:AE133)</f>
        <v>0.41666666666666663</v>
      </c>
      <c r="AF131" s="154">
        <f>+(AF132+AF133)*E131</f>
        <v>0.15</v>
      </c>
      <c r="AG131" s="154">
        <f>+(AG132+AG133)*E131</f>
        <v>0.15</v>
      </c>
      <c r="AH131" s="154">
        <f>+(AH132+AH133)*E131</f>
        <v>6.5000000000000002E-2</v>
      </c>
      <c r="AI131" s="133">
        <f>+AVERAGE(AI132:AI133)</f>
        <v>0.31111111111111112</v>
      </c>
      <c r="AJ131" s="133">
        <v>0.72222222222222221</v>
      </c>
      <c r="AK131" s="133">
        <f>+AVERAGE(AK132:AK133)</f>
        <v>0.77777777777777779</v>
      </c>
      <c r="AL131" s="133">
        <f>+(AL132+AL133)*E131</f>
        <v>4.3999999999999997E-2</v>
      </c>
      <c r="AM131" s="133">
        <f>+(AM132+AM133)</f>
        <v>0.66666666666666674</v>
      </c>
      <c r="AN131" s="133">
        <f>+(AN132+AN133)</f>
        <v>0.73333333333333339</v>
      </c>
      <c r="AO131" s="127"/>
      <c r="AP131" s="127"/>
      <c r="AQ131" s="127"/>
      <c r="AR131" s="127"/>
      <c r="AS131" s="564"/>
      <c r="AT131" s="564"/>
      <c r="AU131" s="127"/>
      <c r="AV131" s="490"/>
    </row>
    <row r="132" spans="1:49" ht="67.2" customHeight="1" thickBot="1" x14ac:dyDescent="0.4">
      <c r="A132" s="223"/>
      <c r="B132" s="1390" t="s">
        <v>1056</v>
      </c>
      <c r="C132" s="1390" t="s">
        <v>1254</v>
      </c>
      <c r="D132" s="225" t="s">
        <v>560</v>
      </c>
      <c r="E132" s="188">
        <v>0.6</v>
      </c>
      <c r="F132" s="186">
        <v>9</v>
      </c>
      <c r="G132" s="134">
        <v>2</v>
      </c>
      <c r="H132" s="134">
        <v>2</v>
      </c>
      <c r="I132" s="134">
        <v>2</v>
      </c>
      <c r="J132" s="139">
        <f>+G132/F132</f>
        <v>0.22222222222222221</v>
      </c>
      <c r="K132" s="139">
        <f t="shared" ref="K132:K133" si="254">+H132/F132</f>
        <v>0.22222222222222221</v>
      </c>
      <c r="L132" s="139">
        <f t="shared" ref="L132:L133" si="255">+I132/F132</f>
        <v>0.22222222222222221</v>
      </c>
      <c r="M132" s="139">
        <f>+(G132/F132)*E132</f>
        <v>0.13333333333333333</v>
      </c>
      <c r="N132" s="139">
        <f t="shared" ref="N132:N133" si="256">+(H132/F132)*E132</f>
        <v>0.13333333333333333</v>
      </c>
      <c r="O132" s="139"/>
      <c r="P132" s="134">
        <v>2</v>
      </c>
      <c r="Q132" s="496">
        <v>0</v>
      </c>
      <c r="R132" s="496">
        <v>0</v>
      </c>
      <c r="S132" s="496">
        <v>2</v>
      </c>
      <c r="T132" s="496"/>
      <c r="U132" s="496"/>
      <c r="V132" s="134">
        <f t="shared" si="173"/>
        <v>2</v>
      </c>
      <c r="W132" s="195">
        <f t="shared" si="219"/>
        <v>5</v>
      </c>
      <c r="X132" s="496">
        <v>1</v>
      </c>
      <c r="Y132" s="496">
        <v>0</v>
      </c>
      <c r="Z132" s="134"/>
      <c r="AA132" s="134"/>
      <c r="AB132" s="134">
        <f t="shared" ref="AB132:AB138" si="257">+X132+Y132+Z132+AA132</f>
        <v>1</v>
      </c>
      <c r="AC132" s="139">
        <f>+(P132/G132)</f>
        <v>1</v>
      </c>
      <c r="AD132" s="139">
        <f t="shared" si="247"/>
        <v>1</v>
      </c>
      <c r="AE132" s="139">
        <f t="shared" ref="AE132:AE133" si="258">+AB132/I132</f>
        <v>0.5</v>
      </c>
      <c r="AF132" s="139">
        <f>+AC132*E132</f>
        <v>0.6</v>
      </c>
      <c r="AG132" s="139">
        <f t="shared" ref="AG132:AG133" si="259">+AD132*E132</f>
        <v>0.6</v>
      </c>
      <c r="AH132" s="139">
        <f t="shared" ref="AH132:AH133" si="260">+AE132*E132</f>
        <v>0.3</v>
      </c>
      <c r="AI132" s="139">
        <f>+P132/F132</f>
        <v>0.22222222222222221</v>
      </c>
      <c r="AJ132" s="139">
        <v>0.44444444444444442</v>
      </c>
      <c r="AK132" s="139">
        <f t="shared" ref="AK132" si="261">+W132/F132</f>
        <v>0.55555555555555558</v>
      </c>
      <c r="AL132" s="139">
        <f>+AI132*E132</f>
        <v>0.13333333333333333</v>
      </c>
      <c r="AM132" s="139">
        <f>+AJ132*E132</f>
        <v>0.26666666666666666</v>
      </c>
      <c r="AN132" s="139">
        <f t="shared" ref="AN132:AN133" si="262">+AK132*E132</f>
        <v>0.33333333333333331</v>
      </c>
      <c r="AO132" s="143" t="s">
        <v>1844</v>
      </c>
      <c r="AP132" s="526" t="s">
        <v>1886</v>
      </c>
      <c r="AQ132" s="526" t="s">
        <v>1991</v>
      </c>
      <c r="AR132" s="526" t="s">
        <v>2010</v>
      </c>
      <c r="AS132" s="688" t="s">
        <v>2107</v>
      </c>
      <c r="AT132" s="688" t="s">
        <v>2141</v>
      </c>
      <c r="AU132" s="526" t="s">
        <v>2196</v>
      </c>
      <c r="AV132" s="526" t="s">
        <v>1887</v>
      </c>
      <c r="AW132" s="526" t="s">
        <v>2294</v>
      </c>
    </row>
    <row r="133" spans="1:49" ht="67.2" customHeight="1" thickBot="1" x14ac:dyDescent="0.4">
      <c r="A133" s="223"/>
      <c r="B133" s="1390" t="s">
        <v>1057</v>
      </c>
      <c r="C133" s="1390" t="s">
        <v>1255</v>
      </c>
      <c r="D133" s="225" t="s">
        <v>560</v>
      </c>
      <c r="E133" s="188">
        <v>0.4</v>
      </c>
      <c r="F133" s="186">
        <v>5</v>
      </c>
      <c r="G133" s="134">
        <v>3</v>
      </c>
      <c r="H133" s="134">
        <v>3</v>
      </c>
      <c r="I133" s="134">
        <v>3</v>
      </c>
      <c r="J133" s="139">
        <f>+G133/F133</f>
        <v>0.6</v>
      </c>
      <c r="K133" s="139">
        <f t="shared" si="254"/>
        <v>0.6</v>
      </c>
      <c r="L133" s="139">
        <f t="shared" si="255"/>
        <v>0.6</v>
      </c>
      <c r="M133" s="139">
        <f>+(G133/F133)*E133</f>
        <v>0.24</v>
      </c>
      <c r="N133" s="139">
        <f t="shared" si="256"/>
        <v>0.24</v>
      </c>
      <c r="O133" s="139"/>
      <c r="P133" s="134">
        <v>2</v>
      </c>
      <c r="Q133" s="496">
        <v>0</v>
      </c>
      <c r="R133" s="496">
        <v>3</v>
      </c>
      <c r="S133" s="496">
        <v>3</v>
      </c>
      <c r="T133" s="496">
        <v>1</v>
      </c>
      <c r="U133" s="496"/>
      <c r="V133" s="134">
        <f t="shared" si="173"/>
        <v>7</v>
      </c>
      <c r="W133" s="195">
        <f t="shared" si="219"/>
        <v>10</v>
      </c>
      <c r="X133" s="496">
        <v>1</v>
      </c>
      <c r="Y133" s="496">
        <v>0</v>
      </c>
      <c r="Z133" s="134"/>
      <c r="AA133" s="134"/>
      <c r="AB133" s="134">
        <f t="shared" si="257"/>
        <v>1</v>
      </c>
      <c r="AC133" s="139">
        <v>1</v>
      </c>
      <c r="AD133" s="139">
        <v>1</v>
      </c>
      <c r="AE133" s="139">
        <f t="shared" si="258"/>
        <v>0.33333333333333331</v>
      </c>
      <c r="AF133" s="139">
        <f>+AC133*E133</f>
        <v>0.4</v>
      </c>
      <c r="AG133" s="139">
        <f t="shared" si="259"/>
        <v>0.4</v>
      </c>
      <c r="AH133" s="139">
        <f t="shared" si="260"/>
        <v>0.13333333333333333</v>
      </c>
      <c r="AI133" s="139">
        <f>+P133/F133</f>
        <v>0.4</v>
      </c>
      <c r="AJ133" s="139">
        <v>1</v>
      </c>
      <c r="AK133" s="139">
        <v>1</v>
      </c>
      <c r="AL133" s="139">
        <f>+AI133*E133</f>
        <v>0.16000000000000003</v>
      </c>
      <c r="AM133" s="139">
        <f>+AJ133*E133</f>
        <v>0.4</v>
      </c>
      <c r="AN133" s="139">
        <f t="shared" si="262"/>
        <v>0.4</v>
      </c>
      <c r="AO133" s="143" t="s">
        <v>1844</v>
      </c>
      <c r="AP133" s="526" t="s">
        <v>1886</v>
      </c>
      <c r="AQ133" s="526" t="s">
        <v>1588</v>
      </c>
      <c r="AR133" s="526" t="s">
        <v>2010</v>
      </c>
      <c r="AS133" s="688" t="s">
        <v>2107</v>
      </c>
      <c r="AT133" s="688" t="s">
        <v>2141</v>
      </c>
      <c r="AU133" s="526" t="s">
        <v>2196</v>
      </c>
      <c r="AV133" s="526" t="s">
        <v>1887</v>
      </c>
      <c r="AW133" s="526" t="s">
        <v>2294</v>
      </c>
    </row>
    <row r="134" spans="1:49" ht="67.2" customHeight="1" thickBot="1" x14ac:dyDescent="0.4">
      <c r="A134" s="223"/>
      <c r="B134" s="1419" t="s">
        <v>1833</v>
      </c>
      <c r="C134" s="1375"/>
      <c r="D134" s="225"/>
      <c r="E134" s="192">
        <v>0.2</v>
      </c>
      <c r="F134" s="177"/>
      <c r="G134" s="127"/>
      <c r="H134" s="127"/>
      <c r="I134" s="127"/>
      <c r="J134" s="133">
        <f>+AVERAGE(J135:J138)</f>
        <v>0.25</v>
      </c>
      <c r="K134" s="133">
        <f>+AVERAGE(K135:K138)</f>
        <v>0.25</v>
      </c>
      <c r="L134" s="133">
        <f>+AVERAGE(L135:L138)</f>
        <v>0.33333333333333331</v>
      </c>
      <c r="M134" s="133">
        <f>+M135+M136+M137+M138</f>
        <v>0.2</v>
      </c>
      <c r="N134" s="133">
        <f>+N135+N136+N137+N138</f>
        <v>0.27500000000000002</v>
      </c>
      <c r="O134" s="133"/>
      <c r="P134" s="132"/>
      <c r="Q134" s="132"/>
      <c r="R134" s="132"/>
      <c r="S134" s="132"/>
      <c r="T134" s="132"/>
      <c r="U134" s="839"/>
      <c r="V134" s="134"/>
      <c r="W134" s="195"/>
      <c r="X134" s="132"/>
      <c r="Y134" s="132"/>
      <c r="Z134" s="132"/>
      <c r="AA134" s="132"/>
      <c r="AB134" s="134"/>
      <c r="AC134" s="154">
        <f>+AVERAGE(AC135:AC138)</f>
        <v>0.625</v>
      </c>
      <c r="AD134" s="154">
        <f>+AVERAGE(AD135:AD138)</f>
        <v>0.72222222222222221</v>
      </c>
      <c r="AE134" s="154">
        <f>+AVERAGE(AE135:AE138)</f>
        <v>0.21111111111111111</v>
      </c>
      <c r="AF134" s="154">
        <f>+(AF135+AF136+AF137+AF138)*E134</f>
        <v>0.1</v>
      </c>
      <c r="AG134" s="154">
        <f>+(AG135+AG136+AG137+AG138)*F134</f>
        <v>0</v>
      </c>
      <c r="AH134" s="154">
        <f>+(AH135+AH136+AH137+AH138)*E134</f>
        <v>3.5666666666666673E-2</v>
      </c>
      <c r="AI134" s="133">
        <f>+AVERAGE(AI135:AI138)</f>
        <v>0.15625</v>
      </c>
      <c r="AJ134" s="133">
        <v>0.35416666666666669</v>
      </c>
      <c r="AK134" s="133">
        <f>+AVERAGE(AK135:AK138)</f>
        <v>0.38645833333333335</v>
      </c>
      <c r="AL134" s="133">
        <f>+(AL135+AL136+AL137+AL138)*E134</f>
        <v>2.5000000000000001E-2</v>
      </c>
      <c r="AM134" s="133">
        <f>+(AM135+AM136+AM137+AM138)</f>
        <v>0.31666666666666665</v>
      </c>
      <c r="AN134" s="133">
        <f>+(AN135+AN136+AN137+AN138)</f>
        <v>0.45583333333333337</v>
      </c>
      <c r="AO134" s="127"/>
      <c r="AP134" s="127"/>
      <c r="AQ134" s="127"/>
      <c r="AR134" s="127"/>
      <c r="AS134" s="564"/>
      <c r="AT134" s="564"/>
      <c r="AU134" s="127"/>
      <c r="AV134" s="490"/>
    </row>
    <row r="135" spans="1:49" ht="95.4" customHeight="1" thickBot="1" x14ac:dyDescent="0.4">
      <c r="A135" s="223"/>
      <c r="B135" s="1390" t="s">
        <v>1058</v>
      </c>
      <c r="C135" s="1390" t="s">
        <v>1256</v>
      </c>
      <c r="D135" s="225" t="s">
        <v>1059</v>
      </c>
      <c r="E135" s="188">
        <v>0.15</v>
      </c>
      <c r="F135" s="186">
        <v>1</v>
      </c>
      <c r="G135" s="134">
        <v>0</v>
      </c>
      <c r="H135" s="134">
        <v>0.5</v>
      </c>
      <c r="I135" s="134">
        <v>0.5</v>
      </c>
      <c r="J135" s="139"/>
      <c r="K135" s="139">
        <f t="shared" ref="K135:K138" si="263">+H135/F135</f>
        <v>0.5</v>
      </c>
      <c r="L135" s="139">
        <f t="shared" ref="L135:L138" si="264">+I135/F135</f>
        <v>0.5</v>
      </c>
      <c r="M135" s="139"/>
      <c r="N135" s="139">
        <f t="shared" ref="N135:N138" si="265">+(H135/F135)*E135</f>
        <v>7.4999999999999997E-2</v>
      </c>
      <c r="O135" s="139"/>
      <c r="P135" s="134"/>
      <c r="Q135" s="496">
        <v>0</v>
      </c>
      <c r="R135" s="496">
        <v>0</v>
      </c>
      <c r="S135" s="496">
        <v>0.2</v>
      </c>
      <c r="T135" s="496">
        <v>0.1</v>
      </c>
      <c r="U135" s="496">
        <v>0.2</v>
      </c>
      <c r="V135" s="134">
        <f t="shared" si="173"/>
        <v>0.5</v>
      </c>
      <c r="W135" s="195">
        <f>+V135+P135+AB135</f>
        <v>0.65</v>
      </c>
      <c r="X135" s="496">
        <v>0.05</v>
      </c>
      <c r="Y135" s="496">
        <v>0.1</v>
      </c>
      <c r="Z135" s="134"/>
      <c r="AA135" s="134"/>
      <c r="AB135" s="134">
        <f t="shared" si="257"/>
        <v>0.15000000000000002</v>
      </c>
      <c r="AC135" s="156"/>
      <c r="AD135" s="156">
        <f t="shared" si="247"/>
        <v>1</v>
      </c>
      <c r="AE135" s="156">
        <f t="shared" ref="AE135:AE138" si="266">+AB135/I135</f>
        <v>0.30000000000000004</v>
      </c>
      <c r="AF135" s="156"/>
      <c r="AG135" s="156"/>
      <c r="AH135" s="156">
        <f t="shared" ref="AH135:AH138" si="267">+AE135*E135</f>
        <v>4.5000000000000005E-2</v>
      </c>
      <c r="AI135" s="156"/>
      <c r="AJ135" s="156">
        <v>0.5</v>
      </c>
      <c r="AK135" s="156">
        <f t="shared" ref="AK135:AK138" si="268">+W135/F135</f>
        <v>0.65</v>
      </c>
      <c r="AL135" s="156"/>
      <c r="AM135" s="156">
        <f>+AJ135*E135</f>
        <v>7.4999999999999997E-2</v>
      </c>
      <c r="AN135" s="156">
        <f t="shared" ref="AN135:AN138" si="269">+AK135*E135</f>
        <v>9.7500000000000003E-2</v>
      </c>
      <c r="AO135" s="143" t="s">
        <v>1844</v>
      </c>
      <c r="AP135" s="127"/>
      <c r="AQ135" s="526" t="s">
        <v>1991</v>
      </c>
      <c r="AR135" s="526" t="s">
        <v>2010</v>
      </c>
      <c r="AS135" s="781" t="s">
        <v>2093</v>
      </c>
      <c r="AT135" s="688" t="s">
        <v>2141</v>
      </c>
      <c r="AU135" s="526" t="s">
        <v>2196</v>
      </c>
      <c r="AV135" s="526" t="s">
        <v>1887</v>
      </c>
      <c r="AW135" s="526" t="s">
        <v>2294</v>
      </c>
    </row>
    <row r="136" spans="1:49" ht="67.2" customHeight="1" thickBot="1" x14ac:dyDescent="0.4">
      <c r="A136" s="223"/>
      <c r="B136" s="1390" t="s">
        <v>1060</v>
      </c>
      <c r="C136" s="1390" t="s">
        <v>1257</v>
      </c>
      <c r="D136" s="225" t="s">
        <v>560</v>
      </c>
      <c r="E136" s="188">
        <v>0.05</v>
      </c>
      <c r="F136" s="186">
        <v>1</v>
      </c>
      <c r="G136" s="134">
        <v>0</v>
      </c>
      <c r="H136" s="134">
        <v>0</v>
      </c>
      <c r="I136" s="134">
        <v>0</v>
      </c>
      <c r="J136" s="139"/>
      <c r="K136" s="139">
        <f t="shared" si="263"/>
        <v>0</v>
      </c>
      <c r="L136" s="139"/>
      <c r="M136" s="139"/>
      <c r="N136" s="139">
        <f t="shared" si="265"/>
        <v>0</v>
      </c>
      <c r="O136" s="139"/>
      <c r="P136" s="134"/>
      <c r="Q136" s="496"/>
      <c r="R136" s="496"/>
      <c r="S136" s="496"/>
      <c r="T136" s="496"/>
      <c r="U136" s="496"/>
      <c r="V136" s="134">
        <f t="shared" si="173"/>
        <v>0</v>
      </c>
      <c r="W136" s="195">
        <f t="shared" si="219"/>
        <v>0</v>
      </c>
      <c r="X136" s="496"/>
      <c r="Y136" s="496"/>
      <c r="Z136" s="134"/>
      <c r="AA136" s="134"/>
      <c r="AB136" s="134">
        <f t="shared" si="257"/>
        <v>0</v>
      </c>
      <c r="AC136" s="156"/>
      <c r="AD136" s="156"/>
      <c r="AE136" s="156"/>
      <c r="AF136" s="156"/>
      <c r="AG136" s="156"/>
      <c r="AH136" s="156">
        <f t="shared" si="267"/>
        <v>0</v>
      </c>
      <c r="AI136" s="156"/>
      <c r="AJ136" s="156"/>
      <c r="AK136" s="156">
        <f t="shared" si="268"/>
        <v>0</v>
      </c>
      <c r="AL136" s="156"/>
      <c r="AM136" s="156">
        <f>+AJ136*E136</f>
        <v>0</v>
      </c>
      <c r="AN136" s="156">
        <f t="shared" si="269"/>
        <v>0</v>
      </c>
      <c r="AO136" s="143" t="s">
        <v>1844</v>
      </c>
      <c r="AP136" s="127"/>
      <c r="AQ136" s="526" t="s">
        <v>1991</v>
      </c>
      <c r="AR136" s="526" t="s">
        <v>2010</v>
      </c>
      <c r="AS136" s="688" t="s">
        <v>2107</v>
      </c>
      <c r="AT136" s="688" t="s">
        <v>2141</v>
      </c>
      <c r="AU136" s="526" t="s">
        <v>2196</v>
      </c>
      <c r="AV136" s="526" t="s">
        <v>1887</v>
      </c>
      <c r="AW136" s="526" t="s">
        <v>2294</v>
      </c>
    </row>
    <row r="137" spans="1:49" ht="67.2" customHeight="1" thickBot="1" x14ac:dyDescent="0.4">
      <c r="A137" s="223"/>
      <c r="B137" s="1390" t="s">
        <v>1061</v>
      </c>
      <c r="C137" s="1390" t="s">
        <v>1258</v>
      </c>
      <c r="D137" s="225" t="s">
        <v>560</v>
      </c>
      <c r="E137" s="188">
        <v>0.4</v>
      </c>
      <c r="F137" s="186">
        <v>48</v>
      </c>
      <c r="G137" s="134">
        <v>12</v>
      </c>
      <c r="H137" s="134">
        <v>12</v>
      </c>
      <c r="I137" s="134">
        <v>12</v>
      </c>
      <c r="J137" s="139">
        <f>+G137/F137</f>
        <v>0.25</v>
      </c>
      <c r="K137" s="139">
        <f t="shared" si="263"/>
        <v>0.25</v>
      </c>
      <c r="L137" s="139">
        <f>+I137/F137</f>
        <v>0.25</v>
      </c>
      <c r="M137" s="139">
        <f>+(G137/F137)*E137</f>
        <v>0.1</v>
      </c>
      <c r="N137" s="139">
        <f t="shared" si="265"/>
        <v>0.1</v>
      </c>
      <c r="O137" s="139"/>
      <c r="P137" s="134">
        <v>11</v>
      </c>
      <c r="Q137" s="496">
        <v>0</v>
      </c>
      <c r="R137" s="496">
        <v>2</v>
      </c>
      <c r="S137" s="496">
        <v>3</v>
      </c>
      <c r="T137" s="496">
        <v>1</v>
      </c>
      <c r="U137" s="496"/>
      <c r="V137" s="134">
        <f t="shared" si="173"/>
        <v>6</v>
      </c>
      <c r="W137" s="195">
        <f>+V137+P137+AB137+6</f>
        <v>23</v>
      </c>
      <c r="X137" s="496">
        <v>0</v>
      </c>
      <c r="Y137" s="496">
        <v>0</v>
      </c>
      <c r="Z137" s="134"/>
      <c r="AA137" s="134"/>
      <c r="AB137" s="134">
        <f t="shared" si="257"/>
        <v>0</v>
      </c>
      <c r="AC137" s="156">
        <f>+(P137/G137)</f>
        <v>0.91666666666666663</v>
      </c>
      <c r="AD137" s="156">
        <f t="shared" si="247"/>
        <v>0.5</v>
      </c>
      <c r="AE137" s="156">
        <f t="shared" si="266"/>
        <v>0</v>
      </c>
      <c r="AF137" s="156">
        <f>+AC137*E137</f>
        <v>0.3666666666666667</v>
      </c>
      <c r="AG137" s="156">
        <f t="shared" ref="AG137:AG138" si="270">+AD137*E137</f>
        <v>0.2</v>
      </c>
      <c r="AH137" s="156">
        <f t="shared" si="267"/>
        <v>0</v>
      </c>
      <c r="AI137" s="156">
        <f>+P137/F137</f>
        <v>0.22916666666666666</v>
      </c>
      <c r="AJ137" s="156">
        <v>0.35416666666666669</v>
      </c>
      <c r="AK137" s="156">
        <f t="shared" si="268"/>
        <v>0.47916666666666669</v>
      </c>
      <c r="AL137" s="156">
        <f>+AI137*E137</f>
        <v>9.1666666666666674E-2</v>
      </c>
      <c r="AM137" s="156">
        <f>+AJ137*E137</f>
        <v>0.14166666666666669</v>
      </c>
      <c r="AN137" s="156">
        <f t="shared" si="269"/>
        <v>0.19166666666666668</v>
      </c>
      <c r="AO137" s="143" t="s">
        <v>1844</v>
      </c>
      <c r="AP137" s="526" t="s">
        <v>1886</v>
      </c>
      <c r="AQ137" s="526" t="s">
        <v>1991</v>
      </c>
      <c r="AR137" s="526" t="s">
        <v>2010</v>
      </c>
      <c r="AS137" s="688" t="s">
        <v>2107</v>
      </c>
      <c r="AT137" s="688" t="s">
        <v>2141</v>
      </c>
      <c r="AU137" s="526" t="s">
        <v>2196</v>
      </c>
      <c r="AV137" s="526" t="s">
        <v>1887</v>
      </c>
      <c r="AW137" s="526" t="s">
        <v>2294</v>
      </c>
    </row>
    <row r="138" spans="1:49" ht="148.94999999999999" customHeight="1" thickBot="1" x14ac:dyDescent="0.4">
      <c r="A138" s="223"/>
      <c r="B138" s="1390" t="s">
        <v>1062</v>
      </c>
      <c r="C138" s="1390" t="s">
        <v>1259</v>
      </c>
      <c r="D138" s="225" t="s">
        <v>560</v>
      </c>
      <c r="E138" s="188">
        <v>0.4</v>
      </c>
      <c r="F138" s="186">
        <v>12</v>
      </c>
      <c r="G138" s="134">
        <v>3</v>
      </c>
      <c r="H138" s="134">
        <v>3</v>
      </c>
      <c r="I138" s="134">
        <v>3</v>
      </c>
      <c r="J138" s="139">
        <f>+G138/F138</f>
        <v>0.25</v>
      </c>
      <c r="K138" s="139">
        <f t="shared" si="263"/>
        <v>0.25</v>
      </c>
      <c r="L138" s="139">
        <f t="shared" si="264"/>
        <v>0.25</v>
      </c>
      <c r="M138" s="139">
        <f>+(G138/F138)*E138</f>
        <v>0.1</v>
      </c>
      <c r="N138" s="139">
        <f t="shared" si="265"/>
        <v>0.1</v>
      </c>
      <c r="O138" s="139"/>
      <c r="P138" s="134">
        <v>1</v>
      </c>
      <c r="Q138" s="496">
        <v>1</v>
      </c>
      <c r="R138" s="496">
        <v>0</v>
      </c>
      <c r="S138" s="496">
        <v>0</v>
      </c>
      <c r="T138" s="496">
        <v>1</v>
      </c>
      <c r="U138" s="496">
        <v>0</v>
      </c>
      <c r="V138" s="134">
        <f t="shared" si="173"/>
        <v>2</v>
      </c>
      <c r="W138" s="195">
        <f>+V138+P138+AB138+1</f>
        <v>5</v>
      </c>
      <c r="X138" s="496">
        <v>1</v>
      </c>
      <c r="Y138" s="496"/>
      <c r="Z138" s="134"/>
      <c r="AA138" s="134"/>
      <c r="AB138" s="134">
        <f t="shared" si="257"/>
        <v>1</v>
      </c>
      <c r="AC138" s="156">
        <f>+(P138/G138)</f>
        <v>0.33333333333333331</v>
      </c>
      <c r="AD138" s="156">
        <f t="shared" si="247"/>
        <v>0.66666666666666663</v>
      </c>
      <c r="AE138" s="156">
        <f t="shared" si="266"/>
        <v>0.33333333333333331</v>
      </c>
      <c r="AF138" s="156">
        <f>+AC138*E138</f>
        <v>0.13333333333333333</v>
      </c>
      <c r="AG138" s="156">
        <f t="shared" si="270"/>
        <v>0.26666666666666666</v>
      </c>
      <c r="AH138" s="156">
        <f t="shared" si="267"/>
        <v>0.13333333333333333</v>
      </c>
      <c r="AI138" s="156">
        <f>+P138/F138</f>
        <v>8.3333333333333329E-2</v>
      </c>
      <c r="AJ138" s="156">
        <v>0.25</v>
      </c>
      <c r="AK138" s="156">
        <f t="shared" si="268"/>
        <v>0.41666666666666669</v>
      </c>
      <c r="AL138" s="156">
        <f>+AI138*E138</f>
        <v>3.3333333333333333E-2</v>
      </c>
      <c r="AM138" s="156">
        <f>+AJ138*E138</f>
        <v>0.1</v>
      </c>
      <c r="AN138" s="156">
        <f t="shared" si="269"/>
        <v>0.16666666666666669</v>
      </c>
      <c r="AO138" s="242" t="s">
        <v>1844</v>
      </c>
      <c r="AP138" s="526" t="s">
        <v>1886</v>
      </c>
      <c r="AQ138" s="526" t="s">
        <v>1991</v>
      </c>
      <c r="AR138" s="526" t="s">
        <v>2010</v>
      </c>
      <c r="AS138" s="688" t="s">
        <v>2107</v>
      </c>
      <c r="AT138" s="688" t="s">
        <v>2141</v>
      </c>
      <c r="AU138" s="526" t="s">
        <v>2196</v>
      </c>
      <c r="AV138" s="526" t="s">
        <v>1887</v>
      </c>
      <c r="AW138" s="526" t="s">
        <v>2294</v>
      </c>
    </row>
    <row r="139" spans="1:49" ht="67.2" customHeight="1" thickBot="1" x14ac:dyDescent="0.4">
      <c r="A139" s="223"/>
      <c r="B139" s="1419" t="s">
        <v>1778</v>
      </c>
      <c r="C139" s="1375"/>
      <c r="D139" s="225"/>
      <c r="E139" s="192">
        <v>0.05</v>
      </c>
      <c r="F139" s="177"/>
      <c r="G139" s="127"/>
      <c r="H139" s="127"/>
      <c r="I139" s="127"/>
      <c r="J139" s="133">
        <f>+AVERAGE(J140:J141)</f>
        <v>0.15625</v>
      </c>
      <c r="K139" s="133">
        <f>+AVERAGE(K140:K141)</f>
        <v>0.28125</v>
      </c>
      <c r="L139" s="133">
        <f>+AVERAGE(L140:L141)</f>
        <v>0.25624999999999998</v>
      </c>
      <c r="M139" s="133">
        <f>+M140+M141</f>
        <v>0.15625</v>
      </c>
      <c r="N139" s="133">
        <f>+N140+N141</f>
        <v>0.28125</v>
      </c>
      <c r="O139" s="133"/>
      <c r="P139" s="132"/>
      <c r="Q139" s="132"/>
      <c r="R139" s="132"/>
      <c r="S139" s="132"/>
      <c r="T139" s="132"/>
      <c r="U139" s="839"/>
      <c r="V139" s="134"/>
      <c r="W139" s="195"/>
      <c r="X139" s="132"/>
      <c r="Y139" s="132"/>
      <c r="Z139" s="132"/>
      <c r="AA139" s="132"/>
      <c r="AB139" s="132"/>
      <c r="AC139" s="154">
        <f>+AVERAGE(AC140:AC141)</f>
        <v>1</v>
      </c>
      <c r="AD139" s="154">
        <f>+AVERAGE(AD140:AD141)</f>
        <v>0.75600000000000001</v>
      </c>
      <c r="AE139" s="154">
        <f>+AVERAGE(AE140:AE141)</f>
        <v>0.44109756097560981</v>
      </c>
      <c r="AF139" s="154">
        <f>+(AF140+AF141)*E139</f>
        <v>0.05</v>
      </c>
      <c r="AG139" s="154">
        <f>+(AG140+AG141)*F139</f>
        <v>0</v>
      </c>
      <c r="AH139" s="154">
        <f>+(AH140+AH141)*E139</f>
        <v>2.2054878048780494E-2</v>
      </c>
      <c r="AI139" s="133">
        <f>+AVERAGE(AI140:AI141)</f>
        <v>0.15625</v>
      </c>
      <c r="AJ139" s="133">
        <v>0.46</v>
      </c>
      <c r="AK139" s="133">
        <f>+AVERAGE(AK140:AK141)</f>
        <v>0.64085000000000003</v>
      </c>
      <c r="AL139" s="183">
        <f>+(AL140+AL141)*E139</f>
        <v>7.8125E-3</v>
      </c>
      <c r="AM139" s="183">
        <f>+(AM140+AM141)</f>
        <v>0.46</v>
      </c>
      <c r="AN139" s="183">
        <f>+(AN140+AN141)</f>
        <v>0.64085000000000003</v>
      </c>
      <c r="AO139" s="127"/>
      <c r="AP139" s="127"/>
      <c r="AQ139" s="127"/>
      <c r="AR139" s="127"/>
      <c r="AS139" s="564"/>
      <c r="AT139" s="564"/>
      <c r="AU139" s="127"/>
      <c r="AV139" s="490"/>
    </row>
    <row r="140" spans="1:49" ht="95.4" customHeight="1" thickBot="1" x14ac:dyDescent="0.4">
      <c r="A140" s="223"/>
      <c r="B140" s="1390" t="s">
        <v>1063</v>
      </c>
      <c r="C140" s="1390" t="s">
        <v>1260</v>
      </c>
      <c r="D140" s="225" t="s">
        <v>1064</v>
      </c>
      <c r="E140" s="188">
        <v>0.5</v>
      </c>
      <c r="F140" s="848">
        <v>4</v>
      </c>
      <c r="G140" s="134">
        <v>0.25</v>
      </c>
      <c r="H140" s="134">
        <f>1+0.25</f>
        <v>1.25</v>
      </c>
      <c r="I140" s="134">
        <v>0.41</v>
      </c>
      <c r="J140" s="139">
        <f>+G140/F140</f>
        <v>6.25E-2</v>
      </c>
      <c r="K140" s="139">
        <f t="shared" ref="K140:K141" si="271">+H140/F140</f>
        <v>0.3125</v>
      </c>
      <c r="L140" s="139">
        <f t="shared" ref="L140:L141" si="272">+I140/F140</f>
        <v>0.10249999999999999</v>
      </c>
      <c r="M140" s="139">
        <f>+(G140/F140)*E140</f>
        <v>3.125E-2</v>
      </c>
      <c r="N140" s="139">
        <f t="shared" ref="N140:N141" si="273">+(H140/F140)*E140</f>
        <v>0.15625</v>
      </c>
      <c r="O140" s="139"/>
      <c r="P140" s="195">
        <v>0.25</v>
      </c>
      <c r="Q140" s="496">
        <v>0.05</v>
      </c>
      <c r="R140" s="496">
        <v>0.03</v>
      </c>
      <c r="S140" s="496">
        <v>0.08</v>
      </c>
      <c r="T140" s="496">
        <v>0.05</v>
      </c>
      <c r="U140" s="496">
        <v>0</v>
      </c>
      <c r="V140" s="195">
        <f t="shared" si="173"/>
        <v>0.21000000000000002</v>
      </c>
      <c r="W140" s="195">
        <f t="shared" si="219"/>
        <v>0.5484</v>
      </c>
      <c r="X140" s="496">
        <v>8.8400000000000006E-2</v>
      </c>
      <c r="Y140" s="195"/>
      <c r="Z140" s="195"/>
      <c r="AA140" s="195"/>
      <c r="AB140" s="195">
        <f t="shared" ref="AB140:AB141" si="274">+X140+Y140+Z140+AA140</f>
        <v>8.8400000000000006E-2</v>
      </c>
      <c r="AC140" s="139">
        <f>+(P140/G140)</f>
        <v>1</v>
      </c>
      <c r="AD140" s="139">
        <f>+V140/((H140/4))</f>
        <v>0.67200000000000004</v>
      </c>
      <c r="AE140" s="156">
        <f t="shared" ref="AE140" si="275">+AB140/I140</f>
        <v>0.215609756097561</v>
      </c>
      <c r="AF140" s="139">
        <f>+AC140*E140</f>
        <v>0.5</v>
      </c>
      <c r="AG140" s="139">
        <f t="shared" ref="AG140:AG141" si="276">+AD140*E140</f>
        <v>0.33600000000000002</v>
      </c>
      <c r="AH140" s="139">
        <f t="shared" ref="AH140:AH141" si="277">+AE140*E140</f>
        <v>0.1078048780487805</v>
      </c>
      <c r="AI140" s="139">
        <f>+P140/F140</f>
        <v>6.25E-2</v>
      </c>
      <c r="AJ140" s="156">
        <v>0.46</v>
      </c>
      <c r="AK140" s="697">
        <f>+W140/1</f>
        <v>0.5484</v>
      </c>
      <c r="AL140" s="139">
        <f>+AI140*E140</f>
        <v>3.125E-2</v>
      </c>
      <c r="AM140" s="139">
        <f>+AJ140*E140</f>
        <v>0.23</v>
      </c>
      <c r="AN140" s="139">
        <f t="shared" ref="AN140:AN141" si="278">+AK140*E140</f>
        <v>0.2742</v>
      </c>
      <c r="AO140" s="243" t="s">
        <v>1863</v>
      </c>
      <c r="AP140" s="526" t="s">
        <v>1898</v>
      </c>
      <c r="AQ140" s="526" t="s">
        <v>1991</v>
      </c>
      <c r="AR140" s="526" t="s">
        <v>2034</v>
      </c>
      <c r="AS140" s="688" t="s">
        <v>2121</v>
      </c>
      <c r="AT140" s="688" t="s">
        <v>2141</v>
      </c>
      <c r="AU140" s="628" t="s">
        <v>2208</v>
      </c>
      <c r="AV140" s="526" t="s">
        <v>1887</v>
      </c>
      <c r="AW140" s="628" t="s">
        <v>1859</v>
      </c>
    </row>
    <row r="141" spans="1:49" ht="93" customHeight="1" thickBot="1" x14ac:dyDescent="0.4">
      <c r="A141" s="223"/>
      <c r="B141" s="1390" t="s">
        <v>1065</v>
      </c>
      <c r="C141" s="1390" t="s">
        <v>1261</v>
      </c>
      <c r="D141" s="225" t="s">
        <v>1064</v>
      </c>
      <c r="E141" s="229">
        <v>0.5</v>
      </c>
      <c r="F141" s="186">
        <v>1</v>
      </c>
      <c r="G141" s="134">
        <v>0.25</v>
      </c>
      <c r="H141" s="195">
        <v>0.25</v>
      </c>
      <c r="I141" s="195">
        <v>0.41</v>
      </c>
      <c r="J141" s="139">
        <f>+G141/F141</f>
        <v>0.25</v>
      </c>
      <c r="K141" s="139">
        <f t="shared" si="271"/>
        <v>0.25</v>
      </c>
      <c r="L141" s="139">
        <f t="shared" si="272"/>
        <v>0.41</v>
      </c>
      <c r="M141" s="139">
        <f>+(G141/F141)*E141</f>
        <v>0.125</v>
      </c>
      <c r="N141" s="139">
        <f t="shared" si="273"/>
        <v>0.125</v>
      </c>
      <c r="O141" s="139"/>
      <c r="P141" s="195">
        <v>0.25</v>
      </c>
      <c r="Q141" s="496">
        <v>0.05</v>
      </c>
      <c r="R141" s="496">
        <v>0.03</v>
      </c>
      <c r="S141" s="496">
        <v>0.08</v>
      </c>
      <c r="T141" s="496">
        <v>0.05</v>
      </c>
      <c r="U141" s="496">
        <v>0</v>
      </c>
      <c r="V141" s="195">
        <f t="shared" si="173"/>
        <v>0.21000000000000002</v>
      </c>
      <c r="W141" s="195">
        <f>+V141+P141+AB141</f>
        <v>0.73330000000000006</v>
      </c>
      <c r="X141" s="496">
        <v>0.27329999999999999</v>
      </c>
      <c r="Y141" s="195"/>
      <c r="Z141" s="195"/>
      <c r="AA141" s="195"/>
      <c r="AB141" s="195">
        <f t="shared" si="274"/>
        <v>0.27329999999999999</v>
      </c>
      <c r="AC141" s="139">
        <f>+(P141/G141)</f>
        <v>1</v>
      </c>
      <c r="AD141" s="139">
        <f t="shared" si="247"/>
        <v>0.84000000000000008</v>
      </c>
      <c r="AE141" s="156">
        <f>+AB141/I141</f>
        <v>0.66658536585365857</v>
      </c>
      <c r="AF141" s="139">
        <f>+AC141*E141</f>
        <v>0.5</v>
      </c>
      <c r="AG141" s="139">
        <f t="shared" si="276"/>
        <v>0.42000000000000004</v>
      </c>
      <c r="AH141" s="139">
        <f t="shared" si="277"/>
        <v>0.33329268292682929</v>
      </c>
      <c r="AI141" s="139">
        <f>+P141/F141</f>
        <v>0.25</v>
      </c>
      <c r="AJ141" s="156">
        <v>0.46</v>
      </c>
      <c r="AK141" s="697">
        <f>+W141/1</f>
        <v>0.73330000000000006</v>
      </c>
      <c r="AL141" s="139">
        <f>+AI141*E141</f>
        <v>0.125</v>
      </c>
      <c r="AM141" s="139">
        <f>+AJ141*E141</f>
        <v>0.23</v>
      </c>
      <c r="AN141" s="139">
        <f t="shared" si="278"/>
        <v>0.36665000000000003</v>
      </c>
      <c r="AO141" s="243" t="s">
        <v>1863</v>
      </c>
      <c r="AP141" s="526" t="s">
        <v>1899</v>
      </c>
      <c r="AQ141" s="526" t="s">
        <v>1991</v>
      </c>
      <c r="AR141" s="526" t="s">
        <v>2035</v>
      </c>
      <c r="AS141" s="688" t="s">
        <v>2123</v>
      </c>
      <c r="AT141" s="688" t="s">
        <v>2141</v>
      </c>
      <c r="AU141" s="526" t="s">
        <v>2196</v>
      </c>
      <c r="AV141" s="526" t="s">
        <v>2258</v>
      </c>
      <c r="AW141" s="628" t="s">
        <v>1859</v>
      </c>
    </row>
    <row r="142" spans="1:49" ht="67.2" customHeight="1" thickBot="1" x14ac:dyDescent="0.4">
      <c r="A142" s="115"/>
      <c r="B142" s="1387"/>
      <c r="C142" s="1387"/>
      <c r="D142" s="171"/>
      <c r="E142" s="171"/>
      <c r="F142" s="171"/>
      <c r="G142" s="171"/>
      <c r="H142" s="171"/>
      <c r="I142" s="171"/>
      <c r="J142" s="171"/>
      <c r="K142" s="171"/>
      <c r="L142" s="171"/>
      <c r="M142" s="171"/>
      <c r="N142" s="171"/>
      <c r="O142" s="171"/>
      <c r="P142" s="171"/>
      <c r="Q142" s="171"/>
      <c r="R142" s="171"/>
      <c r="S142" s="171"/>
      <c r="T142" s="171"/>
      <c r="U142" s="171"/>
      <c r="V142" s="171"/>
      <c r="W142" s="171"/>
      <c r="X142" s="171"/>
      <c r="Y142" s="171"/>
      <c r="Z142" s="171"/>
      <c r="AA142" s="171"/>
      <c r="AB142" s="171"/>
      <c r="AC142" s="171"/>
      <c r="AD142" s="171"/>
      <c r="AE142" s="171"/>
      <c r="AF142" s="171"/>
      <c r="AG142" s="171"/>
      <c r="AH142" s="171"/>
      <c r="AI142" s="171"/>
      <c r="AJ142" s="171"/>
      <c r="AK142" s="171"/>
      <c r="AL142" s="171"/>
      <c r="AM142" s="171"/>
      <c r="AN142" s="171"/>
      <c r="AO142" s="171"/>
      <c r="AP142" s="171"/>
      <c r="AQ142" s="171"/>
      <c r="AR142" s="171"/>
      <c r="AS142" s="171"/>
      <c r="AT142" s="171"/>
      <c r="AU142" s="171"/>
    </row>
    <row r="143" spans="1:49" ht="67.2" customHeight="1" thickBot="1" x14ac:dyDescent="0.4">
      <c r="A143" s="115"/>
      <c r="B143" s="1387"/>
      <c r="C143" s="1387"/>
      <c r="D143" s="115"/>
      <c r="E143" s="115"/>
      <c r="F143" s="115"/>
      <c r="G143" s="115"/>
      <c r="H143" s="115"/>
      <c r="I143" s="115"/>
      <c r="J143" s="115"/>
      <c r="K143" s="115"/>
      <c r="L143" s="115"/>
      <c r="M143" s="115"/>
      <c r="N143" s="115"/>
      <c r="O143" s="115"/>
      <c r="P143" s="115"/>
      <c r="Q143" s="115"/>
      <c r="R143" s="115"/>
      <c r="S143" s="115"/>
      <c r="T143" s="115"/>
      <c r="U143" s="115"/>
      <c r="V143" s="115"/>
      <c r="W143" s="115"/>
      <c r="X143" s="115"/>
      <c r="Y143" s="115"/>
      <c r="Z143" s="115"/>
      <c r="AA143" s="115"/>
      <c r="AB143" s="115"/>
      <c r="AC143" s="115"/>
      <c r="AD143" s="115"/>
      <c r="AE143" s="115"/>
      <c r="AF143" s="115"/>
      <c r="AG143" s="115"/>
      <c r="AH143" s="115"/>
      <c r="AI143" s="115"/>
      <c r="AJ143" s="115"/>
      <c r="AK143" s="115"/>
      <c r="AL143" s="115"/>
      <c r="AM143" s="115"/>
      <c r="AN143" s="115"/>
      <c r="AO143" s="115"/>
      <c r="AP143" s="115"/>
      <c r="AQ143" s="115"/>
      <c r="AR143" s="115"/>
      <c r="AS143" s="115"/>
      <c r="AT143" s="115"/>
      <c r="AU143" s="115"/>
    </row>
    <row r="144" spans="1:49" ht="67.2" customHeight="1" thickBot="1" x14ac:dyDescent="0.4">
      <c r="A144" s="115"/>
      <c r="B144" s="1387"/>
      <c r="C144" s="1387"/>
      <c r="D144" s="115"/>
      <c r="E144" s="115"/>
      <c r="F144" s="115"/>
      <c r="G144" s="115"/>
      <c r="H144" s="115"/>
      <c r="I144" s="115"/>
      <c r="J144" s="115"/>
      <c r="K144" s="115"/>
      <c r="L144" s="115"/>
      <c r="M144" s="115"/>
      <c r="N144" s="115"/>
      <c r="O144" s="115"/>
      <c r="P144" s="115"/>
      <c r="Q144" s="115"/>
      <c r="R144" s="115"/>
      <c r="S144" s="115"/>
      <c r="T144" s="115"/>
      <c r="U144" s="115"/>
      <c r="V144" s="115"/>
      <c r="W144" s="115"/>
      <c r="X144" s="115"/>
      <c r="Y144" s="115"/>
      <c r="Z144" s="115"/>
      <c r="AA144" s="115"/>
      <c r="AB144" s="115"/>
      <c r="AC144" s="115"/>
      <c r="AD144" s="115"/>
      <c r="AE144" s="115"/>
      <c r="AF144" s="115"/>
      <c r="AG144" s="115"/>
      <c r="AH144" s="115"/>
      <c r="AI144" s="115"/>
      <c r="AJ144" s="115"/>
      <c r="AK144" s="115"/>
      <c r="AL144" s="115"/>
      <c r="AM144" s="115"/>
      <c r="AN144" s="115"/>
      <c r="AO144" s="115"/>
      <c r="AP144" s="115"/>
      <c r="AQ144" s="115"/>
      <c r="AR144" s="115"/>
      <c r="AS144" s="115"/>
      <c r="AT144" s="115"/>
      <c r="AU144" s="115"/>
    </row>
    <row r="145" spans="1:47" ht="67.2" customHeight="1" thickBot="1" x14ac:dyDescent="0.4">
      <c r="A145" s="115"/>
      <c r="B145" s="1387"/>
      <c r="C145" s="1387"/>
      <c r="D145" s="115"/>
      <c r="E145" s="115"/>
      <c r="F145" s="115"/>
      <c r="G145" s="115"/>
      <c r="H145" s="115"/>
      <c r="I145" s="115"/>
      <c r="J145" s="115"/>
      <c r="K145" s="115"/>
      <c r="L145" s="115"/>
      <c r="M145" s="115"/>
      <c r="N145" s="115"/>
      <c r="O145" s="115"/>
      <c r="P145" s="115"/>
      <c r="Q145" s="115"/>
      <c r="R145" s="115"/>
      <c r="S145" s="115"/>
      <c r="T145" s="115"/>
      <c r="U145" s="115"/>
      <c r="V145" s="115"/>
      <c r="W145" s="115"/>
      <c r="X145" s="115"/>
      <c r="Y145" s="115"/>
      <c r="Z145" s="115"/>
      <c r="AA145" s="115"/>
      <c r="AB145" s="115"/>
      <c r="AC145" s="115"/>
      <c r="AD145" s="115"/>
      <c r="AE145" s="115"/>
      <c r="AF145" s="115"/>
      <c r="AG145" s="115"/>
      <c r="AH145" s="115"/>
      <c r="AI145" s="115"/>
      <c r="AJ145" s="115"/>
      <c r="AK145" s="115"/>
      <c r="AL145" s="115"/>
      <c r="AM145" s="115"/>
      <c r="AN145" s="115"/>
      <c r="AO145" s="115"/>
      <c r="AP145" s="115"/>
      <c r="AQ145" s="115"/>
      <c r="AR145" s="115"/>
      <c r="AS145" s="115"/>
      <c r="AT145" s="115"/>
      <c r="AU145" s="115"/>
    </row>
    <row r="146" spans="1:47" ht="67.2" customHeight="1" thickBot="1" x14ac:dyDescent="0.4">
      <c r="A146" s="115"/>
      <c r="B146" s="1387"/>
      <c r="C146" s="1387"/>
      <c r="D146" s="115"/>
      <c r="E146" s="115"/>
      <c r="F146" s="115"/>
      <c r="G146" s="115"/>
      <c r="H146" s="115"/>
      <c r="I146" s="115"/>
      <c r="J146" s="115"/>
      <c r="K146" s="115"/>
      <c r="L146" s="115"/>
      <c r="M146" s="115"/>
      <c r="N146" s="115"/>
      <c r="O146" s="115"/>
      <c r="P146" s="115"/>
      <c r="Q146" s="115"/>
      <c r="R146" s="115"/>
      <c r="S146" s="115"/>
      <c r="T146" s="115"/>
      <c r="U146" s="115"/>
      <c r="V146" s="115"/>
      <c r="W146" s="115"/>
      <c r="X146" s="115"/>
      <c r="Y146" s="115"/>
      <c r="Z146" s="115"/>
      <c r="AA146" s="115"/>
      <c r="AB146" s="115"/>
      <c r="AC146" s="115"/>
      <c r="AD146" s="115"/>
      <c r="AE146" s="115"/>
      <c r="AF146" s="115"/>
      <c r="AG146" s="115"/>
      <c r="AH146" s="115"/>
      <c r="AI146" s="115"/>
      <c r="AJ146" s="115"/>
      <c r="AK146" s="115"/>
      <c r="AL146" s="115"/>
      <c r="AM146" s="115"/>
      <c r="AN146" s="115"/>
      <c r="AO146" s="115"/>
      <c r="AP146" s="115"/>
      <c r="AQ146" s="115"/>
      <c r="AR146" s="115"/>
      <c r="AS146" s="115"/>
      <c r="AT146" s="115"/>
      <c r="AU146" s="115"/>
    </row>
    <row r="147" spans="1:47" ht="67.2" customHeight="1" thickBot="1" x14ac:dyDescent="0.4">
      <c r="A147" s="115"/>
      <c r="B147" s="1387"/>
      <c r="C147" s="1387"/>
      <c r="D147" s="115"/>
      <c r="E147" s="115"/>
      <c r="F147" s="115"/>
      <c r="G147" s="115"/>
      <c r="H147" s="115"/>
      <c r="I147" s="115"/>
      <c r="J147" s="115"/>
      <c r="K147" s="115"/>
      <c r="L147" s="115"/>
      <c r="M147" s="115"/>
      <c r="N147" s="115"/>
      <c r="O147" s="115"/>
      <c r="P147" s="115"/>
      <c r="Q147" s="115"/>
      <c r="R147" s="115"/>
      <c r="S147" s="115"/>
      <c r="T147" s="115"/>
      <c r="U147" s="115"/>
      <c r="V147" s="115"/>
      <c r="W147" s="115"/>
      <c r="X147" s="115"/>
      <c r="Y147" s="115"/>
      <c r="Z147" s="115"/>
      <c r="AA147" s="115"/>
      <c r="AB147" s="115"/>
      <c r="AC147" s="115"/>
      <c r="AD147" s="115"/>
      <c r="AE147" s="115"/>
      <c r="AF147" s="115"/>
      <c r="AG147" s="115"/>
      <c r="AH147" s="115"/>
      <c r="AI147" s="115"/>
      <c r="AJ147" s="115"/>
      <c r="AK147" s="115"/>
      <c r="AL147" s="115"/>
      <c r="AM147" s="115"/>
      <c r="AN147" s="115"/>
      <c r="AO147" s="115"/>
      <c r="AP147" s="115"/>
      <c r="AQ147" s="115"/>
      <c r="AR147" s="115"/>
      <c r="AS147" s="115"/>
      <c r="AT147" s="115"/>
      <c r="AU147" s="115"/>
    </row>
    <row r="148" spans="1:47" ht="67.2" customHeight="1" thickBot="1" x14ac:dyDescent="0.4">
      <c r="A148" s="115"/>
      <c r="B148" s="1387"/>
      <c r="C148" s="1387"/>
      <c r="D148" s="115"/>
      <c r="E148" s="115"/>
      <c r="F148" s="115"/>
      <c r="G148" s="115"/>
      <c r="H148" s="115"/>
      <c r="I148" s="115"/>
      <c r="J148" s="115"/>
      <c r="K148" s="115"/>
      <c r="L148" s="115"/>
      <c r="M148" s="115"/>
      <c r="N148" s="115"/>
      <c r="O148" s="115"/>
      <c r="P148" s="115"/>
      <c r="Q148" s="115"/>
      <c r="R148" s="115"/>
      <c r="S148" s="115"/>
      <c r="T148" s="115"/>
      <c r="U148" s="115"/>
      <c r="V148" s="115"/>
      <c r="W148" s="115"/>
      <c r="X148" s="115"/>
      <c r="Y148" s="115"/>
      <c r="Z148" s="115"/>
      <c r="AA148" s="115"/>
      <c r="AB148" s="115"/>
      <c r="AC148" s="115"/>
      <c r="AD148" s="115"/>
      <c r="AE148" s="115"/>
      <c r="AF148" s="115"/>
      <c r="AG148" s="115"/>
      <c r="AH148" s="115"/>
      <c r="AI148" s="115"/>
      <c r="AJ148" s="115"/>
      <c r="AK148" s="115"/>
      <c r="AL148" s="115"/>
      <c r="AM148" s="115"/>
      <c r="AN148" s="115"/>
      <c r="AO148" s="115"/>
      <c r="AP148" s="115"/>
      <c r="AQ148" s="115"/>
      <c r="AR148" s="115"/>
      <c r="AS148" s="115"/>
      <c r="AT148" s="115"/>
      <c r="AU148" s="115"/>
    </row>
    <row r="149" spans="1:47" ht="67.2" customHeight="1" thickBot="1" x14ac:dyDescent="0.4">
      <c r="A149" s="115"/>
      <c r="B149" s="1387"/>
      <c r="C149" s="1387"/>
      <c r="D149" s="115"/>
      <c r="E149" s="115"/>
      <c r="F149" s="115"/>
      <c r="G149" s="115"/>
      <c r="H149" s="115"/>
      <c r="I149" s="115"/>
      <c r="J149" s="115"/>
      <c r="K149" s="115"/>
      <c r="L149" s="115"/>
      <c r="M149" s="115"/>
      <c r="N149" s="115"/>
      <c r="O149" s="115"/>
      <c r="P149" s="115"/>
      <c r="Q149" s="115"/>
      <c r="R149" s="115"/>
      <c r="S149" s="115"/>
      <c r="T149" s="115"/>
      <c r="U149" s="115"/>
      <c r="V149" s="115"/>
      <c r="W149" s="115"/>
      <c r="X149" s="115"/>
      <c r="Y149" s="115"/>
      <c r="Z149" s="115"/>
      <c r="AA149" s="115"/>
      <c r="AB149" s="115"/>
      <c r="AC149" s="115"/>
      <c r="AD149" s="115"/>
      <c r="AE149" s="115"/>
      <c r="AF149" s="115"/>
      <c r="AG149" s="115"/>
      <c r="AH149" s="115"/>
      <c r="AI149" s="115"/>
      <c r="AJ149" s="115"/>
      <c r="AK149" s="115"/>
      <c r="AL149" s="115"/>
      <c r="AM149" s="115"/>
      <c r="AN149" s="115"/>
      <c r="AO149" s="115"/>
      <c r="AP149" s="115"/>
      <c r="AQ149" s="115"/>
      <c r="AR149" s="115"/>
      <c r="AS149" s="115"/>
      <c r="AT149" s="115"/>
      <c r="AU149" s="115"/>
    </row>
    <row r="150" spans="1:47" ht="67.2" customHeight="1" thickBot="1" x14ac:dyDescent="0.4">
      <c r="A150" s="115"/>
      <c r="B150" s="1387"/>
      <c r="C150" s="1387"/>
      <c r="D150" s="115"/>
      <c r="E150" s="115"/>
      <c r="F150" s="115"/>
      <c r="G150" s="115"/>
      <c r="H150" s="115"/>
      <c r="I150" s="115"/>
      <c r="J150" s="115"/>
      <c r="K150" s="115"/>
      <c r="L150" s="115"/>
      <c r="M150" s="115"/>
      <c r="N150" s="115"/>
      <c r="O150" s="115"/>
      <c r="P150" s="115"/>
      <c r="Q150" s="115"/>
      <c r="R150" s="115"/>
      <c r="S150" s="115"/>
      <c r="T150" s="115"/>
      <c r="U150" s="115"/>
      <c r="V150" s="115"/>
      <c r="W150" s="115"/>
      <c r="X150" s="115"/>
      <c r="Y150" s="115"/>
      <c r="Z150" s="115"/>
      <c r="AA150" s="115"/>
      <c r="AB150" s="115"/>
      <c r="AC150" s="115"/>
      <c r="AD150" s="115"/>
      <c r="AE150" s="115"/>
      <c r="AF150" s="115"/>
      <c r="AG150" s="115"/>
      <c r="AH150" s="115"/>
      <c r="AI150" s="115"/>
      <c r="AJ150" s="115"/>
      <c r="AK150" s="115"/>
      <c r="AL150" s="115"/>
      <c r="AM150" s="115"/>
      <c r="AN150" s="115"/>
      <c r="AO150" s="115"/>
      <c r="AP150" s="115"/>
      <c r="AQ150" s="115"/>
      <c r="AR150" s="115"/>
      <c r="AS150" s="115"/>
      <c r="AT150" s="115"/>
      <c r="AU150" s="115"/>
    </row>
    <row r="151" spans="1:47" ht="67.2" customHeight="1" thickBot="1" x14ac:dyDescent="0.4">
      <c r="A151" s="115"/>
      <c r="B151" s="1387"/>
      <c r="C151" s="1387"/>
      <c r="D151" s="115"/>
      <c r="E151" s="115"/>
      <c r="F151" s="115"/>
      <c r="G151" s="115"/>
      <c r="H151" s="115"/>
      <c r="I151" s="115"/>
      <c r="J151" s="115"/>
      <c r="K151" s="115"/>
      <c r="L151" s="115"/>
      <c r="M151" s="115"/>
      <c r="N151" s="115"/>
      <c r="O151" s="115"/>
      <c r="P151" s="115"/>
      <c r="Q151" s="115"/>
      <c r="R151" s="115"/>
      <c r="S151" s="115"/>
      <c r="T151" s="115"/>
      <c r="U151" s="115"/>
      <c r="V151" s="115"/>
      <c r="W151" s="115"/>
      <c r="X151" s="115"/>
      <c r="Y151" s="115"/>
      <c r="Z151" s="115"/>
      <c r="AA151" s="115"/>
      <c r="AB151" s="115"/>
      <c r="AC151" s="115"/>
      <c r="AD151" s="115"/>
      <c r="AE151" s="115"/>
      <c r="AF151" s="115"/>
      <c r="AG151" s="115"/>
      <c r="AH151" s="115"/>
      <c r="AI151" s="115"/>
      <c r="AJ151" s="115"/>
      <c r="AK151" s="115"/>
      <c r="AL151" s="115"/>
      <c r="AM151" s="115"/>
      <c r="AN151" s="115"/>
      <c r="AO151" s="115"/>
      <c r="AP151" s="115"/>
      <c r="AQ151" s="115"/>
      <c r="AR151" s="115"/>
      <c r="AS151" s="115"/>
      <c r="AT151" s="115"/>
      <c r="AU151" s="115"/>
    </row>
    <row r="152" spans="1:47" ht="67.2" customHeight="1" thickBot="1" x14ac:dyDescent="0.4">
      <c r="A152" s="115"/>
      <c r="B152" s="1387"/>
      <c r="C152" s="1387"/>
      <c r="D152" s="115"/>
      <c r="E152" s="115"/>
      <c r="F152" s="115"/>
      <c r="G152" s="115"/>
      <c r="H152" s="115"/>
      <c r="I152" s="115"/>
      <c r="J152" s="115"/>
      <c r="K152" s="115"/>
      <c r="L152" s="115"/>
      <c r="M152" s="115"/>
      <c r="N152" s="115"/>
      <c r="O152" s="115"/>
      <c r="P152" s="115"/>
      <c r="Q152" s="115"/>
      <c r="R152" s="115"/>
      <c r="S152" s="115"/>
      <c r="T152" s="115"/>
      <c r="U152" s="115"/>
      <c r="V152" s="115"/>
      <c r="W152" s="115"/>
      <c r="X152" s="115"/>
      <c r="Y152" s="115"/>
      <c r="Z152" s="115"/>
      <c r="AA152" s="115"/>
      <c r="AB152" s="115"/>
      <c r="AC152" s="115"/>
      <c r="AD152" s="115"/>
      <c r="AE152" s="115"/>
      <c r="AF152" s="115"/>
      <c r="AG152" s="115"/>
      <c r="AH152" s="115"/>
      <c r="AI152" s="115"/>
      <c r="AJ152" s="115"/>
      <c r="AK152" s="115"/>
      <c r="AL152" s="115"/>
      <c r="AM152" s="115"/>
      <c r="AN152" s="115"/>
      <c r="AO152" s="115"/>
      <c r="AP152" s="115"/>
      <c r="AQ152" s="115"/>
      <c r="AR152" s="115"/>
      <c r="AS152" s="115"/>
      <c r="AT152" s="115"/>
      <c r="AU152" s="115"/>
    </row>
    <row r="153" spans="1:47" ht="67.2" customHeight="1" thickBot="1" x14ac:dyDescent="0.4">
      <c r="A153" s="115"/>
      <c r="B153" s="1387"/>
      <c r="C153" s="1387"/>
      <c r="D153" s="115"/>
      <c r="E153" s="115"/>
      <c r="F153" s="115"/>
      <c r="G153" s="115"/>
      <c r="H153" s="115"/>
      <c r="I153" s="115"/>
      <c r="J153" s="115"/>
      <c r="K153" s="115"/>
      <c r="L153" s="115"/>
      <c r="M153" s="115"/>
      <c r="N153" s="115"/>
      <c r="O153" s="115"/>
      <c r="P153" s="115"/>
      <c r="Q153" s="115"/>
      <c r="R153" s="115"/>
      <c r="S153" s="115"/>
      <c r="T153" s="115"/>
      <c r="U153" s="115"/>
      <c r="V153" s="115"/>
      <c r="W153" s="115"/>
      <c r="X153" s="115"/>
      <c r="Y153" s="115"/>
      <c r="Z153" s="115"/>
      <c r="AA153" s="115"/>
      <c r="AB153" s="115"/>
      <c r="AC153" s="115"/>
      <c r="AD153" s="115"/>
      <c r="AE153" s="115"/>
      <c r="AF153" s="115"/>
      <c r="AG153" s="115"/>
      <c r="AH153" s="115"/>
      <c r="AI153" s="115"/>
      <c r="AJ153" s="115"/>
      <c r="AK153" s="115"/>
      <c r="AL153" s="115"/>
      <c r="AM153" s="115"/>
      <c r="AN153" s="115"/>
      <c r="AO153" s="115"/>
      <c r="AP153" s="115"/>
      <c r="AQ153" s="115"/>
      <c r="AR153" s="115"/>
      <c r="AS153" s="115"/>
      <c r="AT153" s="115"/>
      <c r="AU153" s="115"/>
    </row>
    <row r="154" spans="1:47" ht="67.2" customHeight="1" thickBot="1" x14ac:dyDescent="0.4">
      <c r="A154" s="115"/>
      <c r="B154" s="1387"/>
      <c r="C154" s="1387"/>
      <c r="D154" s="115"/>
      <c r="E154" s="115"/>
      <c r="F154" s="115"/>
      <c r="G154" s="115"/>
      <c r="H154" s="115"/>
      <c r="I154" s="115"/>
      <c r="J154" s="115"/>
      <c r="K154" s="115"/>
      <c r="L154" s="115"/>
      <c r="M154" s="115"/>
      <c r="N154" s="115"/>
      <c r="O154" s="115"/>
      <c r="P154" s="115"/>
      <c r="Q154" s="115"/>
      <c r="R154" s="115"/>
      <c r="S154" s="115"/>
      <c r="T154" s="115"/>
      <c r="U154" s="115"/>
      <c r="V154" s="115"/>
      <c r="W154" s="115"/>
      <c r="X154" s="115"/>
      <c r="Y154" s="115"/>
      <c r="Z154" s="115"/>
      <c r="AA154" s="115"/>
      <c r="AB154" s="115"/>
      <c r="AC154" s="115"/>
      <c r="AD154" s="115"/>
      <c r="AE154" s="115"/>
      <c r="AF154" s="115"/>
      <c r="AG154" s="115"/>
      <c r="AH154" s="115"/>
      <c r="AI154" s="115"/>
      <c r="AJ154" s="115"/>
      <c r="AK154" s="115"/>
      <c r="AL154" s="115"/>
      <c r="AM154" s="115"/>
      <c r="AN154" s="115"/>
      <c r="AO154" s="115"/>
      <c r="AP154" s="115"/>
      <c r="AQ154" s="115"/>
      <c r="AR154" s="115"/>
      <c r="AS154" s="115"/>
      <c r="AT154" s="115"/>
      <c r="AU154" s="115"/>
    </row>
    <row r="155" spans="1:47" ht="67.2" customHeight="1" thickBot="1" x14ac:dyDescent="0.4">
      <c r="A155" s="115"/>
      <c r="B155" s="1387"/>
      <c r="C155" s="1387"/>
      <c r="D155" s="115"/>
      <c r="E155" s="115"/>
      <c r="F155" s="115"/>
      <c r="G155" s="115"/>
      <c r="H155" s="115"/>
      <c r="I155" s="115"/>
      <c r="J155" s="115"/>
      <c r="K155" s="115"/>
      <c r="L155" s="115"/>
      <c r="M155" s="115"/>
      <c r="N155" s="115"/>
      <c r="O155" s="115"/>
      <c r="P155" s="115"/>
      <c r="Q155" s="115"/>
      <c r="R155" s="115"/>
      <c r="S155" s="115"/>
      <c r="T155" s="115"/>
      <c r="U155" s="115"/>
      <c r="V155" s="115"/>
      <c r="W155" s="115"/>
      <c r="X155" s="115"/>
      <c r="Y155" s="115"/>
      <c r="Z155" s="115"/>
      <c r="AA155" s="115"/>
      <c r="AB155" s="115"/>
      <c r="AC155" s="115"/>
      <c r="AD155" s="115"/>
      <c r="AE155" s="115"/>
      <c r="AF155" s="115"/>
      <c r="AG155" s="115"/>
      <c r="AH155" s="115"/>
      <c r="AI155" s="115"/>
      <c r="AJ155" s="115"/>
      <c r="AK155" s="115"/>
      <c r="AL155" s="115"/>
      <c r="AM155" s="115"/>
      <c r="AN155" s="115"/>
      <c r="AO155" s="115"/>
      <c r="AP155" s="115"/>
      <c r="AQ155" s="115"/>
      <c r="AR155" s="115"/>
      <c r="AS155" s="115"/>
      <c r="AT155" s="115"/>
      <c r="AU155" s="115"/>
    </row>
    <row r="156" spans="1:47" ht="67.2" customHeight="1" thickBot="1" x14ac:dyDescent="0.4">
      <c r="A156" s="115"/>
      <c r="B156" s="1387"/>
      <c r="C156" s="1387"/>
      <c r="D156" s="115"/>
      <c r="E156" s="115"/>
      <c r="F156" s="115"/>
      <c r="G156" s="115"/>
      <c r="H156" s="115"/>
      <c r="I156" s="115"/>
      <c r="J156" s="115"/>
      <c r="K156" s="115"/>
      <c r="L156" s="115"/>
      <c r="M156" s="115"/>
      <c r="N156" s="115"/>
      <c r="O156" s="115"/>
      <c r="P156" s="115"/>
      <c r="Q156" s="115"/>
      <c r="R156" s="115"/>
      <c r="S156" s="115"/>
      <c r="T156" s="115"/>
      <c r="U156" s="115"/>
      <c r="V156" s="115"/>
      <c r="W156" s="115"/>
      <c r="X156" s="115"/>
      <c r="Y156" s="115"/>
      <c r="Z156" s="115"/>
      <c r="AA156" s="115"/>
      <c r="AB156" s="115"/>
      <c r="AC156" s="115"/>
      <c r="AD156" s="115"/>
      <c r="AE156" s="115"/>
      <c r="AF156" s="115"/>
      <c r="AG156" s="115"/>
      <c r="AH156" s="115"/>
      <c r="AI156" s="115"/>
      <c r="AJ156" s="115"/>
      <c r="AK156" s="115"/>
      <c r="AL156" s="115"/>
      <c r="AM156" s="115"/>
      <c r="AN156" s="115"/>
      <c r="AO156" s="115"/>
      <c r="AP156" s="115"/>
      <c r="AQ156" s="115"/>
      <c r="AR156" s="115"/>
      <c r="AS156" s="115"/>
      <c r="AT156" s="115"/>
      <c r="AU156" s="115"/>
    </row>
    <row r="157" spans="1:47" ht="67.2" customHeight="1" thickBot="1" x14ac:dyDescent="0.4">
      <c r="A157" s="115"/>
      <c r="B157" s="1387"/>
      <c r="C157" s="1387"/>
      <c r="D157" s="115"/>
      <c r="E157" s="115"/>
      <c r="F157" s="115"/>
      <c r="G157" s="115"/>
      <c r="H157" s="115"/>
      <c r="I157" s="115"/>
      <c r="J157" s="115"/>
      <c r="K157" s="115"/>
      <c r="L157" s="115"/>
      <c r="M157" s="115"/>
      <c r="N157" s="115"/>
      <c r="O157" s="115"/>
      <c r="P157" s="115"/>
      <c r="Q157" s="115"/>
      <c r="R157" s="115"/>
      <c r="S157" s="115"/>
      <c r="T157" s="115"/>
      <c r="U157" s="115"/>
      <c r="V157" s="115"/>
      <c r="W157" s="115"/>
      <c r="X157" s="115"/>
      <c r="Y157" s="115"/>
      <c r="Z157" s="115"/>
      <c r="AA157" s="115"/>
      <c r="AB157" s="115"/>
      <c r="AC157" s="115"/>
      <c r="AD157" s="115"/>
      <c r="AE157" s="115"/>
      <c r="AF157" s="115"/>
      <c r="AG157" s="115"/>
      <c r="AH157" s="115"/>
      <c r="AI157" s="115"/>
      <c r="AJ157" s="115"/>
      <c r="AK157" s="115"/>
      <c r="AL157" s="115"/>
      <c r="AM157" s="115"/>
      <c r="AN157" s="115"/>
      <c r="AO157" s="115"/>
      <c r="AP157" s="115"/>
      <c r="AQ157" s="115"/>
      <c r="AR157" s="115"/>
      <c r="AS157" s="115"/>
      <c r="AT157" s="115"/>
      <c r="AU157" s="115"/>
    </row>
    <row r="158" spans="1:47" ht="67.2" customHeight="1" thickBot="1" x14ac:dyDescent="0.4">
      <c r="A158" s="115"/>
      <c r="B158" s="1387"/>
      <c r="C158" s="1387"/>
      <c r="D158" s="115"/>
      <c r="E158" s="115"/>
      <c r="F158" s="115"/>
      <c r="G158" s="115"/>
      <c r="H158" s="115"/>
      <c r="I158" s="115"/>
      <c r="J158" s="115"/>
      <c r="K158" s="115"/>
      <c r="L158" s="115"/>
      <c r="M158" s="115"/>
      <c r="N158" s="115"/>
      <c r="O158" s="115"/>
      <c r="P158" s="115"/>
      <c r="Q158" s="115"/>
      <c r="R158" s="115"/>
      <c r="S158" s="115"/>
      <c r="T158" s="115"/>
      <c r="U158" s="115"/>
      <c r="V158" s="115"/>
      <c r="W158" s="115"/>
      <c r="X158" s="115"/>
      <c r="Y158" s="115"/>
      <c r="Z158" s="115"/>
      <c r="AA158" s="115"/>
      <c r="AB158" s="115"/>
      <c r="AC158" s="115"/>
      <c r="AD158" s="115"/>
      <c r="AE158" s="115"/>
      <c r="AF158" s="115"/>
      <c r="AG158" s="115"/>
      <c r="AH158" s="115"/>
      <c r="AI158" s="115"/>
      <c r="AJ158" s="115"/>
      <c r="AK158" s="115"/>
      <c r="AL158" s="115"/>
      <c r="AM158" s="115"/>
      <c r="AN158" s="115"/>
      <c r="AO158" s="115"/>
      <c r="AP158" s="115"/>
      <c r="AQ158" s="115"/>
      <c r="AR158" s="115"/>
      <c r="AS158" s="115"/>
      <c r="AT158" s="115"/>
      <c r="AU158" s="115"/>
    </row>
    <row r="159" spans="1:47" ht="67.2" customHeight="1" thickBot="1" x14ac:dyDescent="0.4">
      <c r="A159" s="115"/>
      <c r="B159" s="1387"/>
      <c r="C159" s="1387"/>
      <c r="D159" s="115"/>
      <c r="E159" s="115"/>
      <c r="F159" s="115"/>
      <c r="G159" s="115"/>
      <c r="H159" s="115"/>
      <c r="I159" s="115"/>
      <c r="J159" s="115"/>
      <c r="K159" s="115"/>
      <c r="L159" s="115"/>
      <c r="M159" s="115"/>
      <c r="N159" s="115"/>
      <c r="O159" s="115"/>
      <c r="P159" s="115"/>
      <c r="Q159" s="115"/>
      <c r="R159" s="115"/>
      <c r="S159" s="115"/>
      <c r="T159" s="115"/>
      <c r="U159" s="115"/>
      <c r="V159" s="115"/>
      <c r="W159" s="115"/>
      <c r="X159" s="115"/>
      <c r="Y159" s="115"/>
      <c r="Z159" s="115"/>
      <c r="AA159" s="115"/>
      <c r="AB159" s="115"/>
      <c r="AC159" s="115"/>
      <c r="AD159" s="115"/>
      <c r="AE159" s="115"/>
      <c r="AF159" s="115"/>
      <c r="AG159" s="115"/>
      <c r="AH159" s="115"/>
      <c r="AI159" s="115"/>
      <c r="AJ159" s="115"/>
      <c r="AK159" s="115"/>
      <c r="AL159" s="115"/>
      <c r="AM159" s="115"/>
      <c r="AN159" s="115"/>
      <c r="AO159" s="115"/>
      <c r="AP159" s="115"/>
      <c r="AQ159" s="115"/>
      <c r="AR159" s="115"/>
      <c r="AS159" s="115"/>
      <c r="AT159" s="115"/>
      <c r="AU159" s="115"/>
    </row>
    <row r="160" spans="1:47" ht="67.2" customHeight="1" thickBot="1" x14ac:dyDescent="0.4">
      <c r="A160" s="115"/>
      <c r="B160" s="1387"/>
      <c r="C160" s="1387"/>
      <c r="D160" s="115"/>
      <c r="E160" s="115"/>
      <c r="F160" s="115"/>
      <c r="G160" s="115"/>
      <c r="H160" s="115"/>
      <c r="I160" s="115"/>
      <c r="J160" s="115"/>
      <c r="K160" s="115"/>
      <c r="L160" s="115"/>
      <c r="M160" s="115"/>
      <c r="N160" s="115"/>
      <c r="O160" s="115"/>
      <c r="P160" s="115"/>
      <c r="Q160" s="115"/>
      <c r="R160" s="115"/>
      <c r="S160" s="115"/>
      <c r="T160" s="115"/>
      <c r="U160" s="115"/>
      <c r="V160" s="115"/>
      <c r="W160" s="115"/>
      <c r="X160" s="115"/>
      <c r="Y160" s="115"/>
      <c r="Z160" s="115"/>
      <c r="AA160" s="115"/>
      <c r="AB160" s="115"/>
      <c r="AC160" s="115"/>
      <c r="AD160" s="115"/>
      <c r="AE160" s="115"/>
      <c r="AF160" s="115"/>
      <c r="AG160" s="115"/>
      <c r="AH160" s="115"/>
      <c r="AI160" s="115"/>
      <c r="AJ160" s="115"/>
      <c r="AK160" s="115"/>
      <c r="AL160" s="115"/>
      <c r="AM160" s="115"/>
      <c r="AN160" s="115"/>
      <c r="AO160" s="115"/>
      <c r="AP160" s="115"/>
      <c r="AQ160" s="115"/>
      <c r="AR160" s="115"/>
      <c r="AS160" s="115"/>
      <c r="AT160" s="115"/>
      <c r="AU160" s="115"/>
    </row>
    <row r="161" spans="1:47" ht="67.2" customHeight="1" thickBot="1" x14ac:dyDescent="0.4">
      <c r="A161" s="115"/>
      <c r="B161" s="1387"/>
      <c r="C161" s="1387"/>
      <c r="D161" s="115"/>
      <c r="E161" s="115"/>
      <c r="F161" s="115"/>
      <c r="G161" s="115"/>
      <c r="H161" s="115"/>
      <c r="I161" s="115"/>
      <c r="J161" s="115"/>
      <c r="K161" s="115"/>
      <c r="L161" s="115"/>
      <c r="M161" s="115"/>
      <c r="N161" s="115"/>
      <c r="O161" s="115"/>
      <c r="P161" s="115"/>
      <c r="Q161" s="115"/>
      <c r="R161" s="115"/>
      <c r="S161" s="115"/>
      <c r="T161" s="115"/>
      <c r="U161" s="115"/>
      <c r="V161" s="115"/>
      <c r="W161" s="115"/>
      <c r="X161" s="115"/>
      <c r="Y161" s="115"/>
      <c r="Z161" s="115"/>
      <c r="AA161" s="115"/>
      <c r="AB161" s="115"/>
      <c r="AC161" s="115"/>
      <c r="AD161" s="115"/>
      <c r="AE161" s="115"/>
      <c r="AF161" s="115"/>
      <c r="AG161" s="115"/>
      <c r="AH161" s="115"/>
      <c r="AI161" s="115"/>
      <c r="AJ161" s="115"/>
      <c r="AK161" s="115"/>
      <c r="AL161" s="115"/>
      <c r="AM161" s="115"/>
      <c r="AN161" s="115"/>
      <c r="AO161" s="115"/>
      <c r="AP161" s="115"/>
      <c r="AQ161" s="115"/>
      <c r="AR161" s="115"/>
      <c r="AS161" s="115"/>
      <c r="AT161" s="115"/>
      <c r="AU161" s="115"/>
    </row>
    <row r="162" spans="1:47" ht="67.2" customHeight="1" thickBot="1" x14ac:dyDescent="0.4">
      <c r="A162" s="115"/>
      <c r="B162" s="1387"/>
      <c r="C162" s="1387"/>
      <c r="D162" s="115"/>
      <c r="E162" s="115"/>
      <c r="F162" s="115"/>
      <c r="G162" s="115"/>
      <c r="H162" s="115"/>
      <c r="I162" s="115"/>
      <c r="J162" s="115"/>
      <c r="K162" s="115"/>
      <c r="L162" s="115"/>
      <c r="M162" s="115"/>
      <c r="N162" s="115"/>
      <c r="O162" s="115"/>
      <c r="P162" s="115"/>
      <c r="Q162" s="115"/>
      <c r="R162" s="115"/>
      <c r="S162" s="115"/>
      <c r="T162" s="115"/>
      <c r="U162" s="115"/>
      <c r="V162" s="115"/>
      <c r="W162" s="115"/>
      <c r="X162" s="115"/>
      <c r="Y162" s="115"/>
      <c r="Z162" s="115"/>
      <c r="AA162" s="115"/>
      <c r="AB162" s="115"/>
      <c r="AC162" s="115"/>
      <c r="AD162" s="115"/>
      <c r="AE162" s="115"/>
      <c r="AF162" s="115"/>
      <c r="AG162" s="115"/>
      <c r="AH162" s="115"/>
      <c r="AI162" s="115"/>
      <c r="AJ162" s="115"/>
      <c r="AK162" s="115"/>
      <c r="AL162" s="115"/>
      <c r="AM162" s="115"/>
      <c r="AN162" s="115"/>
      <c r="AO162" s="115"/>
      <c r="AP162" s="115"/>
      <c r="AQ162" s="115"/>
      <c r="AR162" s="115"/>
      <c r="AS162" s="115"/>
      <c r="AT162" s="115"/>
      <c r="AU162" s="115"/>
    </row>
    <row r="163" spans="1:47" ht="67.2" customHeight="1" thickBot="1" x14ac:dyDescent="0.4">
      <c r="A163" s="115"/>
      <c r="B163" s="1387"/>
      <c r="C163" s="1387"/>
      <c r="D163" s="115"/>
      <c r="E163" s="115"/>
      <c r="F163" s="115"/>
      <c r="G163" s="115"/>
      <c r="H163" s="115"/>
      <c r="I163" s="115"/>
      <c r="J163" s="115"/>
      <c r="K163" s="115"/>
      <c r="L163" s="115"/>
      <c r="M163" s="115"/>
      <c r="N163" s="115"/>
      <c r="O163" s="115"/>
      <c r="P163" s="115"/>
      <c r="Q163" s="115"/>
      <c r="R163" s="115"/>
      <c r="S163" s="115"/>
      <c r="T163" s="115"/>
      <c r="U163" s="115"/>
      <c r="V163" s="115"/>
      <c r="W163" s="115"/>
      <c r="X163" s="115"/>
      <c r="Y163" s="115"/>
      <c r="Z163" s="115"/>
      <c r="AA163" s="115"/>
      <c r="AB163" s="115"/>
      <c r="AC163" s="115"/>
      <c r="AD163" s="115"/>
      <c r="AE163" s="115"/>
      <c r="AF163" s="115"/>
      <c r="AG163" s="115"/>
      <c r="AH163" s="115"/>
      <c r="AI163" s="115"/>
      <c r="AJ163" s="115"/>
      <c r="AK163" s="115"/>
      <c r="AL163" s="115"/>
      <c r="AM163" s="115"/>
      <c r="AN163" s="115"/>
      <c r="AO163" s="115"/>
      <c r="AP163" s="115"/>
      <c r="AQ163" s="115"/>
      <c r="AR163" s="115"/>
      <c r="AS163" s="115"/>
      <c r="AT163" s="115"/>
      <c r="AU163" s="115"/>
    </row>
    <row r="164" spans="1:47" ht="67.2" customHeight="1" thickBot="1" x14ac:dyDescent="0.4">
      <c r="A164" s="115"/>
      <c r="B164" s="1387"/>
      <c r="C164" s="1387"/>
      <c r="D164" s="115"/>
      <c r="E164" s="115"/>
      <c r="F164" s="115"/>
      <c r="G164" s="115"/>
      <c r="H164" s="115"/>
      <c r="I164" s="115"/>
      <c r="J164" s="115"/>
      <c r="K164" s="115"/>
      <c r="L164" s="115"/>
      <c r="M164" s="115"/>
      <c r="N164" s="115"/>
      <c r="O164" s="115"/>
      <c r="P164" s="115"/>
      <c r="Q164" s="115"/>
      <c r="R164" s="115"/>
      <c r="S164" s="115"/>
      <c r="T164" s="115"/>
      <c r="U164" s="115"/>
      <c r="V164" s="115"/>
      <c r="W164" s="115"/>
      <c r="X164" s="115"/>
      <c r="Y164" s="115"/>
      <c r="Z164" s="115"/>
      <c r="AA164" s="115"/>
      <c r="AB164" s="115"/>
      <c r="AC164" s="115"/>
      <c r="AD164" s="115"/>
      <c r="AE164" s="115"/>
      <c r="AF164" s="115"/>
      <c r="AG164" s="115"/>
      <c r="AH164" s="115"/>
      <c r="AI164" s="115"/>
      <c r="AJ164" s="115"/>
      <c r="AK164" s="115"/>
      <c r="AL164" s="115"/>
      <c r="AM164" s="115"/>
      <c r="AN164" s="115"/>
      <c r="AO164" s="115"/>
      <c r="AP164" s="115"/>
      <c r="AQ164" s="115"/>
      <c r="AR164" s="115"/>
      <c r="AS164" s="115"/>
      <c r="AT164" s="115"/>
      <c r="AU164" s="115"/>
    </row>
    <row r="165" spans="1:47" ht="67.2" customHeight="1" thickBot="1" x14ac:dyDescent="0.4">
      <c r="A165" s="115"/>
      <c r="B165" s="1387"/>
      <c r="C165" s="1387"/>
      <c r="D165" s="115"/>
      <c r="E165" s="115"/>
      <c r="F165" s="115"/>
      <c r="G165" s="115"/>
      <c r="H165" s="115"/>
      <c r="I165" s="115"/>
      <c r="J165" s="115"/>
      <c r="K165" s="115"/>
      <c r="L165" s="115"/>
      <c r="M165" s="115"/>
      <c r="N165" s="115"/>
      <c r="O165" s="115"/>
      <c r="P165" s="115"/>
      <c r="Q165" s="115"/>
      <c r="R165" s="115"/>
      <c r="S165" s="115"/>
      <c r="T165" s="115"/>
      <c r="U165" s="115"/>
      <c r="V165" s="115"/>
      <c r="W165" s="115"/>
      <c r="X165" s="115"/>
      <c r="Y165" s="115"/>
      <c r="Z165" s="115"/>
      <c r="AA165" s="115"/>
      <c r="AB165" s="115"/>
      <c r="AC165" s="115"/>
      <c r="AD165" s="115"/>
      <c r="AE165" s="115"/>
      <c r="AF165" s="115"/>
      <c r="AG165" s="115"/>
      <c r="AH165" s="115"/>
      <c r="AI165" s="115"/>
      <c r="AJ165" s="115"/>
      <c r="AK165" s="115"/>
      <c r="AL165" s="115"/>
      <c r="AM165" s="115"/>
      <c r="AN165" s="115"/>
      <c r="AO165" s="115"/>
      <c r="AP165" s="115"/>
      <c r="AQ165" s="115"/>
      <c r="AR165" s="115"/>
      <c r="AS165" s="115"/>
      <c r="AT165" s="115"/>
      <c r="AU165" s="115"/>
    </row>
    <row r="166" spans="1:47" ht="67.2" customHeight="1" thickBot="1" x14ac:dyDescent="0.4">
      <c r="A166" s="115"/>
      <c r="B166" s="1387"/>
      <c r="C166" s="1387"/>
      <c r="D166" s="115"/>
      <c r="E166" s="115"/>
      <c r="F166" s="115"/>
      <c r="G166" s="115"/>
      <c r="H166" s="115"/>
      <c r="I166" s="115"/>
      <c r="J166" s="115"/>
      <c r="K166" s="115"/>
      <c r="L166" s="115"/>
      <c r="M166" s="115"/>
      <c r="N166" s="115"/>
      <c r="O166" s="115"/>
      <c r="P166" s="115"/>
      <c r="Q166" s="115"/>
      <c r="R166" s="115"/>
      <c r="S166" s="115"/>
      <c r="T166" s="115"/>
      <c r="U166" s="115"/>
      <c r="V166" s="115"/>
      <c r="W166" s="115"/>
      <c r="X166" s="115"/>
      <c r="Y166" s="115"/>
      <c r="Z166" s="115"/>
      <c r="AA166" s="115"/>
      <c r="AB166" s="115"/>
      <c r="AC166" s="115"/>
      <c r="AD166" s="115"/>
      <c r="AE166" s="115"/>
      <c r="AF166" s="115"/>
      <c r="AG166" s="115"/>
      <c r="AH166" s="115"/>
      <c r="AI166" s="115"/>
      <c r="AJ166" s="115"/>
      <c r="AK166" s="115"/>
      <c r="AL166" s="115"/>
      <c r="AM166" s="115"/>
      <c r="AN166" s="115"/>
      <c r="AO166" s="115"/>
      <c r="AP166" s="115"/>
      <c r="AQ166" s="115"/>
      <c r="AR166" s="115"/>
      <c r="AS166" s="115"/>
      <c r="AT166" s="115"/>
      <c r="AU166" s="115"/>
    </row>
    <row r="167" spans="1:47" ht="67.2" customHeight="1" thickBot="1" x14ac:dyDescent="0.4">
      <c r="A167" s="115"/>
      <c r="B167" s="1387"/>
      <c r="C167" s="1387"/>
      <c r="D167" s="115"/>
      <c r="E167" s="115"/>
      <c r="F167" s="115"/>
      <c r="G167" s="115"/>
      <c r="H167" s="115"/>
      <c r="I167" s="115"/>
      <c r="J167" s="115"/>
      <c r="K167" s="115"/>
      <c r="L167" s="115"/>
      <c r="M167" s="115"/>
      <c r="N167" s="115"/>
      <c r="O167" s="115"/>
      <c r="P167" s="115"/>
      <c r="Q167" s="115"/>
      <c r="R167" s="115"/>
      <c r="S167" s="115"/>
      <c r="T167" s="115"/>
      <c r="U167" s="115"/>
      <c r="V167" s="115"/>
      <c r="W167" s="115"/>
      <c r="X167" s="115"/>
      <c r="Y167" s="115"/>
      <c r="Z167" s="115"/>
      <c r="AA167" s="115"/>
      <c r="AB167" s="115"/>
      <c r="AC167" s="115"/>
      <c r="AD167" s="115"/>
      <c r="AE167" s="115"/>
      <c r="AF167" s="115"/>
      <c r="AG167" s="115"/>
      <c r="AH167" s="115"/>
      <c r="AI167" s="115"/>
      <c r="AJ167" s="115"/>
      <c r="AK167" s="115"/>
      <c r="AL167" s="115"/>
      <c r="AM167" s="115"/>
      <c r="AN167" s="115"/>
      <c r="AO167" s="115"/>
      <c r="AP167" s="115"/>
      <c r="AQ167" s="115"/>
      <c r="AR167" s="115"/>
      <c r="AS167" s="115"/>
      <c r="AT167" s="115"/>
      <c r="AU167" s="115"/>
    </row>
    <row r="168" spans="1:47" ht="67.2" customHeight="1" thickBot="1" x14ac:dyDescent="0.4">
      <c r="A168" s="115"/>
      <c r="B168" s="1387"/>
      <c r="C168" s="1387"/>
      <c r="D168" s="115"/>
      <c r="E168" s="115"/>
      <c r="F168" s="115"/>
      <c r="G168" s="115"/>
      <c r="H168" s="115"/>
      <c r="I168" s="115"/>
      <c r="J168" s="115"/>
      <c r="K168" s="115"/>
      <c r="L168" s="115"/>
      <c r="M168" s="115"/>
      <c r="N168" s="115"/>
      <c r="O168" s="115"/>
      <c r="P168" s="115"/>
      <c r="Q168" s="115"/>
      <c r="R168" s="115"/>
      <c r="S168" s="115"/>
      <c r="T168" s="115"/>
      <c r="U168" s="115"/>
      <c r="V168" s="115"/>
      <c r="W168" s="115"/>
      <c r="X168" s="115"/>
      <c r="Y168" s="115"/>
      <c r="Z168" s="115"/>
      <c r="AA168" s="115"/>
      <c r="AB168" s="115"/>
      <c r="AC168" s="115"/>
      <c r="AD168" s="115"/>
      <c r="AE168" s="115"/>
      <c r="AF168" s="115"/>
      <c r="AG168" s="115"/>
      <c r="AH168" s="115"/>
      <c r="AI168" s="115"/>
      <c r="AJ168" s="115"/>
      <c r="AK168" s="115"/>
      <c r="AL168" s="115"/>
      <c r="AM168" s="115"/>
      <c r="AN168" s="115"/>
      <c r="AO168" s="115"/>
      <c r="AP168" s="115"/>
      <c r="AQ168" s="115"/>
      <c r="AR168" s="115"/>
      <c r="AS168" s="115"/>
      <c r="AT168" s="115"/>
      <c r="AU168" s="115"/>
    </row>
    <row r="169" spans="1:47" ht="67.2" customHeight="1" thickBot="1" x14ac:dyDescent="0.4">
      <c r="A169" s="115"/>
      <c r="B169" s="1387"/>
      <c r="C169" s="1387"/>
      <c r="D169" s="115"/>
      <c r="E169" s="115"/>
      <c r="F169" s="115"/>
      <c r="G169" s="115"/>
      <c r="H169" s="115"/>
      <c r="I169" s="115"/>
      <c r="J169" s="115"/>
      <c r="K169" s="115"/>
      <c r="L169" s="115"/>
      <c r="M169" s="115"/>
      <c r="N169" s="115"/>
      <c r="O169" s="115"/>
      <c r="P169" s="115"/>
      <c r="Q169" s="115"/>
      <c r="R169" s="115"/>
      <c r="S169" s="115"/>
      <c r="T169" s="115"/>
      <c r="U169" s="115"/>
      <c r="V169" s="115"/>
      <c r="W169" s="115"/>
      <c r="X169" s="115"/>
      <c r="Y169" s="115"/>
      <c r="Z169" s="115"/>
      <c r="AA169" s="115"/>
      <c r="AB169" s="115"/>
      <c r="AC169" s="115"/>
      <c r="AD169" s="115"/>
      <c r="AE169" s="115"/>
      <c r="AF169" s="115"/>
      <c r="AG169" s="115"/>
      <c r="AH169" s="115"/>
      <c r="AI169" s="115"/>
      <c r="AJ169" s="115"/>
      <c r="AK169" s="115"/>
      <c r="AL169" s="115"/>
      <c r="AM169" s="115"/>
      <c r="AN169" s="115"/>
      <c r="AO169" s="115"/>
      <c r="AP169" s="115"/>
      <c r="AQ169" s="115"/>
      <c r="AR169" s="115"/>
      <c r="AS169" s="115"/>
      <c r="AT169" s="115"/>
      <c r="AU169" s="115"/>
    </row>
    <row r="170" spans="1:47" ht="67.2" customHeight="1" thickBot="1" x14ac:dyDescent="0.4">
      <c r="A170" s="115"/>
      <c r="B170" s="1387"/>
      <c r="C170" s="1387"/>
      <c r="D170" s="115"/>
      <c r="E170" s="115"/>
      <c r="F170" s="115"/>
      <c r="G170" s="115"/>
      <c r="H170" s="115"/>
      <c r="I170" s="115"/>
      <c r="J170" s="115"/>
      <c r="K170" s="115"/>
      <c r="L170" s="115"/>
      <c r="M170" s="115"/>
      <c r="N170" s="115"/>
      <c r="O170" s="115"/>
      <c r="P170" s="115"/>
      <c r="Q170" s="115"/>
      <c r="R170" s="115"/>
      <c r="S170" s="115"/>
      <c r="T170" s="115"/>
      <c r="U170" s="115"/>
      <c r="V170" s="115"/>
      <c r="W170" s="115"/>
      <c r="X170" s="115"/>
      <c r="Y170" s="115"/>
      <c r="Z170" s="115"/>
      <c r="AA170" s="115"/>
      <c r="AB170" s="115"/>
      <c r="AC170" s="115"/>
      <c r="AD170" s="115"/>
      <c r="AE170" s="115"/>
      <c r="AF170" s="115"/>
      <c r="AG170" s="115"/>
      <c r="AH170" s="115"/>
      <c r="AI170" s="115"/>
      <c r="AJ170" s="115"/>
      <c r="AK170" s="115"/>
      <c r="AL170" s="115"/>
      <c r="AM170" s="115"/>
      <c r="AN170" s="115"/>
      <c r="AO170" s="115"/>
      <c r="AP170" s="115"/>
      <c r="AQ170" s="115"/>
      <c r="AR170" s="115"/>
      <c r="AS170" s="115"/>
      <c r="AT170" s="115"/>
      <c r="AU170" s="115"/>
    </row>
    <row r="171" spans="1:47" ht="67.2" customHeight="1" thickBot="1" x14ac:dyDescent="0.4">
      <c r="A171" s="115"/>
      <c r="B171" s="1387"/>
      <c r="C171" s="1387"/>
      <c r="D171" s="115"/>
      <c r="E171" s="115"/>
      <c r="F171" s="115"/>
      <c r="G171" s="115"/>
      <c r="H171" s="115"/>
      <c r="I171" s="115"/>
      <c r="J171" s="115"/>
      <c r="K171" s="115"/>
      <c r="L171" s="115"/>
      <c r="M171" s="115"/>
      <c r="N171" s="115"/>
      <c r="O171" s="115"/>
      <c r="P171" s="115"/>
      <c r="Q171" s="115"/>
      <c r="R171" s="115"/>
      <c r="S171" s="115"/>
      <c r="T171" s="115"/>
      <c r="U171" s="115"/>
      <c r="V171" s="115"/>
      <c r="W171" s="115"/>
      <c r="X171" s="115"/>
      <c r="Y171" s="115"/>
      <c r="Z171" s="115"/>
      <c r="AA171" s="115"/>
      <c r="AB171" s="115"/>
      <c r="AC171" s="115"/>
      <c r="AD171" s="115"/>
      <c r="AE171" s="115"/>
      <c r="AF171" s="115"/>
      <c r="AG171" s="115"/>
      <c r="AH171" s="115"/>
      <c r="AI171" s="115"/>
      <c r="AJ171" s="115"/>
      <c r="AK171" s="115"/>
      <c r="AL171" s="115"/>
      <c r="AM171" s="115"/>
      <c r="AN171" s="115"/>
      <c r="AO171" s="115"/>
      <c r="AP171" s="115"/>
      <c r="AQ171" s="115"/>
      <c r="AR171" s="115"/>
      <c r="AS171" s="115"/>
      <c r="AT171" s="115"/>
      <c r="AU171" s="115"/>
    </row>
    <row r="172" spans="1:47" ht="67.2" customHeight="1" thickBot="1" x14ac:dyDescent="0.4">
      <c r="A172" s="115"/>
      <c r="B172" s="1387"/>
      <c r="C172" s="1387"/>
      <c r="D172" s="115"/>
      <c r="E172" s="115"/>
      <c r="F172" s="115"/>
      <c r="G172" s="115"/>
      <c r="H172" s="115"/>
      <c r="I172" s="115"/>
      <c r="J172" s="115"/>
      <c r="K172" s="115"/>
      <c r="L172" s="115"/>
      <c r="M172" s="115"/>
      <c r="N172" s="115"/>
      <c r="O172" s="115"/>
      <c r="P172" s="115"/>
      <c r="Q172" s="115"/>
      <c r="R172" s="115"/>
      <c r="S172" s="115"/>
      <c r="T172" s="115"/>
      <c r="U172" s="115"/>
      <c r="V172" s="115"/>
      <c r="W172" s="115"/>
      <c r="X172" s="115"/>
      <c r="Y172" s="115"/>
      <c r="Z172" s="115"/>
      <c r="AA172" s="115"/>
      <c r="AB172" s="115"/>
      <c r="AC172" s="115"/>
      <c r="AD172" s="115"/>
      <c r="AE172" s="115"/>
      <c r="AF172" s="115"/>
      <c r="AG172" s="115"/>
      <c r="AH172" s="115"/>
      <c r="AI172" s="115"/>
      <c r="AJ172" s="115"/>
      <c r="AK172" s="115"/>
      <c r="AL172" s="115"/>
      <c r="AM172" s="115"/>
      <c r="AN172" s="115"/>
      <c r="AO172" s="115"/>
      <c r="AP172" s="115"/>
      <c r="AQ172" s="115"/>
      <c r="AR172" s="115"/>
      <c r="AS172" s="115"/>
      <c r="AT172" s="115"/>
      <c r="AU172" s="115"/>
    </row>
    <row r="173" spans="1:47" ht="67.2" customHeight="1" thickBot="1" x14ac:dyDescent="0.4">
      <c r="A173" s="115"/>
      <c r="B173" s="1387"/>
      <c r="C173" s="1387"/>
      <c r="D173" s="115"/>
      <c r="E173" s="115"/>
      <c r="F173" s="115"/>
      <c r="G173" s="115"/>
      <c r="H173" s="115"/>
      <c r="I173" s="115"/>
      <c r="J173" s="115"/>
      <c r="K173" s="115"/>
      <c r="L173" s="115"/>
      <c r="M173" s="115"/>
      <c r="N173" s="115"/>
      <c r="O173" s="115"/>
      <c r="P173" s="115"/>
      <c r="Q173" s="115"/>
      <c r="R173" s="115"/>
      <c r="S173" s="115"/>
      <c r="T173" s="115"/>
      <c r="U173" s="115"/>
      <c r="V173" s="115"/>
      <c r="W173" s="115"/>
      <c r="X173" s="115"/>
      <c r="Y173" s="115"/>
      <c r="Z173" s="115"/>
      <c r="AA173" s="115"/>
      <c r="AB173" s="115"/>
      <c r="AC173" s="115"/>
      <c r="AD173" s="115"/>
      <c r="AE173" s="115"/>
      <c r="AF173" s="115"/>
      <c r="AG173" s="115"/>
      <c r="AH173" s="115"/>
      <c r="AI173" s="115"/>
      <c r="AJ173" s="115"/>
      <c r="AK173" s="115"/>
      <c r="AL173" s="115"/>
      <c r="AM173" s="115"/>
      <c r="AN173" s="115"/>
      <c r="AO173" s="115"/>
      <c r="AP173" s="115"/>
      <c r="AQ173" s="115"/>
      <c r="AR173" s="115"/>
      <c r="AS173" s="115"/>
      <c r="AT173" s="115"/>
      <c r="AU173" s="115"/>
    </row>
    <row r="174" spans="1:47" ht="67.2" customHeight="1" thickBot="1" x14ac:dyDescent="0.4">
      <c r="A174" s="115"/>
      <c r="B174" s="1387"/>
      <c r="C174" s="1387"/>
      <c r="D174" s="115"/>
      <c r="E174" s="115"/>
      <c r="F174" s="115"/>
      <c r="G174" s="115"/>
      <c r="H174" s="115"/>
      <c r="I174" s="115"/>
      <c r="J174" s="115"/>
      <c r="K174" s="115"/>
      <c r="L174" s="115"/>
      <c r="M174" s="115"/>
      <c r="N174" s="115"/>
      <c r="O174" s="115"/>
      <c r="P174" s="115"/>
      <c r="Q174" s="115"/>
      <c r="R174" s="115"/>
      <c r="S174" s="115"/>
      <c r="T174" s="115"/>
      <c r="U174" s="115"/>
      <c r="V174" s="115"/>
      <c r="W174" s="115"/>
      <c r="X174" s="115"/>
      <c r="Y174" s="115"/>
      <c r="Z174" s="115"/>
      <c r="AA174" s="115"/>
      <c r="AB174" s="115"/>
      <c r="AC174" s="115"/>
      <c r="AD174" s="115"/>
      <c r="AE174" s="115"/>
      <c r="AF174" s="115"/>
      <c r="AG174" s="115"/>
      <c r="AH174" s="115"/>
      <c r="AI174" s="115"/>
      <c r="AJ174" s="115"/>
      <c r="AK174" s="115"/>
      <c r="AL174" s="115"/>
      <c r="AM174" s="115"/>
      <c r="AN174" s="115"/>
      <c r="AO174" s="115"/>
      <c r="AP174" s="115"/>
      <c r="AQ174" s="115"/>
      <c r="AR174" s="115"/>
      <c r="AS174" s="115"/>
      <c r="AT174" s="115"/>
      <c r="AU174" s="115"/>
    </row>
    <row r="175" spans="1:47" ht="67.2" customHeight="1" thickBot="1" x14ac:dyDescent="0.4">
      <c r="A175" s="115"/>
      <c r="B175" s="1387"/>
      <c r="C175" s="1387"/>
      <c r="D175" s="115"/>
      <c r="E175" s="115"/>
      <c r="F175" s="115"/>
      <c r="G175" s="115"/>
      <c r="H175" s="115"/>
      <c r="I175" s="115"/>
      <c r="J175" s="115"/>
      <c r="K175" s="115"/>
      <c r="L175" s="115"/>
      <c r="M175" s="115"/>
      <c r="N175" s="115"/>
      <c r="O175" s="115"/>
      <c r="P175" s="115"/>
      <c r="Q175" s="115"/>
      <c r="R175" s="115"/>
      <c r="S175" s="115"/>
      <c r="T175" s="115"/>
      <c r="U175" s="115"/>
      <c r="V175" s="115"/>
      <c r="W175" s="115"/>
      <c r="X175" s="115"/>
      <c r="Y175" s="115"/>
      <c r="Z175" s="115"/>
      <c r="AA175" s="115"/>
      <c r="AB175" s="115"/>
      <c r="AC175" s="115"/>
      <c r="AD175" s="115"/>
      <c r="AE175" s="115"/>
      <c r="AF175" s="115"/>
      <c r="AG175" s="115"/>
      <c r="AH175" s="115"/>
      <c r="AI175" s="115"/>
      <c r="AJ175" s="115"/>
      <c r="AK175" s="115"/>
      <c r="AL175" s="115"/>
      <c r="AM175" s="115"/>
      <c r="AN175" s="115"/>
      <c r="AO175" s="115"/>
      <c r="AP175" s="115"/>
      <c r="AQ175" s="115"/>
      <c r="AR175" s="115"/>
      <c r="AS175" s="115"/>
      <c r="AT175" s="115"/>
      <c r="AU175" s="115"/>
    </row>
    <row r="176" spans="1:47" ht="67.2" customHeight="1" thickBot="1" x14ac:dyDescent="0.4">
      <c r="A176" s="115"/>
      <c r="B176" s="1387"/>
      <c r="C176" s="1387"/>
      <c r="D176" s="115"/>
      <c r="E176" s="115"/>
      <c r="F176" s="115"/>
      <c r="G176" s="115"/>
      <c r="H176" s="115"/>
      <c r="I176" s="115"/>
      <c r="J176" s="115"/>
      <c r="K176" s="115"/>
      <c r="L176" s="115"/>
      <c r="M176" s="115"/>
      <c r="N176" s="115"/>
      <c r="O176" s="115"/>
      <c r="P176" s="115"/>
      <c r="Q176" s="115"/>
      <c r="R176" s="115"/>
      <c r="S176" s="115"/>
      <c r="T176" s="115"/>
      <c r="U176" s="115"/>
      <c r="V176" s="115"/>
      <c r="W176" s="115"/>
      <c r="X176" s="115"/>
      <c r="Y176" s="115"/>
      <c r="Z176" s="115"/>
      <c r="AA176" s="115"/>
      <c r="AB176" s="115"/>
      <c r="AC176" s="115"/>
      <c r="AD176" s="115"/>
      <c r="AE176" s="115"/>
      <c r="AF176" s="115"/>
      <c r="AG176" s="115"/>
      <c r="AH176" s="115"/>
      <c r="AI176" s="115"/>
      <c r="AJ176" s="115"/>
      <c r="AK176" s="115"/>
      <c r="AL176" s="115"/>
      <c r="AM176" s="115"/>
      <c r="AN176" s="115"/>
      <c r="AO176" s="115"/>
      <c r="AP176" s="115"/>
      <c r="AQ176" s="115"/>
      <c r="AR176" s="115"/>
      <c r="AS176" s="115"/>
      <c r="AT176" s="115"/>
      <c r="AU176" s="115"/>
    </row>
    <row r="177" spans="1:47" ht="67.2" customHeight="1" thickBot="1" x14ac:dyDescent="0.4">
      <c r="A177" s="115"/>
      <c r="B177" s="1387"/>
      <c r="C177" s="1387"/>
      <c r="D177" s="115"/>
      <c r="E177" s="115"/>
      <c r="F177" s="115"/>
      <c r="G177" s="115"/>
      <c r="H177" s="115"/>
      <c r="I177" s="115"/>
      <c r="J177" s="115"/>
      <c r="K177" s="115"/>
      <c r="L177" s="115"/>
      <c r="M177" s="115"/>
      <c r="N177" s="115"/>
      <c r="O177" s="115"/>
      <c r="P177" s="115"/>
      <c r="Q177" s="115"/>
      <c r="R177" s="115"/>
      <c r="S177" s="115"/>
      <c r="T177" s="115"/>
      <c r="U177" s="115"/>
      <c r="V177" s="115"/>
      <c r="W177" s="115"/>
      <c r="X177" s="115"/>
      <c r="Y177" s="115"/>
      <c r="Z177" s="115"/>
      <c r="AA177" s="115"/>
      <c r="AB177" s="115"/>
      <c r="AC177" s="115"/>
      <c r="AD177" s="115"/>
      <c r="AE177" s="115"/>
      <c r="AF177" s="115"/>
      <c r="AG177" s="115"/>
      <c r="AH177" s="115"/>
      <c r="AI177" s="115"/>
      <c r="AJ177" s="115"/>
      <c r="AK177" s="115"/>
      <c r="AL177" s="115"/>
      <c r="AM177" s="115"/>
      <c r="AN177" s="115"/>
      <c r="AO177" s="115"/>
      <c r="AP177" s="115"/>
      <c r="AQ177" s="115"/>
      <c r="AR177" s="115"/>
      <c r="AS177" s="115"/>
      <c r="AT177" s="115"/>
      <c r="AU177" s="115"/>
    </row>
    <row r="178" spans="1:47" ht="67.2" customHeight="1" thickBot="1" x14ac:dyDescent="0.4">
      <c r="A178" s="115"/>
      <c r="B178" s="1387"/>
      <c r="C178" s="1387"/>
      <c r="D178" s="115"/>
      <c r="E178" s="115"/>
      <c r="F178" s="115"/>
      <c r="G178" s="115"/>
      <c r="H178" s="115"/>
      <c r="I178" s="115"/>
      <c r="J178" s="115"/>
      <c r="K178" s="115"/>
      <c r="L178" s="115"/>
      <c r="M178" s="115"/>
      <c r="N178" s="115"/>
      <c r="O178" s="115"/>
      <c r="P178" s="115"/>
      <c r="Q178" s="115"/>
      <c r="R178" s="115"/>
      <c r="S178" s="115"/>
      <c r="T178" s="115"/>
      <c r="U178" s="115"/>
      <c r="V178" s="115"/>
      <c r="W178" s="115"/>
      <c r="X178" s="115"/>
      <c r="Y178" s="115"/>
      <c r="Z178" s="115"/>
      <c r="AA178" s="115"/>
      <c r="AB178" s="115"/>
      <c r="AC178" s="115"/>
      <c r="AD178" s="115"/>
      <c r="AE178" s="115"/>
      <c r="AF178" s="115"/>
      <c r="AG178" s="115"/>
      <c r="AH178" s="115"/>
      <c r="AI178" s="115"/>
      <c r="AJ178" s="115"/>
      <c r="AK178" s="115"/>
      <c r="AL178" s="115"/>
      <c r="AM178" s="115"/>
      <c r="AN178" s="115"/>
      <c r="AO178" s="115"/>
      <c r="AP178" s="115"/>
      <c r="AQ178" s="115"/>
      <c r="AR178" s="115"/>
      <c r="AS178" s="115"/>
      <c r="AT178" s="115"/>
      <c r="AU178" s="115"/>
    </row>
    <row r="179" spans="1:47" ht="67.2" customHeight="1" thickBot="1" x14ac:dyDescent="0.4">
      <c r="A179" s="115"/>
      <c r="B179" s="1387"/>
      <c r="C179" s="1387"/>
      <c r="D179" s="115"/>
      <c r="E179" s="115"/>
      <c r="F179" s="115"/>
      <c r="G179" s="115"/>
      <c r="H179" s="115"/>
      <c r="I179" s="115"/>
      <c r="J179" s="115"/>
      <c r="K179" s="115"/>
      <c r="L179" s="115"/>
      <c r="M179" s="115"/>
      <c r="N179" s="115"/>
      <c r="O179" s="115"/>
      <c r="P179" s="115"/>
      <c r="Q179" s="115"/>
      <c r="R179" s="115"/>
      <c r="S179" s="115"/>
      <c r="T179" s="115"/>
      <c r="U179" s="115"/>
      <c r="V179" s="115"/>
      <c r="W179" s="115"/>
      <c r="X179" s="115"/>
      <c r="Y179" s="115"/>
      <c r="Z179" s="115"/>
      <c r="AA179" s="115"/>
      <c r="AB179" s="115"/>
      <c r="AC179" s="115"/>
      <c r="AD179" s="115"/>
      <c r="AE179" s="115"/>
      <c r="AF179" s="115"/>
      <c r="AG179" s="115"/>
      <c r="AH179" s="115"/>
      <c r="AI179" s="115"/>
      <c r="AJ179" s="115"/>
      <c r="AK179" s="115"/>
      <c r="AL179" s="115"/>
      <c r="AM179" s="115"/>
      <c r="AN179" s="115"/>
      <c r="AO179" s="115"/>
      <c r="AP179" s="115"/>
      <c r="AQ179" s="115"/>
      <c r="AR179" s="115"/>
      <c r="AS179" s="115"/>
      <c r="AT179" s="115"/>
      <c r="AU179" s="115"/>
    </row>
    <row r="180" spans="1:47" ht="67.2" customHeight="1" thickBot="1" x14ac:dyDescent="0.4">
      <c r="A180" s="115"/>
      <c r="B180" s="1387"/>
      <c r="C180" s="1387"/>
      <c r="D180" s="115"/>
      <c r="E180" s="115"/>
      <c r="F180" s="115"/>
      <c r="G180" s="115"/>
      <c r="H180" s="115"/>
      <c r="I180" s="115"/>
      <c r="J180" s="115"/>
      <c r="K180" s="115"/>
      <c r="L180" s="115"/>
      <c r="M180" s="115"/>
      <c r="N180" s="115"/>
      <c r="O180" s="115"/>
      <c r="P180" s="115"/>
      <c r="Q180" s="115"/>
      <c r="R180" s="115"/>
      <c r="S180" s="115"/>
      <c r="T180" s="115"/>
      <c r="U180" s="115"/>
      <c r="V180" s="115"/>
      <c r="W180" s="115"/>
      <c r="X180" s="115"/>
      <c r="Y180" s="115"/>
      <c r="Z180" s="115"/>
      <c r="AA180" s="115"/>
      <c r="AB180" s="115"/>
      <c r="AC180" s="115"/>
      <c r="AD180" s="115"/>
      <c r="AE180" s="115"/>
      <c r="AF180" s="115"/>
      <c r="AG180" s="115"/>
      <c r="AH180" s="115"/>
      <c r="AI180" s="115"/>
      <c r="AJ180" s="115"/>
      <c r="AK180" s="115"/>
      <c r="AL180" s="115"/>
      <c r="AM180" s="115"/>
      <c r="AN180" s="115"/>
      <c r="AO180" s="115"/>
      <c r="AP180" s="115"/>
      <c r="AQ180" s="115"/>
      <c r="AR180" s="115"/>
      <c r="AS180" s="115"/>
      <c r="AT180" s="115"/>
      <c r="AU180" s="115"/>
    </row>
    <row r="181" spans="1:47" ht="67.2" customHeight="1" thickBot="1" x14ac:dyDescent="0.4">
      <c r="A181" s="115"/>
      <c r="B181" s="1387"/>
      <c r="C181" s="1387"/>
      <c r="D181" s="115"/>
      <c r="E181" s="115"/>
      <c r="F181" s="115"/>
      <c r="G181" s="115"/>
      <c r="H181" s="115"/>
      <c r="I181" s="115"/>
      <c r="J181" s="115"/>
      <c r="K181" s="115"/>
      <c r="L181" s="115"/>
      <c r="M181" s="115"/>
      <c r="N181" s="115"/>
      <c r="O181" s="115"/>
      <c r="P181" s="115"/>
      <c r="Q181" s="115"/>
      <c r="R181" s="115"/>
      <c r="S181" s="115"/>
      <c r="T181" s="115"/>
      <c r="U181" s="115"/>
      <c r="V181" s="115"/>
      <c r="W181" s="115"/>
      <c r="X181" s="115"/>
      <c r="Y181" s="115"/>
      <c r="Z181" s="115"/>
      <c r="AA181" s="115"/>
      <c r="AB181" s="115"/>
      <c r="AC181" s="115"/>
      <c r="AD181" s="115"/>
      <c r="AE181" s="115"/>
      <c r="AF181" s="115"/>
      <c r="AG181" s="115"/>
      <c r="AH181" s="115"/>
      <c r="AI181" s="115"/>
      <c r="AJ181" s="115"/>
      <c r="AK181" s="115"/>
      <c r="AL181" s="115"/>
      <c r="AM181" s="115"/>
      <c r="AN181" s="115"/>
      <c r="AO181" s="115"/>
      <c r="AP181" s="115"/>
      <c r="AQ181" s="115"/>
      <c r="AR181" s="115"/>
      <c r="AS181" s="115"/>
      <c r="AT181" s="115"/>
      <c r="AU181" s="115"/>
    </row>
    <row r="182" spans="1:47" ht="67.2" customHeight="1" thickBot="1" x14ac:dyDescent="0.4">
      <c r="A182" s="115"/>
      <c r="B182" s="1387"/>
      <c r="C182" s="1387"/>
      <c r="D182" s="115"/>
      <c r="E182" s="115"/>
      <c r="F182" s="115"/>
      <c r="G182" s="115"/>
      <c r="H182" s="115"/>
      <c r="I182" s="115"/>
      <c r="J182" s="115"/>
      <c r="K182" s="115"/>
      <c r="L182" s="115"/>
      <c r="M182" s="115"/>
      <c r="N182" s="115"/>
      <c r="O182" s="115"/>
      <c r="P182" s="115"/>
      <c r="Q182" s="115"/>
      <c r="R182" s="115"/>
      <c r="S182" s="115"/>
      <c r="T182" s="115"/>
      <c r="U182" s="115"/>
      <c r="V182" s="115"/>
      <c r="W182" s="115"/>
      <c r="X182" s="115"/>
      <c r="Y182" s="115"/>
      <c r="Z182" s="115"/>
      <c r="AA182" s="115"/>
      <c r="AB182" s="115"/>
      <c r="AC182" s="115"/>
      <c r="AD182" s="115"/>
      <c r="AE182" s="115"/>
      <c r="AF182" s="115"/>
      <c r="AG182" s="115"/>
      <c r="AH182" s="115"/>
      <c r="AI182" s="115"/>
      <c r="AJ182" s="115"/>
      <c r="AK182" s="115"/>
      <c r="AL182" s="115"/>
      <c r="AM182" s="115"/>
      <c r="AN182" s="115"/>
      <c r="AO182" s="115"/>
      <c r="AP182" s="115"/>
      <c r="AQ182" s="115"/>
      <c r="AR182" s="115"/>
      <c r="AS182" s="115"/>
      <c r="AT182" s="115"/>
      <c r="AU182" s="115"/>
    </row>
    <row r="183" spans="1:47" ht="67.2" customHeight="1" thickBot="1" x14ac:dyDescent="0.4">
      <c r="A183" s="115"/>
      <c r="B183" s="1387"/>
      <c r="C183" s="1387"/>
      <c r="D183" s="115"/>
      <c r="E183" s="115"/>
      <c r="F183" s="115"/>
      <c r="G183" s="115"/>
      <c r="H183" s="115"/>
      <c r="I183" s="115"/>
      <c r="J183" s="115"/>
      <c r="K183" s="115"/>
      <c r="L183" s="115"/>
      <c r="M183" s="115"/>
      <c r="N183" s="115"/>
      <c r="O183" s="115"/>
      <c r="P183" s="115"/>
      <c r="Q183" s="115"/>
      <c r="R183" s="115"/>
      <c r="S183" s="115"/>
      <c r="T183" s="115"/>
      <c r="U183" s="115"/>
      <c r="V183" s="115"/>
      <c r="W183" s="115"/>
      <c r="X183" s="115"/>
      <c r="Y183" s="115"/>
      <c r="Z183" s="115"/>
      <c r="AA183" s="115"/>
      <c r="AB183" s="115"/>
      <c r="AC183" s="115"/>
      <c r="AD183" s="115"/>
      <c r="AE183" s="115"/>
      <c r="AF183" s="115"/>
      <c r="AG183" s="115"/>
      <c r="AH183" s="115"/>
      <c r="AI183" s="115"/>
      <c r="AJ183" s="115"/>
      <c r="AK183" s="115"/>
      <c r="AL183" s="115"/>
      <c r="AM183" s="115"/>
      <c r="AN183" s="115"/>
      <c r="AO183" s="115"/>
      <c r="AP183" s="115"/>
      <c r="AQ183" s="115"/>
      <c r="AR183" s="115"/>
      <c r="AS183" s="115"/>
      <c r="AT183" s="115"/>
      <c r="AU183" s="115"/>
    </row>
    <row r="184" spans="1:47" ht="67.2" customHeight="1" thickBot="1" x14ac:dyDescent="0.4">
      <c r="A184" s="115"/>
      <c r="B184" s="1387"/>
      <c r="C184" s="1387"/>
      <c r="D184" s="115"/>
      <c r="E184" s="115"/>
      <c r="F184" s="115"/>
      <c r="G184" s="115"/>
      <c r="H184" s="115"/>
      <c r="I184" s="115"/>
      <c r="J184" s="115"/>
      <c r="K184" s="115"/>
      <c r="L184" s="115"/>
      <c r="M184" s="115"/>
      <c r="N184" s="115"/>
      <c r="O184" s="115"/>
      <c r="P184" s="115"/>
      <c r="Q184" s="115"/>
      <c r="R184" s="115"/>
      <c r="S184" s="115"/>
      <c r="T184" s="115"/>
      <c r="U184" s="115"/>
      <c r="V184" s="115"/>
      <c r="W184" s="115"/>
      <c r="X184" s="115"/>
      <c r="Y184" s="115"/>
      <c r="Z184" s="115"/>
      <c r="AA184" s="115"/>
      <c r="AB184" s="115"/>
      <c r="AC184" s="115"/>
      <c r="AD184" s="115"/>
      <c r="AE184" s="115"/>
      <c r="AF184" s="115"/>
      <c r="AG184" s="115"/>
      <c r="AH184" s="115"/>
      <c r="AI184" s="115"/>
      <c r="AJ184" s="115"/>
      <c r="AK184" s="115"/>
      <c r="AL184" s="115"/>
      <c r="AM184" s="115"/>
      <c r="AN184" s="115"/>
      <c r="AO184" s="115"/>
      <c r="AP184" s="115"/>
      <c r="AQ184" s="115"/>
      <c r="AR184" s="115"/>
      <c r="AS184" s="115"/>
      <c r="AT184" s="115"/>
      <c r="AU184" s="115"/>
    </row>
    <row r="185" spans="1:47" ht="67.2" customHeight="1" thickBot="1" x14ac:dyDescent="0.4">
      <c r="A185" s="115"/>
      <c r="B185" s="1387"/>
      <c r="C185" s="1387"/>
      <c r="D185" s="115"/>
      <c r="E185" s="115"/>
      <c r="F185" s="115"/>
      <c r="G185" s="115"/>
      <c r="H185" s="115"/>
      <c r="I185" s="115"/>
      <c r="J185" s="115"/>
      <c r="K185" s="115"/>
      <c r="L185" s="115"/>
      <c r="M185" s="115"/>
      <c r="N185" s="115"/>
      <c r="O185" s="115"/>
      <c r="P185" s="115"/>
      <c r="Q185" s="115"/>
      <c r="R185" s="115"/>
      <c r="S185" s="115"/>
      <c r="T185" s="115"/>
      <c r="U185" s="115"/>
      <c r="V185" s="115"/>
      <c r="W185" s="115"/>
      <c r="X185" s="115"/>
      <c r="Y185" s="115"/>
      <c r="Z185" s="115"/>
      <c r="AA185" s="115"/>
      <c r="AB185" s="115"/>
      <c r="AC185" s="115"/>
      <c r="AD185" s="115"/>
      <c r="AE185" s="115"/>
      <c r="AF185" s="115"/>
      <c r="AG185" s="115"/>
      <c r="AH185" s="115"/>
      <c r="AI185" s="115"/>
      <c r="AJ185" s="115"/>
      <c r="AK185" s="115"/>
      <c r="AL185" s="115"/>
      <c r="AM185" s="115"/>
      <c r="AN185" s="115"/>
      <c r="AO185" s="115"/>
      <c r="AP185" s="115"/>
      <c r="AQ185" s="115"/>
      <c r="AR185" s="115"/>
      <c r="AS185" s="115"/>
      <c r="AT185" s="115"/>
      <c r="AU185" s="115"/>
    </row>
    <row r="186" spans="1:47" ht="67.2" customHeight="1" thickBot="1" x14ac:dyDescent="0.4">
      <c r="A186" s="115"/>
      <c r="B186" s="1387"/>
      <c r="C186" s="1387"/>
      <c r="D186" s="115"/>
      <c r="E186" s="115"/>
      <c r="F186" s="115"/>
      <c r="G186" s="115"/>
      <c r="H186" s="115"/>
      <c r="I186" s="115"/>
      <c r="J186" s="115"/>
      <c r="K186" s="115"/>
      <c r="L186" s="115"/>
      <c r="M186" s="115"/>
      <c r="N186" s="115"/>
      <c r="O186" s="115"/>
      <c r="P186" s="115"/>
      <c r="Q186" s="115"/>
      <c r="R186" s="115"/>
      <c r="S186" s="115"/>
      <c r="T186" s="115"/>
      <c r="U186" s="115"/>
      <c r="V186" s="115"/>
      <c r="W186" s="115"/>
      <c r="X186" s="115"/>
      <c r="Y186" s="115"/>
      <c r="Z186" s="115"/>
      <c r="AA186" s="115"/>
      <c r="AB186" s="115"/>
      <c r="AC186" s="115"/>
      <c r="AD186" s="115"/>
      <c r="AE186" s="115"/>
      <c r="AF186" s="115"/>
      <c r="AG186" s="115"/>
      <c r="AH186" s="115"/>
      <c r="AI186" s="115"/>
      <c r="AJ186" s="115"/>
      <c r="AK186" s="115"/>
      <c r="AL186" s="115"/>
      <c r="AM186" s="115"/>
      <c r="AN186" s="115"/>
      <c r="AO186" s="115"/>
      <c r="AP186" s="115"/>
      <c r="AQ186" s="115"/>
      <c r="AR186" s="115"/>
      <c r="AS186" s="115"/>
      <c r="AT186" s="115"/>
      <c r="AU186" s="115"/>
    </row>
    <row r="187" spans="1:47" ht="67.2" customHeight="1" thickBot="1" x14ac:dyDescent="0.4">
      <c r="A187" s="115"/>
      <c r="B187" s="1387"/>
      <c r="C187" s="1387"/>
      <c r="D187" s="115"/>
      <c r="E187" s="115"/>
      <c r="F187" s="115"/>
      <c r="G187" s="115"/>
      <c r="H187" s="115"/>
      <c r="I187" s="115"/>
      <c r="J187" s="115"/>
      <c r="K187" s="115"/>
      <c r="L187" s="115"/>
      <c r="M187" s="115"/>
      <c r="N187" s="115"/>
      <c r="O187" s="115"/>
      <c r="P187" s="115"/>
      <c r="Q187" s="115"/>
      <c r="R187" s="115"/>
      <c r="S187" s="115"/>
      <c r="T187" s="115"/>
      <c r="U187" s="115"/>
      <c r="V187" s="115"/>
      <c r="W187" s="115"/>
      <c r="X187" s="115"/>
      <c r="Y187" s="115"/>
      <c r="Z187" s="115"/>
      <c r="AA187" s="115"/>
      <c r="AB187" s="115"/>
      <c r="AC187" s="115"/>
      <c r="AD187" s="115"/>
      <c r="AE187" s="115"/>
      <c r="AF187" s="115"/>
      <c r="AG187" s="115"/>
      <c r="AH187" s="115"/>
      <c r="AI187" s="115"/>
      <c r="AJ187" s="115"/>
      <c r="AK187" s="115"/>
      <c r="AL187" s="115"/>
      <c r="AM187" s="115"/>
      <c r="AN187" s="115"/>
      <c r="AO187" s="115"/>
      <c r="AP187" s="115"/>
      <c r="AQ187" s="115"/>
      <c r="AR187" s="115"/>
      <c r="AS187" s="115"/>
      <c r="AT187" s="115"/>
      <c r="AU187" s="115"/>
    </row>
    <row r="188" spans="1:47" ht="67.2" customHeight="1" thickBot="1" x14ac:dyDescent="0.4">
      <c r="A188" s="115"/>
      <c r="B188" s="1387"/>
      <c r="C188" s="1387"/>
      <c r="D188" s="115"/>
      <c r="E188" s="115"/>
      <c r="F188" s="115"/>
      <c r="G188" s="115"/>
      <c r="H188" s="115"/>
      <c r="I188" s="115"/>
      <c r="J188" s="115"/>
      <c r="K188" s="115"/>
      <c r="L188" s="115"/>
      <c r="M188" s="115"/>
      <c r="N188" s="115"/>
      <c r="O188" s="115"/>
      <c r="P188" s="115"/>
      <c r="Q188" s="115"/>
      <c r="R188" s="115"/>
      <c r="S188" s="115"/>
      <c r="T188" s="115"/>
      <c r="U188" s="115"/>
      <c r="V188" s="115"/>
      <c r="W188" s="115"/>
      <c r="X188" s="115"/>
      <c r="Y188" s="115"/>
      <c r="Z188" s="115"/>
      <c r="AA188" s="115"/>
      <c r="AB188" s="115"/>
      <c r="AC188" s="115"/>
      <c r="AD188" s="115"/>
      <c r="AE188" s="115"/>
      <c r="AF188" s="115"/>
      <c r="AG188" s="115"/>
      <c r="AH188" s="115"/>
      <c r="AI188" s="115"/>
      <c r="AJ188" s="115"/>
      <c r="AK188" s="115"/>
      <c r="AL188" s="115"/>
      <c r="AM188" s="115"/>
      <c r="AN188" s="115"/>
      <c r="AO188" s="115"/>
      <c r="AP188" s="115"/>
      <c r="AQ188" s="115"/>
      <c r="AR188" s="115"/>
      <c r="AS188" s="115"/>
      <c r="AT188" s="115"/>
      <c r="AU188" s="115"/>
    </row>
    <row r="189" spans="1:47" ht="67.2" customHeight="1" thickBot="1" x14ac:dyDescent="0.4">
      <c r="A189" s="115"/>
      <c r="B189" s="1387"/>
      <c r="C189" s="1387"/>
      <c r="D189" s="115"/>
      <c r="E189" s="115"/>
      <c r="F189" s="115"/>
      <c r="G189" s="115"/>
      <c r="H189" s="115"/>
      <c r="I189" s="115"/>
      <c r="J189" s="115"/>
      <c r="K189" s="115"/>
      <c r="L189" s="115"/>
      <c r="M189" s="115"/>
      <c r="N189" s="115"/>
      <c r="O189" s="115"/>
      <c r="P189" s="115"/>
      <c r="Q189" s="115"/>
      <c r="R189" s="115"/>
      <c r="S189" s="115"/>
      <c r="T189" s="115"/>
      <c r="U189" s="115"/>
      <c r="V189" s="115"/>
      <c r="W189" s="115"/>
      <c r="X189" s="115"/>
      <c r="Y189" s="115"/>
      <c r="Z189" s="115"/>
      <c r="AA189" s="115"/>
      <c r="AB189" s="115"/>
      <c r="AC189" s="115"/>
      <c r="AD189" s="115"/>
      <c r="AE189" s="115"/>
      <c r="AF189" s="115"/>
      <c r="AG189" s="115"/>
      <c r="AH189" s="115"/>
      <c r="AI189" s="115"/>
      <c r="AJ189" s="115"/>
      <c r="AK189" s="115"/>
      <c r="AL189" s="115"/>
      <c r="AM189" s="115"/>
      <c r="AN189" s="115"/>
      <c r="AO189" s="115"/>
      <c r="AP189" s="115"/>
      <c r="AQ189" s="115"/>
      <c r="AR189" s="115"/>
      <c r="AS189" s="115"/>
      <c r="AT189" s="115"/>
      <c r="AU189" s="115"/>
    </row>
    <row r="190" spans="1:47" ht="67.2" customHeight="1" thickBot="1" x14ac:dyDescent="0.4">
      <c r="A190" s="115"/>
      <c r="B190" s="1387"/>
      <c r="C190" s="1387"/>
      <c r="D190" s="115"/>
      <c r="E190" s="115"/>
      <c r="F190" s="115"/>
      <c r="G190" s="115"/>
      <c r="H190" s="115"/>
      <c r="I190" s="115"/>
      <c r="J190" s="115"/>
      <c r="K190" s="115"/>
      <c r="L190" s="115"/>
      <c r="M190" s="115"/>
      <c r="N190" s="115"/>
      <c r="O190" s="115"/>
      <c r="P190" s="115"/>
      <c r="Q190" s="115"/>
      <c r="R190" s="115"/>
      <c r="S190" s="115"/>
      <c r="T190" s="115"/>
      <c r="U190" s="115"/>
      <c r="V190" s="115"/>
      <c r="W190" s="115"/>
      <c r="X190" s="115"/>
      <c r="Y190" s="115"/>
      <c r="Z190" s="115"/>
      <c r="AA190" s="115"/>
      <c r="AB190" s="115"/>
      <c r="AC190" s="115"/>
      <c r="AD190" s="115"/>
      <c r="AE190" s="115"/>
      <c r="AF190" s="115"/>
      <c r="AG190" s="115"/>
      <c r="AH190" s="115"/>
      <c r="AI190" s="115"/>
      <c r="AJ190" s="115"/>
      <c r="AK190" s="115"/>
      <c r="AL190" s="115"/>
      <c r="AM190" s="115"/>
      <c r="AN190" s="115"/>
      <c r="AO190" s="115"/>
      <c r="AP190" s="115"/>
      <c r="AQ190" s="115"/>
      <c r="AR190" s="115"/>
      <c r="AS190" s="115"/>
      <c r="AT190" s="115"/>
      <c r="AU190" s="115"/>
    </row>
    <row r="191" spans="1:47" ht="67.2" customHeight="1" thickBot="1" x14ac:dyDescent="0.4">
      <c r="A191" s="115"/>
      <c r="B191" s="1387"/>
      <c r="C191" s="1387"/>
      <c r="D191" s="115"/>
      <c r="E191" s="115"/>
      <c r="F191" s="115"/>
      <c r="G191" s="115"/>
      <c r="H191" s="115"/>
      <c r="I191" s="115"/>
      <c r="J191" s="115"/>
      <c r="K191" s="115"/>
      <c r="L191" s="115"/>
      <c r="M191" s="115"/>
      <c r="N191" s="115"/>
      <c r="O191" s="115"/>
      <c r="P191" s="115"/>
      <c r="Q191" s="115"/>
      <c r="R191" s="115"/>
      <c r="S191" s="115"/>
      <c r="T191" s="115"/>
      <c r="U191" s="115"/>
      <c r="V191" s="115"/>
      <c r="W191" s="115"/>
      <c r="X191" s="115"/>
      <c r="Y191" s="115"/>
      <c r="Z191" s="115"/>
      <c r="AA191" s="115"/>
      <c r="AB191" s="115"/>
      <c r="AC191" s="115"/>
      <c r="AD191" s="115"/>
      <c r="AE191" s="115"/>
      <c r="AF191" s="115"/>
      <c r="AG191" s="115"/>
      <c r="AH191" s="115"/>
      <c r="AI191" s="115"/>
      <c r="AJ191" s="115"/>
      <c r="AK191" s="115"/>
      <c r="AL191" s="115"/>
      <c r="AM191" s="115"/>
      <c r="AN191" s="115"/>
      <c r="AO191" s="115"/>
      <c r="AP191" s="115"/>
      <c r="AQ191" s="115"/>
      <c r="AR191" s="115"/>
      <c r="AS191" s="115"/>
      <c r="AT191" s="115"/>
      <c r="AU191" s="115"/>
    </row>
    <row r="192" spans="1:47" ht="67.2" customHeight="1" thickBot="1" x14ac:dyDescent="0.4">
      <c r="A192" s="115"/>
      <c r="B192" s="1387"/>
      <c r="C192" s="1387"/>
      <c r="D192" s="115"/>
      <c r="E192" s="115"/>
      <c r="F192" s="115"/>
      <c r="G192" s="115"/>
      <c r="H192" s="115"/>
      <c r="I192" s="115"/>
      <c r="J192" s="115"/>
      <c r="K192" s="115"/>
      <c r="L192" s="115"/>
      <c r="M192" s="115"/>
      <c r="N192" s="115"/>
      <c r="O192" s="115"/>
      <c r="P192" s="115"/>
      <c r="Q192" s="115"/>
      <c r="R192" s="115"/>
      <c r="S192" s="115"/>
      <c r="T192" s="115"/>
      <c r="U192" s="115"/>
      <c r="V192" s="115"/>
      <c r="W192" s="115"/>
      <c r="X192" s="115"/>
      <c r="Y192" s="115"/>
      <c r="Z192" s="115"/>
      <c r="AA192" s="115"/>
      <c r="AB192" s="115"/>
      <c r="AC192" s="115"/>
      <c r="AD192" s="115"/>
      <c r="AE192" s="115"/>
      <c r="AF192" s="115"/>
      <c r="AG192" s="115"/>
      <c r="AH192" s="115"/>
      <c r="AI192" s="115"/>
      <c r="AJ192" s="115"/>
      <c r="AK192" s="115"/>
      <c r="AL192" s="115"/>
      <c r="AM192" s="115"/>
      <c r="AN192" s="115"/>
      <c r="AO192" s="115"/>
      <c r="AP192" s="115"/>
      <c r="AQ192" s="115"/>
      <c r="AR192" s="115"/>
      <c r="AS192" s="115"/>
      <c r="AT192" s="115"/>
      <c r="AU192" s="115"/>
    </row>
    <row r="193" spans="1:47" ht="67.2" customHeight="1" thickBot="1" x14ac:dyDescent="0.4">
      <c r="A193" s="115"/>
      <c r="B193" s="1387"/>
      <c r="C193" s="1387"/>
      <c r="D193" s="115"/>
      <c r="E193" s="115"/>
      <c r="F193" s="115"/>
      <c r="G193" s="115"/>
      <c r="H193" s="115"/>
      <c r="I193" s="115"/>
      <c r="J193" s="115"/>
      <c r="K193" s="115"/>
      <c r="L193" s="115"/>
      <c r="M193" s="115"/>
      <c r="N193" s="115"/>
      <c r="O193" s="115"/>
      <c r="P193" s="115"/>
      <c r="Q193" s="115"/>
      <c r="R193" s="115"/>
      <c r="S193" s="115"/>
      <c r="T193" s="115"/>
      <c r="U193" s="115"/>
      <c r="V193" s="115"/>
      <c r="W193" s="115"/>
      <c r="X193" s="115"/>
      <c r="Y193" s="115"/>
      <c r="Z193" s="115"/>
      <c r="AA193" s="115"/>
      <c r="AB193" s="115"/>
      <c r="AC193" s="115"/>
      <c r="AD193" s="115"/>
      <c r="AE193" s="115"/>
      <c r="AF193" s="115"/>
      <c r="AG193" s="115"/>
      <c r="AH193" s="115"/>
      <c r="AI193" s="115"/>
      <c r="AJ193" s="115"/>
      <c r="AK193" s="115"/>
      <c r="AL193" s="115"/>
      <c r="AM193" s="115"/>
      <c r="AN193" s="115"/>
      <c r="AO193" s="115"/>
      <c r="AP193" s="115"/>
      <c r="AQ193" s="115"/>
      <c r="AR193" s="115"/>
      <c r="AS193" s="115"/>
      <c r="AT193" s="115"/>
      <c r="AU193" s="115"/>
    </row>
    <row r="194" spans="1:47" ht="67.2" customHeight="1" thickBot="1" x14ac:dyDescent="0.4">
      <c r="A194" s="115"/>
      <c r="B194" s="1387"/>
      <c r="C194" s="1387"/>
      <c r="D194" s="115"/>
      <c r="E194" s="115"/>
      <c r="F194" s="115"/>
      <c r="G194" s="115"/>
      <c r="H194" s="115"/>
      <c r="I194" s="115"/>
      <c r="J194" s="115"/>
      <c r="K194" s="115"/>
      <c r="L194" s="115"/>
      <c r="M194" s="115"/>
      <c r="N194" s="115"/>
      <c r="O194" s="115"/>
      <c r="P194" s="115"/>
      <c r="Q194" s="115"/>
      <c r="R194" s="115"/>
      <c r="S194" s="115"/>
      <c r="T194" s="115"/>
      <c r="U194" s="115"/>
      <c r="V194" s="115"/>
      <c r="W194" s="115"/>
      <c r="X194" s="115"/>
      <c r="Y194" s="115"/>
      <c r="Z194" s="115"/>
      <c r="AA194" s="115"/>
      <c r="AB194" s="115"/>
      <c r="AC194" s="115"/>
      <c r="AD194" s="115"/>
      <c r="AE194" s="115"/>
      <c r="AF194" s="115"/>
      <c r="AG194" s="115"/>
      <c r="AH194" s="115"/>
      <c r="AI194" s="115"/>
      <c r="AJ194" s="115"/>
      <c r="AK194" s="115"/>
      <c r="AL194" s="115"/>
      <c r="AM194" s="115"/>
      <c r="AN194" s="115"/>
      <c r="AO194" s="115"/>
      <c r="AP194" s="115"/>
      <c r="AQ194" s="115"/>
      <c r="AR194" s="115"/>
      <c r="AS194" s="115"/>
      <c r="AT194" s="115"/>
      <c r="AU194" s="115"/>
    </row>
    <row r="195" spans="1:47" ht="67.2" customHeight="1" thickBot="1" x14ac:dyDescent="0.4">
      <c r="A195" s="115"/>
      <c r="B195" s="1387"/>
      <c r="C195" s="1387"/>
      <c r="D195" s="115"/>
      <c r="E195" s="115"/>
      <c r="F195" s="115"/>
      <c r="G195" s="115"/>
      <c r="H195" s="115"/>
      <c r="I195" s="115"/>
      <c r="J195" s="115"/>
      <c r="K195" s="115"/>
      <c r="L195" s="115"/>
      <c r="M195" s="115"/>
      <c r="N195" s="115"/>
      <c r="O195" s="115"/>
      <c r="P195" s="115"/>
      <c r="Q195" s="115"/>
      <c r="R195" s="115"/>
      <c r="S195" s="115"/>
      <c r="T195" s="115"/>
      <c r="U195" s="115"/>
      <c r="V195" s="115"/>
      <c r="W195" s="115"/>
      <c r="X195" s="115"/>
      <c r="Y195" s="115"/>
      <c r="Z195" s="115"/>
      <c r="AA195" s="115"/>
      <c r="AB195" s="115"/>
      <c r="AC195" s="115"/>
      <c r="AD195" s="115"/>
      <c r="AE195" s="115"/>
      <c r="AF195" s="115"/>
      <c r="AG195" s="115"/>
      <c r="AH195" s="115"/>
      <c r="AI195" s="115"/>
      <c r="AJ195" s="115"/>
      <c r="AK195" s="115"/>
      <c r="AL195" s="115"/>
      <c r="AM195" s="115"/>
      <c r="AN195" s="115"/>
      <c r="AO195" s="115"/>
      <c r="AP195" s="115"/>
      <c r="AQ195" s="115"/>
      <c r="AR195" s="115"/>
      <c r="AS195" s="115"/>
      <c r="AT195" s="115"/>
      <c r="AU195" s="115"/>
    </row>
    <row r="196" spans="1:47" ht="67.2" customHeight="1" thickBot="1" x14ac:dyDescent="0.4">
      <c r="A196" s="115"/>
      <c r="B196" s="1387"/>
      <c r="C196" s="1387"/>
      <c r="D196" s="115"/>
      <c r="E196" s="115"/>
      <c r="F196" s="115"/>
      <c r="G196" s="115"/>
      <c r="H196" s="115"/>
      <c r="I196" s="115"/>
      <c r="J196" s="115"/>
      <c r="K196" s="115"/>
      <c r="L196" s="115"/>
      <c r="M196" s="115"/>
      <c r="N196" s="115"/>
      <c r="O196" s="115"/>
      <c r="P196" s="115"/>
      <c r="Q196" s="115"/>
      <c r="R196" s="115"/>
      <c r="S196" s="115"/>
      <c r="T196" s="115"/>
      <c r="U196" s="115"/>
      <c r="V196" s="115"/>
      <c r="W196" s="115"/>
      <c r="X196" s="115"/>
      <c r="Y196" s="115"/>
      <c r="Z196" s="115"/>
      <c r="AA196" s="115"/>
      <c r="AB196" s="115"/>
      <c r="AC196" s="115"/>
      <c r="AD196" s="115"/>
      <c r="AE196" s="115"/>
      <c r="AF196" s="115"/>
      <c r="AG196" s="115"/>
      <c r="AH196" s="115"/>
      <c r="AI196" s="115"/>
      <c r="AJ196" s="115"/>
      <c r="AK196" s="115"/>
      <c r="AL196" s="115"/>
      <c r="AM196" s="115"/>
      <c r="AN196" s="115"/>
      <c r="AO196" s="115"/>
      <c r="AP196" s="115"/>
      <c r="AQ196" s="115"/>
      <c r="AR196" s="115"/>
      <c r="AS196" s="115"/>
      <c r="AT196" s="115"/>
      <c r="AU196" s="115"/>
    </row>
    <row r="197" spans="1:47" ht="67.2" customHeight="1" thickBot="1" x14ac:dyDescent="0.4">
      <c r="A197" s="115"/>
      <c r="B197" s="1387"/>
      <c r="C197" s="1387"/>
      <c r="D197" s="115"/>
      <c r="E197" s="115"/>
      <c r="F197" s="115"/>
      <c r="G197" s="115"/>
      <c r="H197" s="115"/>
      <c r="I197" s="115"/>
      <c r="J197" s="115"/>
      <c r="K197" s="115"/>
      <c r="L197" s="115"/>
      <c r="M197" s="115"/>
      <c r="N197" s="115"/>
      <c r="O197" s="115"/>
      <c r="P197" s="115"/>
      <c r="Q197" s="115"/>
      <c r="R197" s="115"/>
      <c r="S197" s="115"/>
      <c r="T197" s="115"/>
      <c r="U197" s="115"/>
      <c r="V197" s="115"/>
      <c r="W197" s="115"/>
      <c r="X197" s="115"/>
      <c r="Y197" s="115"/>
      <c r="Z197" s="115"/>
      <c r="AA197" s="115"/>
      <c r="AB197" s="115"/>
      <c r="AC197" s="115"/>
      <c r="AD197" s="115"/>
      <c r="AE197" s="115"/>
      <c r="AF197" s="115"/>
      <c r="AG197" s="115"/>
      <c r="AH197" s="115"/>
      <c r="AI197" s="115"/>
      <c r="AJ197" s="115"/>
      <c r="AK197" s="115"/>
      <c r="AL197" s="115"/>
      <c r="AM197" s="115"/>
      <c r="AN197" s="115"/>
      <c r="AO197" s="115"/>
      <c r="AP197" s="115"/>
      <c r="AQ197" s="115"/>
      <c r="AR197" s="115"/>
      <c r="AS197" s="115"/>
      <c r="AT197" s="115"/>
      <c r="AU197" s="115"/>
    </row>
    <row r="198" spans="1:47" ht="67.2" customHeight="1" thickBot="1" x14ac:dyDescent="0.4">
      <c r="A198" s="115"/>
      <c r="B198" s="1387"/>
      <c r="C198" s="1387"/>
      <c r="D198" s="115"/>
      <c r="E198" s="115"/>
      <c r="F198" s="115"/>
      <c r="G198" s="115"/>
      <c r="H198" s="115"/>
      <c r="I198" s="115"/>
      <c r="J198" s="115"/>
      <c r="K198" s="115"/>
      <c r="L198" s="115"/>
      <c r="M198" s="115"/>
      <c r="N198" s="115"/>
      <c r="O198" s="115"/>
      <c r="P198" s="115"/>
      <c r="Q198" s="115"/>
      <c r="R198" s="115"/>
      <c r="S198" s="115"/>
      <c r="T198" s="115"/>
      <c r="U198" s="115"/>
      <c r="V198" s="115"/>
      <c r="W198" s="115"/>
      <c r="X198" s="115"/>
      <c r="Y198" s="115"/>
      <c r="Z198" s="115"/>
      <c r="AA198" s="115"/>
      <c r="AB198" s="115"/>
      <c r="AC198" s="115"/>
      <c r="AD198" s="115"/>
      <c r="AE198" s="115"/>
      <c r="AF198" s="115"/>
      <c r="AG198" s="115"/>
      <c r="AH198" s="115"/>
      <c r="AI198" s="115"/>
      <c r="AJ198" s="115"/>
      <c r="AK198" s="115"/>
      <c r="AL198" s="115"/>
      <c r="AM198" s="115"/>
      <c r="AN198" s="115"/>
      <c r="AO198" s="115"/>
      <c r="AP198" s="115"/>
      <c r="AQ198" s="115"/>
      <c r="AR198" s="115"/>
      <c r="AS198" s="115"/>
      <c r="AT198" s="115"/>
      <c r="AU198" s="115"/>
    </row>
    <row r="199" spans="1:47" ht="67.2" customHeight="1" thickBot="1" x14ac:dyDescent="0.4">
      <c r="A199" s="115"/>
      <c r="B199" s="1387"/>
      <c r="C199" s="1387"/>
      <c r="D199" s="115"/>
      <c r="E199" s="115"/>
      <c r="F199" s="115"/>
      <c r="G199" s="115"/>
      <c r="H199" s="115"/>
      <c r="I199" s="115"/>
      <c r="J199" s="115"/>
      <c r="K199" s="115"/>
      <c r="L199" s="115"/>
      <c r="M199" s="115"/>
      <c r="N199" s="115"/>
      <c r="O199" s="115"/>
      <c r="P199" s="115"/>
      <c r="Q199" s="115"/>
      <c r="R199" s="115"/>
      <c r="S199" s="115"/>
      <c r="T199" s="115"/>
      <c r="U199" s="115"/>
      <c r="V199" s="115"/>
      <c r="W199" s="115"/>
      <c r="X199" s="115"/>
      <c r="Y199" s="115"/>
      <c r="Z199" s="115"/>
      <c r="AA199" s="115"/>
      <c r="AB199" s="115"/>
      <c r="AC199" s="115"/>
      <c r="AD199" s="115"/>
      <c r="AE199" s="115"/>
      <c r="AF199" s="115"/>
      <c r="AG199" s="115"/>
      <c r="AH199" s="115"/>
      <c r="AI199" s="115"/>
      <c r="AJ199" s="115"/>
      <c r="AK199" s="115"/>
      <c r="AL199" s="115"/>
      <c r="AM199" s="115"/>
      <c r="AN199" s="115"/>
      <c r="AO199" s="115"/>
      <c r="AP199" s="115"/>
      <c r="AQ199" s="115"/>
      <c r="AR199" s="115"/>
      <c r="AS199" s="115"/>
      <c r="AT199" s="115"/>
      <c r="AU199" s="115"/>
    </row>
    <row r="200" spans="1:47" ht="67.2" customHeight="1" thickBot="1" x14ac:dyDescent="0.4">
      <c r="A200" s="115"/>
      <c r="B200" s="1387"/>
      <c r="C200" s="1387"/>
      <c r="D200" s="115"/>
      <c r="E200" s="115"/>
      <c r="F200" s="115"/>
      <c r="G200" s="115"/>
      <c r="H200" s="115"/>
      <c r="I200" s="115"/>
      <c r="J200" s="115"/>
      <c r="K200" s="115"/>
      <c r="L200" s="115"/>
      <c r="M200" s="115"/>
      <c r="N200" s="115"/>
      <c r="O200" s="115"/>
      <c r="P200" s="115"/>
      <c r="Q200" s="115"/>
      <c r="R200" s="115"/>
      <c r="S200" s="115"/>
      <c r="T200" s="115"/>
      <c r="U200" s="115"/>
      <c r="V200" s="115"/>
      <c r="W200" s="115"/>
      <c r="X200" s="115"/>
      <c r="Y200" s="115"/>
      <c r="Z200" s="115"/>
      <c r="AA200" s="115"/>
      <c r="AB200" s="115"/>
      <c r="AC200" s="115"/>
      <c r="AD200" s="115"/>
      <c r="AE200" s="115"/>
      <c r="AF200" s="115"/>
      <c r="AG200" s="115"/>
      <c r="AH200" s="115"/>
      <c r="AI200" s="115"/>
      <c r="AJ200" s="115"/>
      <c r="AK200" s="115"/>
      <c r="AL200" s="115"/>
      <c r="AM200" s="115"/>
      <c r="AN200" s="115"/>
      <c r="AO200" s="115"/>
      <c r="AP200" s="115"/>
      <c r="AQ200" s="115"/>
      <c r="AR200" s="115"/>
      <c r="AS200" s="115"/>
      <c r="AT200" s="115"/>
      <c r="AU200" s="115"/>
    </row>
    <row r="201" spans="1:47" ht="67.2" customHeight="1" thickBot="1" x14ac:dyDescent="0.4">
      <c r="A201" s="115"/>
      <c r="B201" s="1387"/>
      <c r="C201" s="1387"/>
      <c r="D201" s="115"/>
      <c r="E201" s="115"/>
      <c r="F201" s="115"/>
      <c r="G201" s="115"/>
      <c r="H201" s="115"/>
      <c r="I201" s="115"/>
      <c r="J201" s="115"/>
      <c r="K201" s="115"/>
      <c r="L201" s="115"/>
      <c r="M201" s="115"/>
      <c r="N201" s="115"/>
      <c r="O201" s="115"/>
      <c r="P201" s="115"/>
      <c r="Q201" s="115"/>
      <c r="R201" s="115"/>
      <c r="S201" s="115"/>
      <c r="T201" s="115"/>
      <c r="U201" s="115"/>
      <c r="V201" s="115"/>
      <c r="W201" s="115"/>
      <c r="X201" s="115"/>
      <c r="Y201" s="115"/>
      <c r="Z201" s="115"/>
      <c r="AA201" s="115"/>
      <c r="AB201" s="115"/>
      <c r="AC201" s="115"/>
      <c r="AD201" s="115"/>
      <c r="AE201" s="115"/>
      <c r="AF201" s="115"/>
      <c r="AG201" s="115"/>
      <c r="AH201" s="115"/>
      <c r="AI201" s="115"/>
      <c r="AJ201" s="115"/>
      <c r="AK201" s="115"/>
      <c r="AL201" s="115"/>
      <c r="AM201" s="115"/>
      <c r="AN201" s="115"/>
      <c r="AO201" s="115"/>
      <c r="AP201" s="115"/>
      <c r="AQ201" s="115"/>
      <c r="AR201" s="115"/>
      <c r="AS201" s="115"/>
      <c r="AT201" s="115"/>
      <c r="AU201" s="115"/>
    </row>
    <row r="202" spans="1:47" ht="67.2" customHeight="1" thickBot="1" x14ac:dyDescent="0.4">
      <c r="A202" s="115"/>
      <c r="B202" s="1387"/>
      <c r="C202" s="1387"/>
      <c r="D202" s="115"/>
      <c r="E202" s="115"/>
      <c r="F202" s="115"/>
      <c r="G202" s="115"/>
      <c r="H202" s="115"/>
      <c r="I202" s="115"/>
      <c r="J202" s="115"/>
      <c r="K202" s="115"/>
      <c r="L202" s="115"/>
      <c r="M202" s="115"/>
      <c r="N202" s="115"/>
      <c r="O202" s="115"/>
      <c r="P202" s="115"/>
      <c r="Q202" s="115"/>
      <c r="R202" s="115"/>
      <c r="S202" s="115"/>
      <c r="T202" s="115"/>
      <c r="U202" s="115"/>
      <c r="V202" s="115"/>
      <c r="W202" s="115"/>
      <c r="X202" s="115"/>
      <c r="Y202" s="115"/>
      <c r="Z202" s="115"/>
      <c r="AA202" s="115"/>
      <c r="AB202" s="115"/>
      <c r="AC202" s="115"/>
      <c r="AD202" s="115"/>
      <c r="AE202" s="115"/>
      <c r="AF202" s="115"/>
      <c r="AG202" s="115"/>
      <c r="AH202" s="115"/>
      <c r="AI202" s="115"/>
      <c r="AJ202" s="115"/>
      <c r="AK202" s="115"/>
      <c r="AL202" s="115"/>
      <c r="AM202" s="115"/>
      <c r="AN202" s="115"/>
      <c r="AO202" s="115"/>
      <c r="AP202" s="115"/>
      <c r="AQ202" s="115"/>
      <c r="AR202" s="115"/>
      <c r="AS202" s="115"/>
      <c r="AT202" s="115"/>
      <c r="AU202" s="115"/>
    </row>
    <row r="203" spans="1:47" ht="67.2" customHeight="1" thickBot="1" x14ac:dyDescent="0.4">
      <c r="A203" s="115"/>
      <c r="B203" s="1387"/>
      <c r="C203" s="1387"/>
      <c r="D203" s="115"/>
      <c r="E203" s="115"/>
      <c r="F203" s="115"/>
      <c r="G203" s="115"/>
      <c r="H203" s="115"/>
      <c r="I203" s="115"/>
      <c r="J203" s="115"/>
      <c r="K203" s="115"/>
      <c r="L203" s="115"/>
      <c r="M203" s="115"/>
      <c r="N203" s="115"/>
      <c r="O203" s="115"/>
      <c r="P203" s="115"/>
      <c r="Q203" s="115"/>
      <c r="R203" s="115"/>
      <c r="S203" s="115"/>
      <c r="T203" s="115"/>
      <c r="U203" s="115"/>
      <c r="V203" s="115"/>
      <c r="W203" s="115"/>
      <c r="X203" s="115"/>
      <c r="Y203" s="115"/>
      <c r="Z203" s="115"/>
      <c r="AA203" s="115"/>
      <c r="AB203" s="115"/>
      <c r="AC203" s="115"/>
      <c r="AD203" s="115"/>
      <c r="AE203" s="115"/>
      <c r="AF203" s="115"/>
      <c r="AG203" s="115"/>
      <c r="AH203" s="115"/>
      <c r="AI203" s="115"/>
      <c r="AJ203" s="115"/>
      <c r="AK203" s="115"/>
      <c r="AL203" s="115"/>
      <c r="AM203" s="115"/>
      <c r="AN203" s="115"/>
      <c r="AO203" s="115"/>
      <c r="AP203" s="115"/>
      <c r="AQ203" s="115"/>
      <c r="AR203" s="115"/>
      <c r="AS203" s="115"/>
      <c r="AT203" s="115"/>
      <c r="AU203" s="115"/>
    </row>
    <row r="204" spans="1:47" ht="67.2" customHeight="1" thickBot="1" x14ac:dyDescent="0.4">
      <c r="A204" s="115"/>
      <c r="B204" s="1387"/>
      <c r="C204" s="1387"/>
      <c r="D204" s="115"/>
      <c r="E204" s="115"/>
      <c r="F204" s="115"/>
      <c r="G204" s="115"/>
      <c r="H204" s="115"/>
      <c r="I204" s="115"/>
      <c r="J204" s="115"/>
      <c r="K204" s="115"/>
      <c r="L204" s="115"/>
      <c r="M204" s="115"/>
      <c r="N204" s="115"/>
      <c r="O204" s="115"/>
      <c r="P204" s="115"/>
      <c r="Q204" s="115"/>
      <c r="R204" s="115"/>
      <c r="S204" s="115"/>
      <c r="T204" s="115"/>
      <c r="U204" s="115"/>
      <c r="V204" s="115"/>
      <c r="W204" s="115"/>
      <c r="X204" s="115"/>
      <c r="Y204" s="115"/>
      <c r="Z204" s="115"/>
      <c r="AA204" s="115"/>
      <c r="AB204" s="115"/>
      <c r="AC204" s="115"/>
      <c r="AD204" s="115"/>
      <c r="AE204" s="115"/>
      <c r="AF204" s="115"/>
      <c r="AG204" s="115"/>
      <c r="AH204" s="115"/>
      <c r="AI204" s="115"/>
      <c r="AJ204" s="115"/>
      <c r="AK204" s="115"/>
      <c r="AL204" s="115"/>
      <c r="AM204" s="115"/>
      <c r="AN204" s="115"/>
      <c r="AO204" s="115"/>
      <c r="AP204" s="115"/>
      <c r="AQ204" s="115"/>
      <c r="AR204" s="115"/>
      <c r="AS204" s="115"/>
      <c r="AT204" s="115"/>
      <c r="AU204" s="115"/>
    </row>
    <row r="205" spans="1:47" ht="67.2" customHeight="1" thickBot="1" x14ac:dyDescent="0.4">
      <c r="A205" s="115"/>
      <c r="B205" s="1387"/>
      <c r="C205" s="1387"/>
      <c r="D205" s="115"/>
      <c r="E205" s="115"/>
      <c r="F205" s="115"/>
      <c r="G205" s="115"/>
      <c r="H205" s="115"/>
      <c r="I205" s="115"/>
      <c r="J205" s="115"/>
      <c r="K205" s="115"/>
      <c r="L205" s="115"/>
      <c r="M205" s="115"/>
      <c r="N205" s="115"/>
      <c r="O205" s="115"/>
      <c r="P205" s="115"/>
      <c r="Q205" s="115"/>
      <c r="R205" s="115"/>
      <c r="S205" s="115"/>
      <c r="T205" s="115"/>
      <c r="U205" s="115"/>
      <c r="V205" s="115"/>
      <c r="W205" s="115"/>
      <c r="X205" s="115"/>
      <c r="Y205" s="115"/>
      <c r="Z205" s="115"/>
      <c r="AA205" s="115"/>
      <c r="AB205" s="115"/>
      <c r="AC205" s="115"/>
      <c r="AD205" s="115"/>
      <c r="AE205" s="115"/>
      <c r="AF205" s="115"/>
      <c r="AG205" s="115"/>
      <c r="AH205" s="115"/>
      <c r="AI205" s="115"/>
      <c r="AJ205" s="115"/>
      <c r="AK205" s="115"/>
      <c r="AL205" s="115"/>
      <c r="AM205" s="115"/>
      <c r="AN205" s="115"/>
      <c r="AO205" s="115"/>
      <c r="AP205" s="115"/>
      <c r="AQ205" s="115"/>
      <c r="AR205" s="115"/>
      <c r="AS205" s="115"/>
      <c r="AT205" s="115"/>
      <c r="AU205" s="115"/>
    </row>
    <row r="206" spans="1:47" ht="67.2" customHeight="1" thickBot="1" x14ac:dyDescent="0.4">
      <c r="A206" s="115"/>
      <c r="B206" s="1387"/>
      <c r="C206" s="1387"/>
      <c r="D206" s="115"/>
      <c r="E206" s="115"/>
      <c r="F206" s="115"/>
      <c r="G206" s="115"/>
      <c r="H206" s="115"/>
      <c r="I206" s="115"/>
      <c r="J206" s="115"/>
      <c r="K206" s="115"/>
      <c r="L206" s="115"/>
      <c r="M206" s="115"/>
      <c r="N206" s="115"/>
      <c r="O206" s="115"/>
      <c r="P206" s="115"/>
      <c r="Q206" s="115"/>
      <c r="R206" s="115"/>
      <c r="S206" s="115"/>
      <c r="T206" s="115"/>
      <c r="U206" s="115"/>
      <c r="V206" s="115"/>
      <c r="W206" s="115"/>
      <c r="X206" s="115"/>
      <c r="Y206" s="115"/>
      <c r="Z206" s="115"/>
      <c r="AA206" s="115"/>
      <c r="AB206" s="115"/>
      <c r="AC206" s="115"/>
      <c r="AD206" s="115"/>
      <c r="AE206" s="115"/>
      <c r="AF206" s="115"/>
      <c r="AG206" s="115"/>
      <c r="AH206" s="115"/>
      <c r="AI206" s="115"/>
      <c r="AJ206" s="115"/>
      <c r="AK206" s="115"/>
      <c r="AL206" s="115"/>
      <c r="AM206" s="115"/>
      <c r="AN206" s="115"/>
      <c r="AO206" s="115"/>
      <c r="AP206" s="115"/>
      <c r="AQ206" s="115"/>
      <c r="AR206" s="115"/>
      <c r="AS206" s="115"/>
      <c r="AT206" s="115"/>
      <c r="AU206" s="115"/>
    </row>
    <row r="207" spans="1:47" ht="67.2" customHeight="1" thickBot="1" x14ac:dyDescent="0.4">
      <c r="A207" s="115"/>
      <c r="B207" s="1387"/>
      <c r="C207" s="1387"/>
      <c r="D207" s="115"/>
      <c r="E207" s="115"/>
      <c r="F207" s="115"/>
      <c r="G207" s="115"/>
      <c r="H207" s="115"/>
      <c r="I207" s="115"/>
      <c r="J207" s="115"/>
      <c r="K207" s="115"/>
      <c r="L207" s="115"/>
      <c r="M207" s="115"/>
      <c r="N207" s="115"/>
      <c r="O207" s="115"/>
      <c r="P207" s="115"/>
      <c r="Q207" s="115"/>
      <c r="R207" s="115"/>
      <c r="S207" s="115"/>
      <c r="T207" s="115"/>
      <c r="U207" s="115"/>
      <c r="V207" s="115"/>
      <c r="W207" s="115"/>
      <c r="X207" s="115"/>
      <c r="Y207" s="115"/>
      <c r="Z207" s="115"/>
      <c r="AA207" s="115"/>
      <c r="AB207" s="115"/>
      <c r="AC207" s="115"/>
      <c r="AD207" s="115"/>
      <c r="AE207" s="115"/>
      <c r="AF207" s="115"/>
      <c r="AG207" s="115"/>
      <c r="AH207" s="115"/>
      <c r="AI207" s="115"/>
      <c r="AJ207" s="115"/>
      <c r="AK207" s="115"/>
      <c r="AL207" s="115"/>
      <c r="AM207" s="115"/>
      <c r="AN207" s="115"/>
      <c r="AO207" s="115"/>
      <c r="AP207" s="115"/>
      <c r="AQ207" s="115"/>
      <c r="AR207" s="115"/>
      <c r="AS207" s="115"/>
      <c r="AT207" s="115"/>
      <c r="AU207" s="115"/>
    </row>
    <row r="208" spans="1:47" ht="67.2" customHeight="1" thickBot="1" x14ac:dyDescent="0.4">
      <c r="A208" s="115"/>
      <c r="B208" s="1387"/>
      <c r="C208" s="1387"/>
      <c r="D208" s="115"/>
      <c r="E208" s="115"/>
      <c r="F208" s="115"/>
      <c r="G208" s="115"/>
      <c r="H208" s="115"/>
      <c r="I208" s="115"/>
      <c r="J208" s="115"/>
      <c r="K208" s="115"/>
      <c r="L208" s="115"/>
      <c r="M208" s="115"/>
      <c r="N208" s="115"/>
      <c r="O208" s="115"/>
      <c r="P208" s="115"/>
      <c r="Q208" s="115"/>
      <c r="R208" s="115"/>
      <c r="S208" s="115"/>
      <c r="T208" s="115"/>
      <c r="U208" s="115"/>
      <c r="V208" s="115"/>
      <c r="W208" s="115"/>
      <c r="X208" s="115"/>
      <c r="Y208" s="115"/>
      <c r="Z208" s="115"/>
      <c r="AA208" s="115"/>
      <c r="AB208" s="115"/>
      <c r="AC208" s="115"/>
      <c r="AD208" s="115"/>
      <c r="AE208" s="115"/>
      <c r="AF208" s="115"/>
      <c r="AG208" s="115"/>
      <c r="AH208" s="115"/>
      <c r="AI208" s="115"/>
      <c r="AJ208" s="115"/>
      <c r="AK208" s="115"/>
      <c r="AL208" s="115"/>
      <c r="AM208" s="115"/>
      <c r="AN208" s="115"/>
      <c r="AO208" s="115"/>
      <c r="AP208" s="115"/>
      <c r="AQ208" s="115"/>
      <c r="AR208" s="115"/>
      <c r="AS208" s="115"/>
      <c r="AT208" s="115"/>
      <c r="AU208" s="115"/>
    </row>
    <row r="209" spans="1:47" ht="67.2" customHeight="1" thickBot="1" x14ac:dyDescent="0.4">
      <c r="A209" s="115"/>
      <c r="B209" s="1387"/>
      <c r="C209" s="1387"/>
      <c r="D209" s="115"/>
      <c r="E209" s="115"/>
      <c r="F209" s="115"/>
      <c r="G209" s="115"/>
      <c r="H209" s="115"/>
      <c r="I209" s="115"/>
      <c r="J209" s="115"/>
      <c r="K209" s="115"/>
      <c r="L209" s="115"/>
      <c r="M209" s="115"/>
      <c r="N209" s="115"/>
      <c r="O209" s="115"/>
      <c r="P209" s="115"/>
      <c r="Q209" s="115"/>
      <c r="R209" s="115"/>
      <c r="S209" s="115"/>
      <c r="T209" s="115"/>
      <c r="U209" s="115"/>
      <c r="V209" s="115"/>
      <c r="W209" s="115"/>
      <c r="X209" s="115"/>
      <c r="Y209" s="115"/>
      <c r="Z209" s="115"/>
      <c r="AA209" s="115"/>
      <c r="AB209" s="115"/>
      <c r="AC209" s="115"/>
      <c r="AD209" s="115"/>
      <c r="AE209" s="115"/>
      <c r="AF209" s="115"/>
      <c r="AG209" s="115"/>
      <c r="AH209" s="115"/>
      <c r="AI209" s="115"/>
      <c r="AJ209" s="115"/>
      <c r="AK209" s="115"/>
      <c r="AL209" s="115"/>
      <c r="AM209" s="115"/>
      <c r="AN209" s="115"/>
      <c r="AO209" s="115"/>
      <c r="AP209" s="115"/>
      <c r="AQ209" s="115"/>
      <c r="AR209" s="115"/>
      <c r="AS209" s="115"/>
      <c r="AT209" s="115"/>
      <c r="AU209" s="115"/>
    </row>
    <row r="210" spans="1:47" ht="67.2" customHeight="1" thickBot="1" x14ac:dyDescent="0.4">
      <c r="A210" s="115"/>
      <c r="B210" s="1387"/>
      <c r="C210" s="1387"/>
      <c r="D210" s="115"/>
      <c r="E210" s="115"/>
      <c r="F210" s="115"/>
      <c r="G210" s="115"/>
      <c r="H210" s="115"/>
      <c r="I210" s="115"/>
      <c r="J210" s="115"/>
      <c r="K210" s="115"/>
      <c r="L210" s="115"/>
      <c r="M210" s="115"/>
      <c r="N210" s="115"/>
      <c r="O210" s="115"/>
      <c r="P210" s="115"/>
      <c r="Q210" s="115"/>
      <c r="R210" s="115"/>
      <c r="S210" s="115"/>
      <c r="T210" s="115"/>
      <c r="U210" s="115"/>
      <c r="V210" s="115"/>
      <c r="W210" s="115"/>
      <c r="X210" s="115"/>
      <c r="Y210" s="115"/>
      <c r="Z210" s="115"/>
      <c r="AA210" s="115"/>
      <c r="AB210" s="115"/>
      <c r="AC210" s="115"/>
      <c r="AD210" s="115"/>
      <c r="AE210" s="115"/>
      <c r="AF210" s="115"/>
      <c r="AG210" s="115"/>
      <c r="AH210" s="115"/>
      <c r="AI210" s="115"/>
      <c r="AJ210" s="115"/>
      <c r="AK210" s="115"/>
      <c r="AL210" s="115"/>
      <c r="AM210" s="115"/>
      <c r="AN210" s="115"/>
      <c r="AO210" s="115"/>
      <c r="AP210" s="115"/>
      <c r="AQ210" s="115"/>
      <c r="AR210" s="115"/>
      <c r="AS210" s="115"/>
      <c r="AT210" s="115"/>
      <c r="AU210" s="115"/>
    </row>
    <row r="211" spans="1:47" ht="67.2" customHeight="1" thickBot="1" x14ac:dyDescent="0.4">
      <c r="A211" s="115"/>
      <c r="B211" s="1387"/>
      <c r="C211" s="1387"/>
      <c r="D211" s="115"/>
      <c r="E211" s="115"/>
      <c r="F211" s="115"/>
      <c r="G211" s="115"/>
      <c r="H211" s="115"/>
      <c r="I211" s="115"/>
      <c r="J211" s="115"/>
      <c r="K211" s="115"/>
      <c r="L211" s="115"/>
      <c r="M211" s="115"/>
      <c r="N211" s="115"/>
      <c r="O211" s="115"/>
      <c r="P211" s="115"/>
      <c r="Q211" s="115"/>
      <c r="R211" s="115"/>
      <c r="S211" s="115"/>
      <c r="T211" s="115"/>
      <c r="U211" s="115"/>
      <c r="V211" s="115"/>
      <c r="W211" s="115"/>
      <c r="X211" s="115"/>
      <c r="Y211" s="115"/>
      <c r="Z211" s="115"/>
      <c r="AA211" s="115"/>
      <c r="AB211" s="115"/>
      <c r="AC211" s="115"/>
      <c r="AD211" s="115"/>
      <c r="AE211" s="115"/>
      <c r="AF211" s="115"/>
      <c r="AG211" s="115"/>
      <c r="AH211" s="115"/>
      <c r="AI211" s="115"/>
      <c r="AJ211" s="115"/>
      <c r="AK211" s="115"/>
      <c r="AL211" s="115"/>
      <c r="AM211" s="115"/>
      <c r="AN211" s="115"/>
      <c r="AO211" s="115"/>
      <c r="AP211" s="115"/>
      <c r="AQ211" s="115"/>
      <c r="AR211" s="115"/>
      <c r="AS211" s="115"/>
      <c r="AT211" s="115"/>
      <c r="AU211" s="115"/>
    </row>
    <row r="212" spans="1:47" ht="67.2" customHeight="1" thickBot="1" x14ac:dyDescent="0.4">
      <c r="A212" s="115"/>
      <c r="B212" s="1387"/>
      <c r="C212" s="1387"/>
      <c r="D212" s="115"/>
      <c r="E212" s="115"/>
      <c r="F212" s="115"/>
      <c r="G212" s="115"/>
      <c r="H212" s="115"/>
      <c r="I212" s="115"/>
      <c r="J212" s="115"/>
      <c r="K212" s="115"/>
      <c r="L212" s="115"/>
      <c r="M212" s="115"/>
      <c r="N212" s="115"/>
      <c r="O212" s="115"/>
      <c r="P212" s="115"/>
      <c r="Q212" s="115"/>
      <c r="R212" s="115"/>
      <c r="S212" s="115"/>
      <c r="T212" s="115"/>
      <c r="U212" s="115"/>
      <c r="V212" s="115"/>
      <c r="W212" s="115"/>
      <c r="X212" s="115"/>
      <c r="Y212" s="115"/>
      <c r="Z212" s="115"/>
      <c r="AA212" s="115"/>
      <c r="AB212" s="115"/>
      <c r="AC212" s="115"/>
      <c r="AD212" s="115"/>
      <c r="AE212" s="115"/>
      <c r="AF212" s="115"/>
      <c r="AG212" s="115"/>
      <c r="AH212" s="115"/>
      <c r="AI212" s="115"/>
      <c r="AJ212" s="115"/>
      <c r="AK212" s="115"/>
      <c r="AL212" s="115"/>
      <c r="AM212" s="115"/>
      <c r="AN212" s="115"/>
      <c r="AO212" s="115"/>
      <c r="AP212" s="115"/>
      <c r="AQ212" s="115"/>
      <c r="AR212" s="115"/>
      <c r="AS212" s="115"/>
      <c r="AT212" s="115"/>
      <c r="AU212" s="115"/>
    </row>
    <row r="213" spans="1:47" ht="67.2" customHeight="1" thickBot="1" x14ac:dyDescent="0.4">
      <c r="A213" s="115"/>
      <c r="B213" s="1387"/>
      <c r="C213" s="1387"/>
      <c r="D213" s="115"/>
      <c r="E213" s="115"/>
      <c r="F213" s="115"/>
      <c r="G213" s="115"/>
      <c r="H213" s="115"/>
      <c r="I213" s="115"/>
      <c r="J213" s="115"/>
      <c r="K213" s="115"/>
      <c r="L213" s="115"/>
      <c r="M213" s="115"/>
      <c r="N213" s="115"/>
      <c r="O213" s="115"/>
      <c r="P213" s="115"/>
      <c r="Q213" s="115"/>
      <c r="R213" s="115"/>
      <c r="S213" s="115"/>
      <c r="T213" s="115"/>
      <c r="U213" s="115"/>
      <c r="V213" s="115"/>
      <c r="W213" s="115"/>
      <c r="X213" s="115"/>
      <c r="Y213" s="115"/>
      <c r="Z213" s="115"/>
      <c r="AA213" s="115"/>
      <c r="AB213" s="115"/>
      <c r="AC213" s="115"/>
      <c r="AD213" s="115"/>
      <c r="AE213" s="115"/>
      <c r="AF213" s="115"/>
      <c r="AG213" s="115"/>
      <c r="AH213" s="115"/>
      <c r="AI213" s="115"/>
      <c r="AJ213" s="115"/>
      <c r="AK213" s="115"/>
      <c r="AL213" s="115"/>
      <c r="AM213" s="115"/>
      <c r="AN213" s="115"/>
      <c r="AO213" s="115"/>
      <c r="AP213" s="115"/>
      <c r="AQ213" s="115"/>
      <c r="AR213" s="115"/>
      <c r="AS213" s="115"/>
      <c r="AT213" s="115"/>
      <c r="AU213" s="115"/>
    </row>
    <row r="214" spans="1:47" ht="67.2" customHeight="1" thickBot="1" x14ac:dyDescent="0.4">
      <c r="A214" s="115"/>
      <c r="B214" s="1387"/>
      <c r="C214" s="1387"/>
      <c r="D214" s="115"/>
      <c r="E214" s="115"/>
      <c r="F214" s="115"/>
      <c r="G214" s="115"/>
      <c r="H214" s="115"/>
      <c r="I214" s="115"/>
      <c r="J214" s="115"/>
      <c r="K214" s="115"/>
      <c r="L214" s="115"/>
      <c r="M214" s="115"/>
      <c r="N214" s="115"/>
      <c r="O214" s="115"/>
      <c r="P214" s="115"/>
      <c r="Q214" s="115"/>
      <c r="R214" s="115"/>
      <c r="S214" s="115"/>
      <c r="T214" s="115"/>
      <c r="U214" s="115"/>
      <c r="V214" s="115"/>
      <c r="W214" s="115"/>
      <c r="X214" s="115"/>
      <c r="Y214" s="115"/>
      <c r="Z214" s="115"/>
      <c r="AA214" s="115"/>
      <c r="AB214" s="115"/>
      <c r="AC214" s="115"/>
      <c r="AD214" s="115"/>
      <c r="AE214" s="115"/>
      <c r="AF214" s="115"/>
      <c r="AG214" s="115"/>
      <c r="AH214" s="115"/>
      <c r="AI214" s="115"/>
      <c r="AJ214" s="115"/>
      <c r="AK214" s="115"/>
      <c r="AL214" s="115"/>
      <c r="AM214" s="115"/>
      <c r="AN214" s="115"/>
      <c r="AO214" s="115"/>
      <c r="AP214" s="115"/>
      <c r="AQ214" s="115"/>
      <c r="AR214" s="115"/>
      <c r="AS214" s="115"/>
      <c r="AT214" s="115"/>
      <c r="AU214" s="115"/>
    </row>
    <row r="215" spans="1:47" ht="67.2" customHeight="1" thickBot="1" x14ac:dyDescent="0.4">
      <c r="A215" s="115"/>
      <c r="B215" s="1387"/>
      <c r="C215" s="1387"/>
      <c r="D215" s="115"/>
      <c r="E215" s="115"/>
      <c r="F215" s="115"/>
      <c r="G215" s="115"/>
      <c r="H215" s="115"/>
      <c r="I215" s="115"/>
      <c r="J215" s="115"/>
      <c r="K215" s="115"/>
      <c r="L215" s="115"/>
      <c r="M215" s="115"/>
      <c r="N215" s="115"/>
      <c r="O215" s="115"/>
      <c r="P215" s="115"/>
      <c r="Q215" s="115"/>
      <c r="R215" s="115"/>
      <c r="S215" s="115"/>
      <c r="T215" s="115"/>
      <c r="U215" s="115"/>
      <c r="V215" s="115"/>
      <c r="W215" s="115"/>
      <c r="X215" s="115"/>
      <c r="Y215" s="115"/>
      <c r="Z215" s="115"/>
      <c r="AA215" s="115"/>
      <c r="AB215" s="115"/>
      <c r="AC215" s="115"/>
      <c r="AD215" s="115"/>
      <c r="AE215" s="115"/>
      <c r="AF215" s="115"/>
      <c r="AG215" s="115"/>
      <c r="AH215" s="115"/>
      <c r="AI215" s="115"/>
      <c r="AJ215" s="115"/>
      <c r="AK215" s="115"/>
      <c r="AL215" s="115"/>
      <c r="AM215" s="115"/>
      <c r="AN215" s="115"/>
      <c r="AO215" s="115"/>
      <c r="AP215" s="115"/>
      <c r="AQ215" s="115"/>
      <c r="AR215" s="115"/>
      <c r="AS215" s="115"/>
      <c r="AT215" s="115"/>
      <c r="AU215" s="115"/>
    </row>
    <row r="216" spans="1:47" ht="67.2" customHeight="1" thickBot="1" x14ac:dyDescent="0.4">
      <c r="A216" s="115"/>
      <c r="B216" s="1387"/>
      <c r="C216" s="1387"/>
      <c r="D216" s="115"/>
      <c r="E216" s="115"/>
      <c r="F216" s="115"/>
      <c r="G216" s="115"/>
      <c r="H216" s="115"/>
      <c r="I216" s="115"/>
      <c r="J216" s="115"/>
      <c r="K216" s="115"/>
      <c r="L216" s="115"/>
      <c r="M216" s="115"/>
      <c r="N216" s="115"/>
      <c r="O216" s="115"/>
      <c r="P216" s="115"/>
      <c r="Q216" s="115"/>
      <c r="R216" s="115"/>
      <c r="S216" s="115"/>
      <c r="T216" s="115"/>
      <c r="U216" s="115"/>
      <c r="V216" s="115"/>
      <c r="W216" s="115"/>
      <c r="X216" s="115"/>
      <c r="Y216" s="115"/>
      <c r="Z216" s="115"/>
      <c r="AA216" s="115"/>
      <c r="AB216" s="115"/>
      <c r="AC216" s="115"/>
      <c r="AD216" s="115"/>
      <c r="AE216" s="115"/>
      <c r="AF216" s="115"/>
      <c r="AG216" s="115"/>
      <c r="AH216" s="115"/>
      <c r="AI216" s="115"/>
      <c r="AJ216" s="115"/>
      <c r="AK216" s="115"/>
      <c r="AL216" s="115"/>
      <c r="AM216" s="115"/>
      <c r="AN216" s="115"/>
      <c r="AO216" s="115"/>
      <c r="AP216" s="115"/>
      <c r="AQ216" s="115"/>
      <c r="AR216" s="115"/>
      <c r="AS216" s="115"/>
      <c r="AT216" s="115"/>
      <c r="AU216" s="115"/>
    </row>
    <row r="217" spans="1:47" ht="67.2" customHeight="1" thickBot="1" x14ac:dyDescent="0.4">
      <c r="A217" s="115"/>
      <c r="B217" s="1387"/>
      <c r="C217" s="1387"/>
      <c r="D217" s="115"/>
      <c r="E217" s="115"/>
      <c r="F217" s="115"/>
      <c r="G217" s="115"/>
      <c r="H217" s="115"/>
      <c r="I217" s="115"/>
      <c r="J217" s="115"/>
      <c r="K217" s="115"/>
      <c r="L217" s="115"/>
      <c r="M217" s="115"/>
      <c r="N217" s="115"/>
      <c r="O217" s="115"/>
      <c r="P217" s="115"/>
      <c r="Q217" s="115"/>
      <c r="R217" s="115"/>
      <c r="S217" s="115"/>
      <c r="T217" s="115"/>
      <c r="U217" s="115"/>
      <c r="V217" s="115"/>
      <c r="W217" s="115"/>
      <c r="X217" s="115"/>
      <c r="Y217" s="115"/>
      <c r="Z217" s="115"/>
      <c r="AA217" s="115"/>
      <c r="AB217" s="115"/>
      <c r="AC217" s="115"/>
      <c r="AD217" s="115"/>
      <c r="AE217" s="115"/>
      <c r="AF217" s="115"/>
      <c r="AG217" s="115"/>
      <c r="AH217" s="115"/>
      <c r="AI217" s="115"/>
      <c r="AJ217" s="115"/>
      <c r="AK217" s="115"/>
      <c r="AL217" s="115"/>
      <c r="AM217" s="115"/>
      <c r="AN217" s="115"/>
      <c r="AO217" s="115"/>
      <c r="AP217" s="115"/>
      <c r="AQ217" s="115"/>
      <c r="AR217" s="115"/>
      <c r="AS217" s="115"/>
      <c r="AT217" s="115"/>
      <c r="AU217" s="115"/>
    </row>
    <row r="218" spans="1:47" ht="67.2" customHeight="1" thickBot="1" x14ac:dyDescent="0.4">
      <c r="A218" s="115"/>
      <c r="B218" s="1387"/>
      <c r="C218" s="1387"/>
      <c r="D218" s="115"/>
      <c r="E218" s="115"/>
      <c r="F218" s="115"/>
      <c r="G218" s="115"/>
      <c r="H218" s="115"/>
      <c r="I218" s="115"/>
      <c r="J218" s="115"/>
      <c r="K218" s="115"/>
      <c r="L218" s="115"/>
      <c r="M218" s="115"/>
      <c r="N218" s="115"/>
      <c r="O218" s="115"/>
      <c r="P218" s="115"/>
      <c r="Q218" s="115"/>
      <c r="R218" s="115"/>
      <c r="S218" s="115"/>
      <c r="T218" s="115"/>
      <c r="U218" s="115"/>
      <c r="V218" s="115"/>
      <c r="W218" s="115"/>
      <c r="X218" s="115"/>
      <c r="Y218" s="115"/>
      <c r="Z218" s="115"/>
      <c r="AA218" s="115"/>
      <c r="AB218" s="115"/>
      <c r="AC218" s="115"/>
      <c r="AD218" s="115"/>
      <c r="AE218" s="115"/>
      <c r="AF218" s="115"/>
      <c r="AG218" s="115"/>
      <c r="AH218" s="115"/>
      <c r="AI218" s="115"/>
      <c r="AJ218" s="115"/>
      <c r="AK218" s="115"/>
      <c r="AL218" s="115"/>
      <c r="AM218" s="115"/>
      <c r="AN218" s="115"/>
      <c r="AO218" s="115"/>
      <c r="AP218" s="115"/>
      <c r="AQ218" s="115"/>
      <c r="AR218" s="115"/>
      <c r="AS218" s="115"/>
      <c r="AT218" s="115"/>
      <c r="AU218" s="115"/>
    </row>
    <row r="219" spans="1:47" ht="67.2" customHeight="1" thickBot="1" x14ac:dyDescent="0.4">
      <c r="A219" s="115"/>
      <c r="B219" s="1387"/>
      <c r="C219" s="1387"/>
      <c r="D219" s="115"/>
      <c r="E219" s="115"/>
      <c r="F219" s="115"/>
      <c r="G219" s="115"/>
      <c r="H219" s="115"/>
      <c r="I219" s="115"/>
      <c r="J219" s="115"/>
      <c r="K219" s="115"/>
      <c r="L219" s="115"/>
      <c r="M219" s="115"/>
      <c r="N219" s="115"/>
      <c r="O219" s="115"/>
      <c r="P219" s="115"/>
      <c r="Q219" s="115"/>
      <c r="R219" s="115"/>
      <c r="S219" s="115"/>
      <c r="T219" s="115"/>
      <c r="U219" s="115"/>
      <c r="V219" s="115"/>
      <c r="W219" s="115"/>
      <c r="X219" s="115"/>
      <c r="Y219" s="115"/>
      <c r="Z219" s="115"/>
      <c r="AA219" s="115"/>
      <c r="AB219" s="115"/>
      <c r="AC219" s="115"/>
      <c r="AD219" s="115"/>
      <c r="AE219" s="115"/>
      <c r="AF219" s="115"/>
      <c r="AG219" s="115"/>
      <c r="AH219" s="115"/>
      <c r="AI219" s="115"/>
      <c r="AJ219" s="115"/>
      <c r="AK219" s="115"/>
      <c r="AL219" s="115"/>
      <c r="AM219" s="115"/>
      <c r="AN219" s="115"/>
      <c r="AO219" s="115"/>
      <c r="AP219" s="115"/>
      <c r="AQ219" s="115"/>
      <c r="AR219" s="115"/>
      <c r="AS219" s="115"/>
      <c r="AT219" s="115"/>
      <c r="AU219" s="115"/>
    </row>
    <row r="220" spans="1:47" ht="67.2" customHeight="1" thickBot="1" x14ac:dyDescent="0.4">
      <c r="A220" s="115"/>
      <c r="B220" s="1387"/>
      <c r="C220" s="1387"/>
      <c r="D220" s="115"/>
      <c r="E220" s="115"/>
      <c r="F220" s="115"/>
      <c r="G220" s="115"/>
      <c r="H220" s="115"/>
      <c r="I220" s="115"/>
      <c r="J220" s="115"/>
      <c r="K220" s="115"/>
      <c r="L220" s="115"/>
      <c r="M220" s="115"/>
      <c r="N220" s="115"/>
      <c r="O220" s="115"/>
      <c r="P220" s="115"/>
      <c r="Q220" s="115"/>
      <c r="R220" s="115"/>
      <c r="S220" s="115"/>
      <c r="T220" s="115"/>
      <c r="U220" s="115"/>
      <c r="V220" s="115"/>
      <c r="W220" s="115"/>
      <c r="X220" s="115"/>
      <c r="Y220" s="115"/>
      <c r="Z220" s="115"/>
      <c r="AA220" s="115"/>
      <c r="AB220" s="115"/>
      <c r="AC220" s="115"/>
      <c r="AD220" s="115"/>
      <c r="AE220" s="115"/>
      <c r="AF220" s="115"/>
      <c r="AG220" s="115"/>
      <c r="AH220" s="115"/>
      <c r="AI220" s="115"/>
      <c r="AJ220" s="115"/>
      <c r="AK220" s="115"/>
      <c r="AL220" s="115"/>
      <c r="AM220" s="115"/>
      <c r="AN220" s="115"/>
      <c r="AO220" s="115"/>
      <c r="AP220" s="115"/>
      <c r="AQ220" s="115"/>
      <c r="AR220" s="115"/>
      <c r="AS220" s="115"/>
      <c r="AT220" s="115"/>
      <c r="AU220" s="115"/>
    </row>
    <row r="221" spans="1:47" ht="67.2" customHeight="1" thickBot="1" x14ac:dyDescent="0.4">
      <c r="A221" s="115"/>
      <c r="B221" s="1387"/>
      <c r="C221" s="1387"/>
      <c r="D221" s="115"/>
      <c r="E221" s="115"/>
      <c r="F221" s="115"/>
      <c r="G221" s="115"/>
      <c r="H221" s="115"/>
      <c r="I221" s="115"/>
      <c r="J221" s="115"/>
      <c r="K221" s="115"/>
      <c r="L221" s="115"/>
      <c r="M221" s="115"/>
      <c r="N221" s="115"/>
      <c r="O221" s="115"/>
      <c r="P221" s="115"/>
      <c r="Q221" s="115"/>
      <c r="R221" s="115"/>
      <c r="S221" s="115"/>
      <c r="T221" s="115"/>
      <c r="U221" s="115"/>
      <c r="V221" s="115"/>
      <c r="W221" s="115"/>
      <c r="X221" s="115"/>
      <c r="Y221" s="115"/>
      <c r="Z221" s="115"/>
      <c r="AA221" s="115"/>
      <c r="AB221" s="115"/>
      <c r="AC221" s="115"/>
      <c r="AD221" s="115"/>
      <c r="AE221" s="115"/>
      <c r="AF221" s="115"/>
      <c r="AG221" s="115"/>
      <c r="AH221" s="115"/>
      <c r="AI221" s="115"/>
      <c r="AJ221" s="115"/>
      <c r="AK221" s="115"/>
      <c r="AL221" s="115"/>
      <c r="AM221" s="115"/>
      <c r="AN221" s="115"/>
      <c r="AO221" s="115"/>
      <c r="AP221" s="115"/>
      <c r="AQ221" s="115"/>
      <c r="AR221" s="115"/>
      <c r="AS221" s="115"/>
      <c r="AT221" s="115"/>
      <c r="AU221" s="115"/>
    </row>
    <row r="222" spans="1:47" ht="67.2" customHeight="1" thickBot="1" x14ac:dyDescent="0.4">
      <c r="A222" s="115"/>
      <c r="B222" s="1387"/>
      <c r="C222" s="1387"/>
      <c r="D222" s="115"/>
      <c r="E222" s="115"/>
      <c r="F222" s="115"/>
      <c r="G222" s="115"/>
      <c r="H222" s="115"/>
      <c r="I222" s="115"/>
      <c r="J222" s="115"/>
      <c r="K222" s="115"/>
      <c r="L222" s="115"/>
      <c r="M222" s="115"/>
      <c r="N222" s="115"/>
      <c r="O222" s="115"/>
      <c r="P222" s="115"/>
      <c r="Q222" s="115"/>
      <c r="R222" s="115"/>
      <c r="S222" s="115"/>
      <c r="T222" s="115"/>
      <c r="U222" s="115"/>
      <c r="V222" s="115"/>
      <c r="W222" s="115"/>
      <c r="X222" s="115"/>
      <c r="Y222" s="115"/>
      <c r="Z222" s="115"/>
      <c r="AA222" s="115"/>
      <c r="AB222" s="115"/>
      <c r="AC222" s="115"/>
      <c r="AD222" s="115"/>
      <c r="AE222" s="115"/>
      <c r="AF222" s="115"/>
      <c r="AG222" s="115"/>
      <c r="AH222" s="115"/>
      <c r="AI222" s="115"/>
      <c r="AJ222" s="115"/>
      <c r="AK222" s="115"/>
      <c r="AL222" s="115"/>
      <c r="AM222" s="115"/>
      <c r="AN222" s="115"/>
      <c r="AO222" s="115"/>
      <c r="AP222" s="115"/>
      <c r="AQ222" s="115"/>
      <c r="AR222" s="115"/>
      <c r="AS222" s="115"/>
      <c r="AT222" s="115"/>
      <c r="AU222" s="115"/>
    </row>
    <row r="223" spans="1:47" ht="67.2" customHeight="1" thickBot="1" x14ac:dyDescent="0.4">
      <c r="A223" s="115"/>
      <c r="B223" s="1387"/>
      <c r="C223" s="1387"/>
      <c r="D223" s="115"/>
      <c r="E223" s="115"/>
      <c r="F223" s="115"/>
      <c r="G223" s="115"/>
      <c r="H223" s="115"/>
      <c r="I223" s="115"/>
      <c r="J223" s="115"/>
      <c r="K223" s="115"/>
      <c r="L223" s="115"/>
      <c r="M223" s="115"/>
      <c r="N223" s="115"/>
      <c r="O223" s="115"/>
      <c r="P223" s="115"/>
      <c r="Q223" s="115"/>
      <c r="R223" s="115"/>
      <c r="S223" s="115"/>
      <c r="T223" s="115"/>
      <c r="U223" s="115"/>
      <c r="V223" s="115"/>
      <c r="W223" s="115"/>
      <c r="X223" s="115"/>
      <c r="Y223" s="115"/>
      <c r="Z223" s="115"/>
      <c r="AA223" s="115"/>
      <c r="AB223" s="115"/>
      <c r="AC223" s="115"/>
      <c r="AD223" s="115"/>
      <c r="AE223" s="115"/>
      <c r="AF223" s="115"/>
      <c r="AG223" s="115"/>
      <c r="AH223" s="115"/>
      <c r="AI223" s="115"/>
      <c r="AJ223" s="115"/>
      <c r="AK223" s="115"/>
      <c r="AL223" s="115"/>
      <c r="AM223" s="115"/>
      <c r="AN223" s="115"/>
      <c r="AO223" s="115"/>
      <c r="AP223" s="115"/>
      <c r="AQ223" s="115"/>
      <c r="AR223" s="115"/>
      <c r="AS223" s="115"/>
      <c r="AT223" s="115"/>
      <c r="AU223" s="115"/>
    </row>
    <row r="224" spans="1:47" ht="67.2" customHeight="1" thickBot="1" x14ac:dyDescent="0.4">
      <c r="A224" s="115"/>
      <c r="B224" s="1387"/>
      <c r="C224" s="1387"/>
      <c r="D224" s="115"/>
      <c r="E224" s="115"/>
      <c r="F224" s="115"/>
      <c r="G224" s="115"/>
      <c r="H224" s="115"/>
      <c r="I224" s="115"/>
      <c r="J224" s="115"/>
      <c r="K224" s="115"/>
      <c r="L224" s="115"/>
      <c r="M224" s="115"/>
      <c r="N224" s="115"/>
      <c r="O224" s="115"/>
      <c r="P224" s="115"/>
      <c r="Q224" s="115"/>
      <c r="R224" s="115"/>
      <c r="S224" s="115"/>
      <c r="T224" s="115"/>
      <c r="U224" s="115"/>
      <c r="V224" s="115"/>
      <c r="W224" s="115"/>
      <c r="X224" s="115"/>
      <c r="Y224" s="115"/>
      <c r="Z224" s="115"/>
      <c r="AA224" s="115"/>
      <c r="AB224" s="115"/>
      <c r="AC224" s="115"/>
      <c r="AD224" s="115"/>
      <c r="AE224" s="115"/>
      <c r="AF224" s="115"/>
      <c r="AG224" s="115"/>
      <c r="AH224" s="115"/>
      <c r="AI224" s="115"/>
      <c r="AJ224" s="115"/>
      <c r="AK224" s="115"/>
      <c r="AL224" s="115"/>
      <c r="AM224" s="115"/>
      <c r="AN224" s="115"/>
      <c r="AO224" s="115"/>
      <c r="AP224" s="115"/>
      <c r="AQ224" s="115"/>
      <c r="AR224" s="115"/>
      <c r="AS224" s="115"/>
      <c r="AT224" s="115"/>
      <c r="AU224" s="115"/>
    </row>
    <row r="225" spans="1:47" ht="67.2" customHeight="1" thickBot="1" x14ac:dyDescent="0.4">
      <c r="A225" s="115"/>
      <c r="B225" s="1387"/>
      <c r="C225" s="1387"/>
      <c r="D225" s="115"/>
      <c r="E225" s="115"/>
      <c r="F225" s="115"/>
      <c r="G225" s="115"/>
      <c r="H225" s="115"/>
      <c r="I225" s="115"/>
      <c r="J225" s="115"/>
      <c r="K225" s="115"/>
      <c r="L225" s="115"/>
      <c r="M225" s="115"/>
      <c r="N225" s="115"/>
      <c r="O225" s="115"/>
      <c r="P225" s="115"/>
      <c r="Q225" s="115"/>
      <c r="R225" s="115"/>
      <c r="S225" s="115"/>
      <c r="T225" s="115"/>
      <c r="U225" s="115"/>
      <c r="V225" s="115"/>
      <c r="W225" s="115"/>
      <c r="X225" s="115"/>
      <c r="Y225" s="115"/>
      <c r="Z225" s="115"/>
      <c r="AA225" s="115"/>
      <c r="AB225" s="115"/>
      <c r="AC225" s="115"/>
      <c r="AD225" s="115"/>
      <c r="AE225" s="115"/>
      <c r="AF225" s="115"/>
      <c r="AG225" s="115"/>
      <c r="AH225" s="115"/>
      <c r="AI225" s="115"/>
      <c r="AJ225" s="115"/>
      <c r="AK225" s="115"/>
      <c r="AL225" s="115"/>
      <c r="AM225" s="115"/>
      <c r="AN225" s="115"/>
      <c r="AO225" s="115"/>
      <c r="AP225" s="115"/>
      <c r="AQ225" s="115"/>
      <c r="AR225" s="115"/>
      <c r="AS225" s="115"/>
      <c r="AT225" s="115"/>
      <c r="AU225" s="115"/>
    </row>
    <row r="226" spans="1:47" ht="67.2" customHeight="1" thickBot="1" x14ac:dyDescent="0.4">
      <c r="A226" s="115"/>
      <c r="B226" s="1387"/>
      <c r="C226" s="1387"/>
      <c r="D226" s="115"/>
      <c r="E226" s="115"/>
      <c r="F226" s="115"/>
      <c r="G226" s="115"/>
      <c r="H226" s="115"/>
      <c r="I226" s="115"/>
      <c r="J226" s="115"/>
      <c r="K226" s="115"/>
      <c r="L226" s="115"/>
      <c r="M226" s="115"/>
      <c r="N226" s="115"/>
      <c r="O226" s="115"/>
      <c r="P226" s="115"/>
      <c r="Q226" s="115"/>
      <c r="R226" s="115"/>
      <c r="S226" s="115"/>
      <c r="T226" s="115"/>
      <c r="U226" s="115"/>
      <c r="V226" s="115"/>
      <c r="W226" s="115"/>
      <c r="X226" s="115"/>
      <c r="Y226" s="115"/>
      <c r="Z226" s="115"/>
      <c r="AA226" s="115"/>
      <c r="AB226" s="115"/>
      <c r="AC226" s="115"/>
      <c r="AD226" s="115"/>
      <c r="AE226" s="115"/>
      <c r="AF226" s="115"/>
      <c r="AG226" s="115"/>
      <c r="AH226" s="115"/>
      <c r="AI226" s="115"/>
      <c r="AJ226" s="115"/>
      <c r="AK226" s="115"/>
      <c r="AL226" s="115"/>
      <c r="AM226" s="115"/>
      <c r="AN226" s="115"/>
      <c r="AO226" s="115"/>
      <c r="AP226" s="115"/>
      <c r="AQ226" s="115"/>
      <c r="AR226" s="115"/>
      <c r="AS226" s="115"/>
      <c r="AT226" s="115"/>
      <c r="AU226" s="115"/>
    </row>
    <row r="227" spans="1:47" ht="67.2" customHeight="1" thickBot="1" x14ac:dyDescent="0.4">
      <c r="A227" s="115"/>
      <c r="B227" s="1387"/>
      <c r="C227" s="1387"/>
      <c r="D227" s="115"/>
      <c r="E227" s="115"/>
      <c r="F227" s="115"/>
      <c r="G227" s="115"/>
      <c r="H227" s="115"/>
      <c r="I227" s="115"/>
      <c r="J227" s="115"/>
      <c r="K227" s="115"/>
      <c r="L227" s="115"/>
      <c r="M227" s="115"/>
      <c r="N227" s="115"/>
      <c r="O227" s="115"/>
      <c r="P227" s="115"/>
      <c r="Q227" s="115"/>
      <c r="R227" s="115"/>
      <c r="S227" s="115"/>
      <c r="T227" s="115"/>
      <c r="U227" s="115"/>
      <c r="V227" s="115"/>
      <c r="W227" s="115"/>
      <c r="X227" s="115"/>
      <c r="Y227" s="115"/>
      <c r="Z227" s="115"/>
      <c r="AA227" s="115"/>
      <c r="AB227" s="115"/>
      <c r="AC227" s="115"/>
      <c r="AD227" s="115"/>
      <c r="AE227" s="115"/>
      <c r="AF227" s="115"/>
      <c r="AG227" s="115"/>
      <c r="AH227" s="115"/>
      <c r="AI227" s="115"/>
      <c r="AJ227" s="115"/>
      <c r="AK227" s="115"/>
      <c r="AL227" s="115"/>
      <c r="AM227" s="115"/>
      <c r="AN227" s="115"/>
      <c r="AO227" s="115"/>
      <c r="AP227" s="115"/>
      <c r="AQ227" s="115"/>
      <c r="AR227" s="115"/>
      <c r="AS227" s="115"/>
      <c r="AT227" s="115"/>
      <c r="AU227" s="115"/>
    </row>
    <row r="228" spans="1:47" ht="67.2" customHeight="1" thickBot="1" x14ac:dyDescent="0.4">
      <c r="A228" s="115"/>
      <c r="B228" s="1387"/>
      <c r="C228" s="1387"/>
      <c r="D228" s="115"/>
      <c r="E228" s="115"/>
      <c r="F228" s="115"/>
      <c r="G228" s="115"/>
      <c r="H228" s="115"/>
      <c r="I228" s="115"/>
      <c r="J228" s="115"/>
      <c r="K228" s="115"/>
      <c r="L228" s="115"/>
      <c r="M228" s="115"/>
      <c r="N228" s="115"/>
      <c r="O228" s="115"/>
      <c r="P228" s="115"/>
      <c r="Q228" s="115"/>
      <c r="R228" s="115"/>
      <c r="S228" s="115"/>
      <c r="T228" s="115"/>
      <c r="U228" s="115"/>
      <c r="V228" s="115"/>
      <c r="W228" s="115"/>
      <c r="X228" s="115"/>
      <c r="Y228" s="115"/>
      <c r="Z228" s="115"/>
      <c r="AA228" s="115"/>
      <c r="AB228" s="115"/>
      <c r="AC228" s="115"/>
      <c r="AD228" s="115"/>
      <c r="AE228" s="115"/>
      <c r="AF228" s="115"/>
      <c r="AG228" s="115"/>
      <c r="AH228" s="115"/>
      <c r="AI228" s="115"/>
      <c r="AJ228" s="115"/>
      <c r="AK228" s="115"/>
      <c r="AL228" s="115"/>
      <c r="AM228" s="115"/>
      <c r="AN228" s="115"/>
      <c r="AO228" s="115"/>
      <c r="AP228" s="115"/>
      <c r="AQ228" s="115"/>
      <c r="AR228" s="115"/>
      <c r="AS228" s="115"/>
      <c r="AT228" s="115"/>
      <c r="AU228" s="115"/>
    </row>
    <row r="229" spans="1:47" ht="67.2" customHeight="1" thickBot="1" x14ac:dyDescent="0.4">
      <c r="A229" s="115"/>
      <c r="B229" s="1387"/>
      <c r="C229" s="1387"/>
      <c r="D229" s="115"/>
      <c r="E229" s="115"/>
      <c r="F229" s="115"/>
      <c r="G229" s="115"/>
      <c r="H229" s="115"/>
      <c r="I229" s="115"/>
      <c r="J229" s="115"/>
      <c r="K229" s="115"/>
      <c r="L229" s="115"/>
      <c r="M229" s="115"/>
      <c r="N229" s="115"/>
      <c r="O229" s="115"/>
      <c r="P229" s="115"/>
      <c r="Q229" s="115"/>
      <c r="R229" s="115"/>
      <c r="S229" s="115"/>
      <c r="T229" s="115"/>
      <c r="U229" s="115"/>
      <c r="V229" s="115"/>
      <c r="W229" s="115"/>
      <c r="X229" s="115"/>
      <c r="Y229" s="115"/>
      <c r="Z229" s="115"/>
      <c r="AA229" s="115"/>
      <c r="AB229" s="115"/>
      <c r="AC229" s="115"/>
      <c r="AD229" s="115"/>
      <c r="AE229" s="115"/>
      <c r="AF229" s="115"/>
      <c r="AG229" s="115"/>
      <c r="AH229" s="115"/>
      <c r="AI229" s="115"/>
      <c r="AJ229" s="115"/>
      <c r="AK229" s="115"/>
      <c r="AL229" s="115"/>
      <c r="AM229" s="115"/>
      <c r="AN229" s="115"/>
      <c r="AO229" s="115"/>
      <c r="AP229" s="115"/>
      <c r="AQ229" s="115"/>
      <c r="AR229" s="115"/>
      <c r="AS229" s="115"/>
      <c r="AT229" s="115"/>
      <c r="AU229" s="115"/>
    </row>
    <row r="230" spans="1:47" ht="67.2" customHeight="1" thickBot="1" x14ac:dyDescent="0.4">
      <c r="A230" s="115"/>
      <c r="B230" s="1387"/>
      <c r="C230" s="1387"/>
      <c r="D230" s="115"/>
      <c r="E230" s="115"/>
      <c r="F230" s="115"/>
      <c r="G230" s="115"/>
      <c r="H230" s="115"/>
      <c r="I230" s="115"/>
      <c r="J230" s="115"/>
      <c r="K230" s="115"/>
      <c r="L230" s="115"/>
      <c r="M230" s="115"/>
      <c r="N230" s="115"/>
      <c r="O230" s="115"/>
      <c r="P230" s="115"/>
      <c r="Q230" s="115"/>
      <c r="R230" s="115"/>
      <c r="S230" s="115"/>
      <c r="T230" s="115"/>
      <c r="U230" s="115"/>
      <c r="V230" s="115"/>
      <c r="W230" s="115"/>
      <c r="X230" s="115"/>
      <c r="Y230" s="115"/>
      <c r="Z230" s="115"/>
      <c r="AA230" s="115"/>
      <c r="AB230" s="115"/>
      <c r="AC230" s="115"/>
      <c r="AD230" s="115"/>
      <c r="AE230" s="115"/>
      <c r="AF230" s="115"/>
      <c r="AG230" s="115"/>
      <c r="AH230" s="115"/>
      <c r="AI230" s="115"/>
      <c r="AJ230" s="115"/>
      <c r="AK230" s="115"/>
      <c r="AL230" s="115"/>
      <c r="AM230" s="115"/>
      <c r="AN230" s="115"/>
      <c r="AO230" s="115"/>
      <c r="AP230" s="115"/>
      <c r="AQ230" s="115"/>
      <c r="AR230" s="115"/>
      <c r="AS230" s="115"/>
      <c r="AT230" s="115"/>
      <c r="AU230" s="115"/>
    </row>
    <row r="231" spans="1:47" ht="67.2" customHeight="1" thickBot="1" x14ac:dyDescent="0.4">
      <c r="A231" s="115"/>
      <c r="B231" s="1387"/>
      <c r="C231" s="1387"/>
      <c r="D231" s="115"/>
      <c r="E231" s="115"/>
      <c r="F231" s="115"/>
      <c r="G231" s="115"/>
      <c r="H231" s="115"/>
      <c r="I231" s="115"/>
      <c r="J231" s="115"/>
      <c r="K231" s="115"/>
      <c r="L231" s="115"/>
      <c r="M231" s="115"/>
      <c r="N231" s="115"/>
      <c r="O231" s="115"/>
      <c r="P231" s="115"/>
      <c r="Q231" s="115"/>
      <c r="R231" s="115"/>
      <c r="S231" s="115"/>
      <c r="T231" s="115"/>
      <c r="U231" s="115"/>
      <c r="V231" s="115"/>
      <c r="W231" s="115"/>
      <c r="X231" s="115"/>
      <c r="Y231" s="115"/>
      <c r="Z231" s="115"/>
      <c r="AA231" s="115"/>
      <c r="AB231" s="115"/>
      <c r="AC231" s="115"/>
      <c r="AD231" s="115"/>
      <c r="AE231" s="115"/>
      <c r="AF231" s="115"/>
      <c r="AG231" s="115"/>
      <c r="AH231" s="115"/>
      <c r="AI231" s="115"/>
      <c r="AJ231" s="115"/>
      <c r="AK231" s="115"/>
      <c r="AL231" s="115"/>
      <c r="AM231" s="115"/>
      <c r="AN231" s="115"/>
      <c r="AO231" s="115"/>
      <c r="AP231" s="115"/>
      <c r="AQ231" s="115"/>
      <c r="AR231" s="115"/>
      <c r="AS231" s="115"/>
      <c r="AT231" s="115"/>
      <c r="AU231" s="115"/>
    </row>
    <row r="232" spans="1:47" ht="67.2" customHeight="1" thickBot="1" x14ac:dyDescent="0.4">
      <c r="A232" s="115"/>
      <c r="B232" s="1387"/>
      <c r="C232" s="1387"/>
      <c r="D232" s="115"/>
      <c r="E232" s="115"/>
      <c r="F232" s="115"/>
      <c r="G232" s="115"/>
      <c r="H232" s="115"/>
      <c r="I232" s="115"/>
      <c r="J232" s="115"/>
      <c r="K232" s="115"/>
      <c r="L232" s="115"/>
      <c r="M232" s="115"/>
      <c r="N232" s="115"/>
      <c r="O232" s="115"/>
      <c r="P232" s="115"/>
      <c r="Q232" s="115"/>
      <c r="R232" s="115"/>
      <c r="S232" s="115"/>
      <c r="T232" s="115"/>
      <c r="U232" s="115"/>
      <c r="V232" s="115"/>
      <c r="W232" s="115"/>
      <c r="X232" s="115"/>
      <c r="Y232" s="115"/>
      <c r="Z232" s="115"/>
      <c r="AA232" s="115"/>
      <c r="AB232" s="115"/>
      <c r="AC232" s="115"/>
      <c r="AD232" s="115"/>
      <c r="AE232" s="115"/>
      <c r="AF232" s="115"/>
      <c r="AG232" s="115"/>
      <c r="AH232" s="115"/>
      <c r="AI232" s="115"/>
      <c r="AJ232" s="115"/>
      <c r="AK232" s="115"/>
      <c r="AL232" s="115"/>
      <c r="AM232" s="115"/>
      <c r="AN232" s="115"/>
      <c r="AO232" s="115"/>
      <c r="AP232" s="115"/>
      <c r="AQ232" s="115"/>
      <c r="AR232" s="115"/>
      <c r="AS232" s="115"/>
      <c r="AT232" s="115"/>
      <c r="AU232" s="115"/>
    </row>
    <row r="233" spans="1:47" ht="67.2" customHeight="1" thickBot="1" x14ac:dyDescent="0.4">
      <c r="A233" s="115"/>
      <c r="B233" s="1387"/>
      <c r="C233" s="1387"/>
      <c r="D233" s="115"/>
      <c r="E233" s="115"/>
      <c r="F233" s="115"/>
      <c r="G233" s="115"/>
      <c r="H233" s="115"/>
      <c r="I233" s="115"/>
      <c r="J233" s="115"/>
      <c r="K233" s="115"/>
      <c r="L233" s="115"/>
      <c r="M233" s="115"/>
      <c r="N233" s="115"/>
      <c r="O233" s="115"/>
      <c r="P233" s="115"/>
      <c r="Q233" s="115"/>
      <c r="R233" s="115"/>
      <c r="S233" s="115"/>
      <c r="T233" s="115"/>
      <c r="U233" s="115"/>
      <c r="V233" s="115"/>
      <c r="W233" s="115"/>
      <c r="X233" s="115"/>
      <c r="Y233" s="115"/>
      <c r="Z233" s="115"/>
      <c r="AA233" s="115"/>
      <c r="AB233" s="115"/>
      <c r="AC233" s="115"/>
      <c r="AD233" s="115"/>
      <c r="AE233" s="115"/>
      <c r="AF233" s="115"/>
      <c r="AG233" s="115"/>
      <c r="AH233" s="115"/>
      <c r="AI233" s="115"/>
      <c r="AJ233" s="115"/>
      <c r="AK233" s="115"/>
      <c r="AL233" s="115"/>
      <c r="AM233" s="115"/>
      <c r="AN233" s="115"/>
      <c r="AO233" s="115"/>
      <c r="AP233" s="115"/>
      <c r="AQ233" s="115"/>
      <c r="AR233" s="115"/>
      <c r="AS233" s="115"/>
      <c r="AT233" s="115"/>
      <c r="AU233" s="115"/>
    </row>
    <row r="234" spans="1:47" ht="67.2" customHeight="1" thickBot="1" x14ac:dyDescent="0.4">
      <c r="A234" s="115"/>
      <c r="B234" s="1387"/>
      <c r="C234" s="1387"/>
      <c r="D234" s="115"/>
      <c r="E234" s="115"/>
      <c r="F234" s="115"/>
      <c r="G234" s="115"/>
      <c r="H234" s="115"/>
      <c r="I234" s="115"/>
      <c r="J234" s="115"/>
      <c r="K234" s="115"/>
      <c r="L234" s="115"/>
      <c r="M234" s="115"/>
      <c r="N234" s="115"/>
      <c r="O234" s="115"/>
      <c r="P234" s="115"/>
      <c r="Q234" s="115"/>
      <c r="R234" s="115"/>
      <c r="S234" s="115"/>
      <c r="T234" s="115"/>
      <c r="U234" s="115"/>
      <c r="V234" s="115"/>
      <c r="W234" s="115"/>
      <c r="X234" s="115"/>
      <c r="Y234" s="115"/>
      <c r="Z234" s="115"/>
      <c r="AA234" s="115"/>
      <c r="AB234" s="115"/>
      <c r="AC234" s="115"/>
      <c r="AD234" s="115"/>
      <c r="AE234" s="115"/>
      <c r="AF234" s="115"/>
      <c r="AG234" s="115"/>
      <c r="AH234" s="115"/>
      <c r="AI234" s="115"/>
      <c r="AJ234" s="115"/>
      <c r="AK234" s="115"/>
      <c r="AL234" s="115"/>
      <c r="AM234" s="115"/>
      <c r="AN234" s="115"/>
      <c r="AO234" s="115"/>
      <c r="AP234" s="115"/>
      <c r="AQ234" s="115"/>
      <c r="AR234" s="115"/>
      <c r="AS234" s="115"/>
      <c r="AT234" s="115"/>
      <c r="AU234" s="115"/>
    </row>
    <row r="235" spans="1:47" ht="67.2" customHeight="1" thickBot="1" x14ac:dyDescent="0.4">
      <c r="A235" s="115"/>
      <c r="B235" s="1387"/>
      <c r="C235" s="1387"/>
      <c r="D235" s="115"/>
      <c r="E235" s="115"/>
      <c r="F235" s="115"/>
      <c r="G235" s="115"/>
      <c r="H235" s="115"/>
      <c r="I235" s="115"/>
      <c r="J235" s="115"/>
      <c r="K235" s="115"/>
      <c r="L235" s="115"/>
      <c r="M235" s="115"/>
      <c r="N235" s="115"/>
      <c r="O235" s="115"/>
      <c r="P235" s="115"/>
      <c r="Q235" s="115"/>
      <c r="R235" s="115"/>
      <c r="S235" s="115"/>
      <c r="T235" s="115"/>
      <c r="U235" s="115"/>
      <c r="V235" s="115"/>
      <c r="W235" s="115"/>
      <c r="X235" s="115"/>
      <c r="Y235" s="115"/>
      <c r="Z235" s="115"/>
      <c r="AA235" s="115"/>
      <c r="AB235" s="115"/>
      <c r="AC235" s="115"/>
      <c r="AD235" s="115"/>
      <c r="AE235" s="115"/>
      <c r="AF235" s="115"/>
      <c r="AG235" s="115"/>
      <c r="AH235" s="115"/>
      <c r="AI235" s="115"/>
      <c r="AJ235" s="115"/>
      <c r="AK235" s="115"/>
      <c r="AL235" s="115"/>
      <c r="AM235" s="115"/>
      <c r="AN235" s="115"/>
      <c r="AO235" s="115"/>
      <c r="AP235" s="115"/>
      <c r="AQ235" s="115"/>
      <c r="AR235" s="115"/>
      <c r="AS235" s="115"/>
      <c r="AT235" s="115"/>
      <c r="AU235" s="115"/>
    </row>
    <row r="236" spans="1:47" ht="67.2" customHeight="1" thickBot="1" x14ac:dyDescent="0.4">
      <c r="A236" s="115"/>
      <c r="B236" s="1387"/>
      <c r="C236" s="1387"/>
      <c r="D236" s="115"/>
      <c r="E236" s="115"/>
      <c r="F236" s="115"/>
      <c r="G236" s="115"/>
      <c r="H236" s="115"/>
      <c r="I236" s="115"/>
      <c r="J236" s="115"/>
      <c r="K236" s="115"/>
      <c r="L236" s="115"/>
      <c r="M236" s="115"/>
      <c r="N236" s="115"/>
      <c r="O236" s="115"/>
      <c r="P236" s="115"/>
      <c r="Q236" s="115"/>
      <c r="R236" s="115"/>
      <c r="S236" s="115"/>
      <c r="T236" s="115"/>
      <c r="U236" s="115"/>
      <c r="V236" s="115"/>
      <c r="W236" s="115"/>
      <c r="X236" s="115"/>
      <c r="Y236" s="115"/>
      <c r="Z236" s="115"/>
      <c r="AA236" s="115"/>
      <c r="AB236" s="115"/>
      <c r="AC236" s="115"/>
      <c r="AD236" s="115"/>
      <c r="AE236" s="115"/>
      <c r="AF236" s="115"/>
      <c r="AG236" s="115"/>
      <c r="AH236" s="115"/>
      <c r="AI236" s="115"/>
      <c r="AJ236" s="115"/>
      <c r="AK236" s="115"/>
      <c r="AL236" s="115"/>
      <c r="AM236" s="115"/>
      <c r="AN236" s="115"/>
      <c r="AO236" s="115"/>
      <c r="AP236" s="115"/>
      <c r="AQ236" s="115"/>
      <c r="AR236" s="115"/>
      <c r="AS236" s="115"/>
      <c r="AT236" s="115"/>
      <c r="AU236" s="115"/>
    </row>
    <row r="237" spans="1:47" ht="67.2" customHeight="1" thickBot="1" x14ac:dyDescent="0.4">
      <c r="A237" s="115"/>
      <c r="B237" s="1387"/>
      <c r="C237" s="1387"/>
      <c r="D237" s="115"/>
      <c r="E237" s="115"/>
      <c r="F237" s="115"/>
      <c r="G237" s="115"/>
      <c r="H237" s="115"/>
      <c r="I237" s="115"/>
      <c r="J237" s="115"/>
      <c r="K237" s="115"/>
      <c r="L237" s="115"/>
      <c r="M237" s="115"/>
      <c r="N237" s="115"/>
      <c r="O237" s="115"/>
      <c r="P237" s="115"/>
      <c r="Q237" s="115"/>
      <c r="R237" s="115"/>
      <c r="S237" s="115"/>
      <c r="T237" s="115"/>
      <c r="U237" s="115"/>
      <c r="V237" s="115"/>
      <c r="W237" s="115"/>
      <c r="X237" s="115"/>
      <c r="Y237" s="115"/>
      <c r="Z237" s="115"/>
      <c r="AA237" s="115"/>
      <c r="AB237" s="115"/>
      <c r="AC237" s="115"/>
      <c r="AD237" s="115"/>
      <c r="AE237" s="115"/>
      <c r="AF237" s="115"/>
      <c r="AG237" s="115"/>
      <c r="AH237" s="115"/>
      <c r="AI237" s="115"/>
      <c r="AJ237" s="115"/>
      <c r="AK237" s="115"/>
      <c r="AL237" s="115"/>
      <c r="AM237" s="115"/>
      <c r="AN237" s="115"/>
      <c r="AO237" s="115"/>
      <c r="AP237" s="115"/>
      <c r="AQ237" s="115"/>
      <c r="AR237" s="115"/>
      <c r="AS237" s="115"/>
      <c r="AT237" s="115"/>
      <c r="AU237" s="115"/>
    </row>
    <row r="238" spans="1:47" ht="67.2" customHeight="1" thickBot="1" x14ac:dyDescent="0.4">
      <c r="A238" s="115"/>
      <c r="B238" s="1387"/>
      <c r="C238" s="1387"/>
      <c r="D238" s="115"/>
      <c r="E238" s="115"/>
      <c r="F238" s="115"/>
      <c r="G238" s="115"/>
      <c r="H238" s="115"/>
      <c r="I238" s="115"/>
      <c r="J238" s="115"/>
      <c r="K238" s="115"/>
      <c r="L238" s="115"/>
      <c r="M238" s="115"/>
      <c r="N238" s="115"/>
      <c r="O238" s="115"/>
      <c r="P238" s="115"/>
      <c r="Q238" s="115"/>
      <c r="R238" s="115"/>
      <c r="S238" s="115"/>
      <c r="T238" s="115"/>
      <c r="U238" s="115"/>
      <c r="V238" s="115"/>
      <c r="W238" s="115"/>
      <c r="X238" s="115"/>
      <c r="Y238" s="115"/>
      <c r="Z238" s="115"/>
      <c r="AA238" s="115"/>
      <c r="AB238" s="115"/>
      <c r="AC238" s="115"/>
      <c r="AD238" s="115"/>
      <c r="AE238" s="115"/>
      <c r="AF238" s="115"/>
      <c r="AG238" s="115"/>
      <c r="AH238" s="115"/>
      <c r="AI238" s="115"/>
      <c r="AJ238" s="115"/>
      <c r="AK238" s="115"/>
      <c r="AL238" s="115"/>
      <c r="AM238" s="115"/>
      <c r="AN238" s="115"/>
      <c r="AO238" s="115"/>
      <c r="AP238" s="115"/>
      <c r="AQ238" s="115"/>
      <c r="AR238" s="115"/>
      <c r="AS238" s="115"/>
      <c r="AT238" s="115"/>
      <c r="AU238" s="115"/>
    </row>
    <row r="239" spans="1:47" ht="67.2" customHeight="1" thickBot="1" x14ac:dyDescent="0.4">
      <c r="A239" s="115"/>
      <c r="B239" s="1387"/>
      <c r="C239" s="1387"/>
      <c r="D239" s="115"/>
      <c r="E239" s="115"/>
      <c r="F239" s="115"/>
      <c r="G239" s="115"/>
      <c r="H239" s="115"/>
      <c r="I239" s="115"/>
      <c r="J239" s="115"/>
      <c r="K239" s="115"/>
      <c r="L239" s="115"/>
      <c r="M239" s="115"/>
      <c r="N239" s="115"/>
      <c r="O239" s="115"/>
      <c r="P239" s="115"/>
      <c r="Q239" s="115"/>
      <c r="R239" s="115"/>
      <c r="S239" s="115"/>
      <c r="T239" s="115"/>
      <c r="U239" s="115"/>
      <c r="V239" s="115"/>
      <c r="W239" s="115"/>
      <c r="X239" s="115"/>
      <c r="Y239" s="115"/>
      <c r="Z239" s="115"/>
      <c r="AA239" s="115"/>
      <c r="AB239" s="115"/>
      <c r="AC239" s="115"/>
      <c r="AD239" s="115"/>
      <c r="AE239" s="115"/>
      <c r="AF239" s="115"/>
      <c r="AG239" s="115"/>
      <c r="AH239" s="115"/>
      <c r="AI239" s="115"/>
      <c r="AJ239" s="115"/>
      <c r="AK239" s="115"/>
      <c r="AL239" s="115"/>
      <c r="AM239" s="115"/>
      <c r="AN239" s="115"/>
      <c r="AO239" s="115"/>
      <c r="AP239" s="115"/>
      <c r="AQ239" s="115"/>
      <c r="AR239" s="115"/>
      <c r="AS239" s="115"/>
      <c r="AT239" s="115"/>
      <c r="AU239" s="115"/>
    </row>
    <row r="240" spans="1:47" ht="67.2" customHeight="1" thickBot="1" x14ac:dyDescent="0.4">
      <c r="A240" s="115"/>
      <c r="B240" s="1387"/>
      <c r="C240" s="1387"/>
      <c r="D240" s="115"/>
      <c r="E240" s="115"/>
      <c r="F240" s="115"/>
      <c r="G240" s="115"/>
      <c r="H240" s="115"/>
      <c r="I240" s="115"/>
      <c r="J240" s="115"/>
      <c r="K240" s="115"/>
      <c r="L240" s="115"/>
      <c r="M240" s="115"/>
      <c r="N240" s="115"/>
      <c r="O240" s="115"/>
      <c r="P240" s="115"/>
      <c r="Q240" s="115"/>
      <c r="R240" s="115"/>
      <c r="S240" s="115"/>
      <c r="T240" s="115"/>
      <c r="U240" s="115"/>
      <c r="V240" s="115"/>
      <c r="W240" s="115"/>
      <c r="X240" s="115"/>
      <c r="Y240" s="115"/>
      <c r="Z240" s="115"/>
      <c r="AA240" s="115"/>
      <c r="AB240" s="115"/>
      <c r="AC240" s="115"/>
      <c r="AD240" s="115"/>
      <c r="AE240" s="115"/>
      <c r="AF240" s="115"/>
      <c r="AG240" s="115"/>
      <c r="AH240" s="115"/>
      <c r="AI240" s="115"/>
      <c r="AJ240" s="115"/>
      <c r="AK240" s="115"/>
      <c r="AL240" s="115"/>
      <c r="AM240" s="115"/>
      <c r="AN240" s="115"/>
      <c r="AO240" s="115"/>
      <c r="AP240" s="115"/>
      <c r="AQ240" s="115"/>
      <c r="AR240" s="115"/>
      <c r="AS240" s="115"/>
      <c r="AT240" s="115"/>
      <c r="AU240" s="115"/>
    </row>
    <row r="241" spans="1:47" ht="67.2" customHeight="1" thickBot="1" x14ac:dyDescent="0.4">
      <c r="A241" s="115"/>
      <c r="B241" s="1387"/>
      <c r="C241" s="1387"/>
      <c r="D241" s="115"/>
      <c r="E241" s="115"/>
      <c r="F241" s="115"/>
      <c r="G241" s="115"/>
      <c r="H241" s="115"/>
      <c r="I241" s="115"/>
      <c r="J241" s="115"/>
      <c r="K241" s="115"/>
      <c r="L241" s="115"/>
      <c r="M241" s="115"/>
      <c r="N241" s="115"/>
      <c r="O241" s="115"/>
      <c r="P241" s="115"/>
      <c r="Q241" s="115"/>
      <c r="R241" s="115"/>
      <c r="S241" s="115"/>
      <c r="T241" s="115"/>
      <c r="U241" s="115"/>
      <c r="V241" s="115"/>
      <c r="W241" s="115"/>
      <c r="X241" s="115"/>
      <c r="Y241" s="115"/>
      <c r="Z241" s="115"/>
      <c r="AA241" s="115"/>
      <c r="AB241" s="115"/>
      <c r="AC241" s="115"/>
      <c r="AD241" s="115"/>
      <c r="AE241" s="115"/>
      <c r="AF241" s="115"/>
      <c r="AG241" s="115"/>
      <c r="AH241" s="115"/>
      <c r="AI241" s="115"/>
      <c r="AJ241" s="115"/>
      <c r="AK241" s="115"/>
      <c r="AL241" s="115"/>
      <c r="AM241" s="115"/>
      <c r="AN241" s="115"/>
      <c r="AO241" s="115"/>
      <c r="AP241" s="115"/>
      <c r="AQ241" s="115"/>
      <c r="AR241" s="115"/>
      <c r="AS241" s="115"/>
      <c r="AT241" s="115"/>
      <c r="AU241" s="115"/>
    </row>
    <row r="242" spans="1:47" ht="67.2" customHeight="1" thickBot="1" x14ac:dyDescent="0.4">
      <c r="A242" s="115"/>
      <c r="B242" s="1387"/>
      <c r="C242" s="1387"/>
      <c r="D242" s="115"/>
      <c r="E242" s="115"/>
      <c r="F242" s="115"/>
      <c r="G242" s="115"/>
      <c r="H242" s="115"/>
      <c r="I242" s="115"/>
      <c r="J242" s="115"/>
      <c r="K242" s="115"/>
      <c r="L242" s="115"/>
      <c r="M242" s="115"/>
      <c r="N242" s="115"/>
      <c r="O242" s="115"/>
      <c r="P242" s="115"/>
      <c r="Q242" s="115"/>
      <c r="R242" s="115"/>
      <c r="S242" s="115"/>
      <c r="T242" s="115"/>
      <c r="U242" s="115"/>
      <c r="V242" s="115"/>
      <c r="W242" s="115"/>
      <c r="X242" s="115"/>
      <c r="Y242" s="115"/>
      <c r="Z242" s="115"/>
      <c r="AA242" s="115"/>
      <c r="AB242" s="115"/>
      <c r="AC242" s="115"/>
      <c r="AD242" s="115"/>
      <c r="AE242" s="115"/>
      <c r="AF242" s="115"/>
      <c r="AG242" s="115"/>
      <c r="AH242" s="115"/>
      <c r="AI242" s="115"/>
      <c r="AJ242" s="115"/>
      <c r="AK242" s="115"/>
      <c r="AL242" s="115"/>
      <c r="AM242" s="115"/>
      <c r="AN242" s="115"/>
      <c r="AO242" s="115"/>
      <c r="AP242" s="115"/>
      <c r="AQ242" s="115"/>
      <c r="AR242" s="115"/>
      <c r="AS242" s="115"/>
      <c r="AT242" s="115"/>
      <c r="AU242" s="115"/>
    </row>
    <row r="243" spans="1:47" ht="67.2" customHeight="1" thickBot="1" x14ac:dyDescent="0.4">
      <c r="A243" s="115"/>
      <c r="B243" s="1387"/>
      <c r="C243" s="1387"/>
      <c r="D243" s="115"/>
      <c r="E243" s="115"/>
      <c r="F243" s="115"/>
      <c r="G243" s="115"/>
      <c r="H243" s="115"/>
      <c r="I243" s="115"/>
      <c r="J243" s="115"/>
      <c r="K243" s="115"/>
      <c r="L243" s="115"/>
      <c r="M243" s="115"/>
      <c r="N243" s="115"/>
      <c r="O243" s="115"/>
      <c r="P243" s="115"/>
      <c r="Q243" s="115"/>
      <c r="R243" s="115"/>
      <c r="S243" s="115"/>
      <c r="T243" s="115"/>
      <c r="U243" s="115"/>
      <c r="V243" s="115"/>
      <c r="W243" s="115"/>
      <c r="X243" s="115"/>
      <c r="Y243" s="115"/>
      <c r="Z243" s="115"/>
      <c r="AA243" s="115"/>
      <c r="AB243" s="115"/>
      <c r="AC243" s="115"/>
      <c r="AD243" s="115"/>
      <c r="AE243" s="115"/>
      <c r="AF243" s="115"/>
      <c r="AG243" s="115"/>
      <c r="AH243" s="115"/>
      <c r="AI243" s="115"/>
      <c r="AJ243" s="115"/>
      <c r="AK243" s="115"/>
      <c r="AL243" s="115"/>
      <c r="AM243" s="115"/>
      <c r="AN243" s="115"/>
      <c r="AO243" s="115"/>
      <c r="AP243" s="115"/>
      <c r="AQ243" s="115"/>
      <c r="AR243" s="115"/>
      <c r="AS243" s="115"/>
      <c r="AT243" s="115"/>
      <c r="AU243" s="115"/>
    </row>
    <row r="244" spans="1:47" ht="67.2" customHeight="1" thickBot="1" x14ac:dyDescent="0.4">
      <c r="A244" s="115"/>
      <c r="B244" s="1387"/>
      <c r="C244" s="1387"/>
      <c r="D244" s="115"/>
      <c r="E244" s="115"/>
      <c r="F244" s="115"/>
      <c r="G244" s="115"/>
      <c r="H244" s="115"/>
      <c r="I244" s="115"/>
      <c r="J244" s="115"/>
      <c r="K244" s="115"/>
      <c r="L244" s="115"/>
      <c r="M244" s="115"/>
      <c r="N244" s="115"/>
      <c r="O244" s="115"/>
      <c r="P244" s="115"/>
      <c r="Q244" s="115"/>
      <c r="R244" s="115"/>
      <c r="S244" s="115"/>
      <c r="T244" s="115"/>
      <c r="U244" s="115"/>
      <c r="V244" s="115"/>
      <c r="W244" s="115"/>
      <c r="X244" s="115"/>
      <c r="Y244" s="115"/>
      <c r="Z244" s="115"/>
      <c r="AA244" s="115"/>
      <c r="AB244" s="115"/>
      <c r="AC244" s="115"/>
      <c r="AD244" s="115"/>
      <c r="AE244" s="115"/>
      <c r="AF244" s="115"/>
      <c r="AG244" s="115"/>
      <c r="AH244" s="115"/>
      <c r="AI244" s="115"/>
      <c r="AJ244" s="115"/>
      <c r="AK244" s="115"/>
      <c r="AL244" s="115"/>
      <c r="AM244" s="115"/>
      <c r="AN244" s="115"/>
      <c r="AO244" s="115"/>
      <c r="AP244" s="115"/>
      <c r="AQ244" s="115"/>
      <c r="AR244" s="115"/>
      <c r="AS244" s="115"/>
      <c r="AT244" s="115"/>
      <c r="AU244" s="115"/>
    </row>
    <row r="245" spans="1:47" ht="67.2" customHeight="1" thickBot="1" x14ac:dyDescent="0.4">
      <c r="A245" s="115"/>
      <c r="B245" s="1387"/>
      <c r="C245" s="1387"/>
      <c r="D245" s="115"/>
      <c r="E245" s="115"/>
      <c r="F245" s="115"/>
      <c r="G245" s="115"/>
      <c r="H245" s="115"/>
      <c r="I245" s="115"/>
      <c r="J245" s="115"/>
      <c r="K245" s="115"/>
      <c r="L245" s="115"/>
      <c r="M245" s="115"/>
      <c r="N245" s="115"/>
      <c r="O245" s="115"/>
      <c r="P245" s="115"/>
      <c r="Q245" s="115"/>
      <c r="R245" s="115"/>
      <c r="S245" s="115"/>
      <c r="T245" s="115"/>
      <c r="U245" s="115"/>
      <c r="V245" s="115"/>
      <c r="W245" s="115"/>
      <c r="X245" s="115"/>
      <c r="Y245" s="115"/>
      <c r="Z245" s="115"/>
      <c r="AA245" s="115"/>
      <c r="AB245" s="115"/>
      <c r="AC245" s="115"/>
      <c r="AD245" s="115"/>
      <c r="AE245" s="115"/>
      <c r="AF245" s="115"/>
      <c r="AG245" s="115"/>
      <c r="AH245" s="115"/>
      <c r="AI245" s="115"/>
      <c r="AJ245" s="115"/>
      <c r="AK245" s="115"/>
      <c r="AL245" s="115"/>
      <c r="AM245" s="115"/>
      <c r="AN245" s="115"/>
      <c r="AO245" s="115"/>
      <c r="AP245" s="115"/>
      <c r="AQ245" s="115"/>
      <c r="AR245" s="115"/>
      <c r="AS245" s="115"/>
      <c r="AT245" s="115"/>
      <c r="AU245" s="115"/>
    </row>
    <row r="246" spans="1:47" ht="67.2" customHeight="1" thickBot="1" x14ac:dyDescent="0.4">
      <c r="A246" s="115"/>
      <c r="B246" s="1387"/>
      <c r="C246" s="1387"/>
      <c r="D246" s="115"/>
      <c r="E246" s="115"/>
      <c r="F246" s="115"/>
      <c r="G246" s="115"/>
      <c r="H246" s="115"/>
      <c r="I246" s="115"/>
      <c r="J246" s="115"/>
      <c r="K246" s="115"/>
      <c r="L246" s="115"/>
      <c r="M246" s="115"/>
      <c r="N246" s="115"/>
      <c r="O246" s="115"/>
      <c r="P246" s="115"/>
      <c r="Q246" s="115"/>
      <c r="R246" s="115"/>
      <c r="S246" s="115"/>
      <c r="T246" s="115"/>
      <c r="U246" s="115"/>
      <c r="V246" s="115"/>
      <c r="W246" s="115"/>
      <c r="X246" s="115"/>
      <c r="Y246" s="115"/>
      <c r="Z246" s="115"/>
      <c r="AA246" s="115"/>
      <c r="AB246" s="115"/>
      <c r="AC246" s="115"/>
      <c r="AD246" s="115"/>
      <c r="AE246" s="115"/>
      <c r="AF246" s="115"/>
      <c r="AG246" s="115"/>
      <c r="AH246" s="115"/>
      <c r="AI246" s="115"/>
      <c r="AJ246" s="115"/>
      <c r="AK246" s="115"/>
      <c r="AL246" s="115"/>
      <c r="AM246" s="115"/>
      <c r="AN246" s="115"/>
      <c r="AO246" s="115"/>
      <c r="AP246" s="115"/>
      <c r="AQ246" s="115"/>
      <c r="AR246" s="115"/>
      <c r="AS246" s="115"/>
      <c r="AT246" s="115"/>
      <c r="AU246" s="115"/>
    </row>
    <row r="247" spans="1:47" ht="67.2" customHeight="1" thickBot="1" x14ac:dyDescent="0.4">
      <c r="A247" s="115"/>
      <c r="B247" s="1387"/>
      <c r="C247" s="1387"/>
      <c r="D247" s="115"/>
      <c r="E247" s="115"/>
      <c r="F247" s="115"/>
      <c r="G247" s="115"/>
      <c r="H247" s="115"/>
      <c r="I247" s="115"/>
      <c r="J247" s="115"/>
      <c r="K247" s="115"/>
      <c r="L247" s="115"/>
      <c r="M247" s="115"/>
      <c r="N247" s="115"/>
      <c r="O247" s="115"/>
      <c r="P247" s="115"/>
      <c r="Q247" s="115"/>
      <c r="R247" s="115"/>
      <c r="S247" s="115"/>
      <c r="T247" s="115"/>
      <c r="U247" s="115"/>
      <c r="V247" s="115"/>
      <c r="W247" s="115"/>
      <c r="X247" s="115"/>
      <c r="Y247" s="115"/>
      <c r="Z247" s="115"/>
      <c r="AA247" s="115"/>
      <c r="AB247" s="115"/>
      <c r="AC247" s="115"/>
      <c r="AD247" s="115"/>
      <c r="AE247" s="115"/>
      <c r="AF247" s="115"/>
      <c r="AG247" s="115"/>
      <c r="AH247" s="115"/>
      <c r="AI247" s="115"/>
      <c r="AJ247" s="115"/>
      <c r="AK247" s="115"/>
      <c r="AL247" s="115"/>
      <c r="AM247" s="115"/>
      <c r="AN247" s="115"/>
      <c r="AO247" s="115"/>
      <c r="AP247" s="115"/>
      <c r="AQ247" s="115"/>
      <c r="AR247" s="115"/>
      <c r="AS247" s="115"/>
      <c r="AT247" s="115"/>
      <c r="AU247" s="115"/>
    </row>
    <row r="248" spans="1:47" ht="67.2" customHeight="1" thickBot="1" x14ac:dyDescent="0.4">
      <c r="A248" s="115"/>
      <c r="B248" s="1387"/>
      <c r="C248" s="1387"/>
      <c r="D248" s="115"/>
      <c r="E248" s="115"/>
      <c r="F248" s="115"/>
      <c r="G248" s="115"/>
      <c r="H248" s="115"/>
      <c r="I248" s="115"/>
      <c r="J248" s="115"/>
      <c r="K248" s="115"/>
      <c r="L248" s="115"/>
      <c r="M248" s="115"/>
      <c r="N248" s="115"/>
      <c r="O248" s="115"/>
      <c r="P248" s="115"/>
      <c r="Q248" s="115"/>
      <c r="R248" s="115"/>
      <c r="S248" s="115"/>
      <c r="T248" s="115"/>
      <c r="U248" s="115"/>
      <c r="V248" s="115"/>
      <c r="W248" s="115"/>
      <c r="X248" s="115"/>
      <c r="Y248" s="115"/>
      <c r="Z248" s="115"/>
      <c r="AA248" s="115"/>
      <c r="AB248" s="115"/>
      <c r="AC248" s="115"/>
      <c r="AD248" s="115"/>
      <c r="AE248" s="115"/>
      <c r="AF248" s="115"/>
      <c r="AG248" s="115"/>
      <c r="AH248" s="115"/>
      <c r="AI248" s="115"/>
      <c r="AJ248" s="115"/>
      <c r="AK248" s="115"/>
      <c r="AL248" s="115"/>
      <c r="AM248" s="115"/>
      <c r="AN248" s="115"/>
      <c r="AO248" s="115"/>
      <c r="AP248" s="115"/>
      <c r="AQ248" s="115"/>
      <c r="AR248" s="115"/>
      <c r="AS248" s="115"/>
      <c r="AT248" s="115"/>
      <c r="AU248" s="115"/>
    </row>
    <row r="249" spans="1:47" ht="67.2" customHeight="1" thickBot="1" x14ac:dyDescent="0.4">
      <c r="A249" s="115"/>
      <c r="B249" s="1387"/>
      <c r="C249" s="1387"/>
      <c r="D249" s="115"/>
      <c r="E249" s="115"/>
      <c r="F249" s="115"/>
      <c r="G249" s="115"/>
      <c r="H249" s="115"/>
      <c r="I249" s="115"/>
      <c r="J249" s="115"/>
      <c r="K249" s="115"/>
      <c r="L249" s="115"/>
      <c r="M249" s="115"/>
      <c r="N249" s="115"/>
      <c r="O249" s="115"/>
      <c r="P249" s="115"/>
      <c r="Q249" s="115"/>
      <c r="R249" s="115"/>
      <c r="S249" s="115"/>
      <c r="T249" s="115"/>
      <c r="U249" s="115"/>
      <c r="V249" s="115"/>
      <c r="W249" s="115"/>
      <c r="X249" s="115"/>
      <c r="Y249" s="115"/>
      <c r="Z249" s="115"/>
      <c r="AA249" s="115"/>
      <c r="AB249" s="115"/>
      <c r="AC249" s="115"/>
      <c r="AD249" s="115"/>
      <c r="AE249" s="115"/>
      <c r="AF249" s="115"/>
      <c r="AG249" s="115"/>
      <c r="AH249" s="115"/>
      <c r="AI249" s="115"/>
      <c r="AJ249" s="115"/>
      <c r="AK249" s="115"/>
      <c r="AL249" s="115"/>
      <c r="AM249" s="115"/>
      <c r="AN249" s="115"/>
      <c r="AO249" s="115"/>
      <c r="AP249" s="115"/>
      <c r="AQ249" s="115"/>
      <c r="AR249" s="115"/>
      <c r="AS249" s="115"/>
      <c r="AT249" s="115"/>
      <c r="AU249" s="115"/>
    </row>
    <row r="250" spans="1:47" ht="67.2" customHeight="1" thickBot="1" x14ac:dyDescent="0.4">
      <c r="A250" s="115"/>
      <c r="B250" s="1387"/>
      <c r="C250" s="1387"/>
      <c r="D250" s="115"/>
      <c r="E250" s="115"/>
      <c r="F250" s="115"/>
      <c r="G250" s="115"/>
      <c r="H250" s="115"/>
      <c r="I250" s="115"/>
      <c r="J250" s="115"/>
      <c r="K250" s="115"/>
      <c r="L250" s="115"/>
      <c r="M250" s="115"/>
      <c r="N250" s="115"/>
      <c r="O250" s="115"/>
      <c r="P250" s="115"/>
      <c r="Q250" s="115"/>
      <c r="R250" s="115"/>
      <c r="S250" s="115"/>
      <c r="T250" s="115"/>
      <c r="U250" s="115"/>
      <c r="V250" s="115"/>
      <c r="W250" s="115"/>
      <c r="X250" s="115"/>
      <c r="Y250" s="115"/>
      <c r="Z250" s="115"/>
      <c r="AA250" s="115"/>
      <c r="AB250" s="115"/>
      <c r="AC250" s="115"/>
      <c r="AD250" s="115"/>
      <c r="AE250" s="115"/>
      <c r="AF250" s="115"/>
      <c r="AG250" s="115"/>
      <c r="AH250" s="115"/>
      <c r="AI250" s="115"/>
      <c r="AJ250" s="115"/>
      <c r="AK250" s="115"/>
      <c r="AL250" s="115"/>
      <c r="AM250" s="115"/>
      <c r="AN250" s="115"/>
      <c r="AO250" s="115"/>
      <c r="AP250" s="115"/>
      <c r="AQ250" s="115"/>
      <c r="AR250" s="115"/>
      <c r="AS250" s="115"/>
      <c r="AT250" s="115"/>
      <c r="AU250" s="115"/>
    </row>
    <row r="251" spans="1:47" ht="67.2" customHeight="1" thickBot="1" x14ac:dyDescent="0.4">
      <c r="A251" s="115"/>
      <c r="B251" s="1387"/>
      <c r="C251" s="1387"/>
      <c r="D251" s="115"/>
      <c r="E251" s="115"/>
      <c r="F251" s="115"/>
      <c r="G251" s="115"/>
      <c r="H251" s="115"/>
      <c r="I251" s="115"/>
      <c r="J251" s="115"/>
      <c r="K251" s="115"/>
      <c r="L251" s="115"/>
      <c r="M251" s="115"/>
      <c r="N251" s="115"/>
      <c r="O251" s="115"/>
      <c r="P251" s="115"/>
      <c r="Q251" s="115"/>
      <c r="R251" s="115"/>
      <c r="S251" s="115"/>
      <c r="T251" s="115"/>
      <c r="U251" s="115"/>
      <c r="V251" s="115"/>
      <c r="W251" s="115"/>
      <c r="X251" s="115"/>
      <c r="Y251" s="115"/>
      <c r="Z251" s="115"/>
      <c r="AA251" s="115"/>
      <c r="AB251" s="115"/>
      <c r="AC251" s="115"/>
      <c r="AD251" s="115"/>
      <c r="AE251" s="115"/>
      <c r="AF251" s="115"/>
      <c r="AG251" s="115"/>
      <c r="AH251" s="115"/>
      <c r="AI251" s="115"/>
      <c r="AJ251" s="115"/>
      <c r="AK251" s="115"/>
      <c r="AL251" s="115"/>
      <c r="AM251" s="115"/>
      <c r="AN251" s="115"/>
      <c r="AO251" s="115"/>
      <c r="AP251" s="115"/>
      <c r="AQ251" s="115"/>
      <c r="AR251" s="115"/>
      <c r="AS251" s="115"/>
      <c r="AT251" s="115"/>
      <c r="AU251" s="115"/>
    </row>
    <row r="252" spans="1:47" ht="67.2" customHeight="1" thickBot="1" x14ac:dyDescent="0.4">
      <c r="A252" s="115"/>
      <c r="B252" s="1387"/>
      <c r="C252" s="1387"/>
      <c r="D252" s="115"/>
      <c r="E252" s="115"/>
      <c r="F252" s="115"/>
      <c r="G252" s="115"/>
      <c r="H252" s="115"/>
      <c r="I252" s="115"/>
      <c r="J252" s="115"/>
      <c r="K252" s="115"/>
      <c r="L252" s="115"/>
      <c r="M252" s="115"/>
      <c r="N252" s="115"/>
      <c r="O252" s="115"/>
      <c r="P252" s="115"/>
      <c r="Q252" s="115"/>
      <c r="R252" s="115"/>
      <c r="S252" s="115"/>
      <c r="T252" s="115"/>
      <c r="U252" s="115"/>
      <c r="V252" s="115"/>
      <c r="W252" s="115"/>
      <c r="X252" s="115"/>
      <c r="Y252" s="115"/>
      <c r="Z252" s="115"/>
      <c r="AA252" s="115"/>
      <c r="AB252" s="115"/>
      <c r="AC252" s="115"/>
      <c r="AD252" s="115"/>
      <c r="AE252" s="115"/>
      <c r="AF252" s="115"/>
      <c r="AG252" s="115"/>
      <c r="AH252" s="115"/>
      <c r="AI252" s="115"/>
      <c r="AJ252" s="115"/>
      <c r="AK252" s="115"/>
      <c r="AL252" s="115"/>
      <c r="AM252" s="115"/>
      <c r="AN252" s="115"/>
      <c r="AO252" s="115"/>
      <c r="AP252" s="115"/>
      <c r="AQ252" s="115"/>
      <c r="AR252" s="115"/>
      <c r="AS252" s="115"/>
      <c r="AT252" s="115"/>
      <c r="AU252" s="115"/>
    </row>
    <row r="253" spans="1:47" ht="67.2" customHeight="1" thickBot="1" x14ac:dyDescent="0.4">
      <c r="A253" s="115"/>
      <c r="B253" s="1387"/>
      <c r="C253" s="1387"/>
      <c r="D253" s="115"/>
      <c r="E253" s="115"/>
      <c r="F253" s="115"/>
      <c r="G253" s="115"/>
      <c r="H253" s="115"/>
      <c r="I253" s="115"/>
      <c r="J253" s="115"/>
      <c r="K253" s="115"/>
      <c r="L253" s="115"/>
      <c r="M253" s="115"/>
      <c r="N253" s="115"/>
      <c r="O253" s="115"/>
      <c r="P253" s="115"/>
      <c r="Q253" s="115"/>
      <c r="R253" s="115"/>
      <c r="S253" s="115"/>
      <c r="T253" s="115"/>
      <c r="U253" s="115"/>
      <c r="V253" s="115"/>
      <c r="W253" s="115"/>
      <c r="X253" s="115"/>
      <c r="Y253" s="115"/>
      <c r="Z253" s="115"/>
      <c r="AA253" s="115"/>
      <c r="AB253" s="115"/>
      <c r="AC253" s="115"/>
      <c r="AD253" s="115"/>
      <c r="AE253" s="115"/>
      <c r="AF253" s="115"/>
      <c r="AG253" s="115"/>
      <c r="AH253" s="115"/>
      <c r="AI253" s="115"/>
      <c r="AJ253" s="115"/>
      <c r="AK253" s="115"/>
      <c r="AL253" s="115"/>
      <c r="AM253" s="115"/>
      <c r="AN253" s="115"/>
      <c r="AO253" s="115"/>
      <c r="AP253" s="115"/>
      <c r="AQ253" s="115"/>
      <c r="AR253" s="115"/>
      <c r="AS253" s="115"/>
      <c r="AT253" s="115"/>
      <c r="AU253" s="115"/>
    </row>
    <row r="254" spans="1:47" ht="67.2" customHeight="1" thickBot="1" x14ac:dyDescent="0.4">
      <c r="A254" s="115"/>
      <c r="B254" s="1387"/>
      <c r="C254" s="1387"/>
      <c r="D254" s="115"/>
      <c r="E254" s="115"/>
      <c r="F254" s="115"/>
      <c r="G254" s="115"/>
      <c r="H254" s="115"/>
      <c r="I254" s="115"/>
      <c r="J254" s="115"/>
      <c r="K254" s="115"/>
      <c r="L254" s="115"/>
      <c r="M254" s="115"/>
      <c r="N254" s="115"/>
      <c r="O254" s="115"/>
      <c r="P254" s="115"/>
      <c r="Q254" s="115"/>
      <c r="R254" s="115"/>
      <c r="S254" s="115"/>
      <c r="T254" s="115"/>
      <c r="U254" s="115"/>
      <c r="V254" s="115"/>
      <c r="W254" s="115"/>
      <c r="X254" s="115"/>
      <c r="Y254" s="115"/>
      <c r="Z254" s="115"/>
      <c r="AA254" s="115"/>
      <c r="AB254" s="115"/>
      <c r="AC254" s="115"/>
      <c r="AD254" s="115"/>
      <c r="AE254" s="115"/>
      <c r="AF254" s="115"/>
      <c r="AG254" s="115"/>
      <c r="AH254" s="115"/>
      <c r="AI254" s="115"/>
      <c r="AJ254" s="115"/>
      <c r="AK254" s="115"/>
      <c r="AL254" s="115"/>
      <c r="AM254" s="115"/>
      <c r="AN254" s="115"/>
      <c r="AO254" s="115"/>
      <c r="AP254" s="115"/>
      <c r="AQ254" s="115"/>
      <c r="AR254" s="115"/>
      <c r="AS254" s="115"/>
      <c r="AT254" s="115"/>
      <c r="AU254" s="115"/>
    </row>
    <row r="255" spans="1:47" ht="67.2" customHeight="1" thickBot="1" x14ac:dyDescent="0.4">
      <c r="A255" s="115"/>
      <c r="B255" s="1387"/>
      <c r="C255" s="1387"/>
      <c r="D255" s="115"/>
      <c r="E255" s="115"/>
      <c r="F255" s="115"/>
      <c r="G255" s="115"/>
      <c r="H255" s="115"/>
      <c r="I255" s="115"/>
      <c r="J255" s="115"/>
      <c r="K255" s="115"/>
      <c r="L255" s="115"/>
      <c r="M255" s="115"/>
      <c r="N255" s="115"/>
      <c r="O255" s="115"/>
      <c r="P255" s="115"/>
      <c r="Q255" s="115"/>
      <c r="R255" s="115"/>
      <c r="S255" s="115"/>
      <c r="T255" s="115"/>
      <c r="U255" s="115"/>
      <c r="V255" s="115"/>
      <c r="W255" s="115"/>
      <c r="X255" s="115"/>
      <c r="Y255" s="115"/>
      <c r="Z255" s="115"/>
      <c r="AA255" s="115"/>
      <c r="AB255" s="115"/>
      <c r="AC255" s="115"/>
      <c r="AD255" s="115"/>
      <c r="AE255" s="115"/>
      <c r="AF255" s="115"/>
      <c r="AG255" s="115"/>
      <c r="AH255" s="115"/>
      <c r="AI255" s="115"/>
      <c r="AJ255" s="115"/>
      <c r="AK255" s="115"/>
      <c r="AL255" s="115"/>
      <c r="AM255" s="115"/>
      <c r="AN255" s="115"/>
      <c r="AO255" s="115"/>
      <c r="AP255" s="115"/>
      <c r="AQ255" s="115"/>
      <c r="AR255" s="115"/>
      <c r="AS255" s="115"/>
      <c r="AT255" s="115"/>
      <c r="AU255" s="115"/>
    </row>
    <row r="256" spans="1:47" ht="67.2" customHeight="1" thickBot="1" x14ac:dyDescent="0.4">
      <c r="A256" s="115"/>
      <c r="B256" s="1387"/>
      <c r="C256" s="1387"/>
      <c r="D256" s="115"/>
      <c r="E256" s="115"/>
      <c r="F256" s="115"/>
      <c r="G256" s="115"/>
      <c r="H256" s="115"/>
      <c r="I256" s="115"/>
      <c r="J256" s="115"/>
      <c r="K256" s="115"/>
      <c r="L256" s="115"/>
      <c r="M256" s="115"/>
      <c r="N256" s="115"/>
      <c r="O256" s="115"/>
      <c r="P256" s="115"/>
      <c r="Q256" s="115"/>
      <c r="R256" s="115"/>
      <c r="S256" s="115"/>
      <c r="T256" s="115"/>
      <c r="U256" s="115"/>
      <c r="V256" s="115"/>
      <c r="W256" s="115"/>
      <c r="X256" s="115"/>
      <c r="Y256" s="115"/>
      <c r="Z256" s="115"/>
      <c r="AA256" s="115"/>
      <c r="AB256" s="115"/>
      <c r="AC256" s="115"/>
      <c r="AD256" s="115"/>
      <c r="AE256" s="115"/>
      <c r="AF256" s="115"/>
      <c r="AG256" s="115"/>
      <c r="AH256" s="115"/>
      <c r="AI256" s="115"/>
      <c r="AJ256" s="115"/>
      <c r="AK256" s="115"/>
      <c r="AL256" s="115"/>
      <c r="AM256" s="115"/>
      <c r="AN256" s="115"/>
      <c r="AO256" s="115"/>
      <c r="AP256" s="115"/>
      <c r="AQ256" s="115"/>
      <c r="AR256" s="115"/>
      <c r="AS256" s="115"/>
      <c r="AT256" s="115"/>
      <c r="AU256" s="115"/>
    </row>
    <row r="257" spans="1:47" ht="67.2" customHeight="1" thickBot="1" x14ac:dyDescent="0.4">
      <c r="A257" s="115"/>
      <c r="B257" s="1387"/>
      <c r="C257" s="1387"/>
      <c r="D257" s="115"/>
      <c r="E257" s="115"/>
      <c r="F257" s="115"/>
      <c r="G257" s="115"/>
      <c r="H257" s="115"/>
      <c r="I257" s="115"/>
      <c r="J257" s="115"/>
      <c r="K257" s="115"/>
      <c r="L257" s="115"/>
      <c r="M257" s="115"/>
      <c r="N257" s="115"/>
      <c r="O257" s="115"/>
      <c r="P257" s="115"/>
      <c r="Q257" s="115"/>
      <c r="R257" s="115"/>
      <c r="S257" s="115"/>
      <c r="T257" s="115"/>
      <c r="U257" s="115"/>
      <c r="V257" s="115"/>
      <c r="W257" s="115"/>
      <c r="X257" s="115"/>
      <c r="Y257" s="115"/>
      <c r="Z257" s="115"/>
      <c r="AA257" s="115"/>
      <c r="AB257" s="115"/>
      <c r="AC257" s="115"/>
      <c r="AD257" s="115"/>
      <c r="AE257" s="115"/>
      <c r="AF257" s="115"/>
      <c r="AG257" s="115"/>
      <c r="AH257" s="115"/>
      <c r="AI257" s="115"/>
      <c r="AJ257" s="115"/>
      <c r="AK257" s="115"/>
      <c r="AL257" s="115"/>
      <c r="AM257" s="115"/>
      <c r="AN257" s="115"/>
      <c r="AO257" s="115"/>
      <c r="AP257" s="115"/>
      <c r="AQ257" s="115"/>
      <c r="AR257" s="115"/>
      <c r="AS257" s="115"/>
      <c r="AT257" s="115"/>
      <c r="AU257" s="115"/>
    </row>
    <row r="258" spans="1:47" ht="67.2" customHeight="1" thickBot="1" x14ac:dyDescent="0.4">
      <c r="A258" s="115"/>
      <c r="B258" s="1387"/>
      <c r="C258" s="1387"/>
      <c r="D258" s="115"/>
      <c r="E258" s="115"/>
      <c r="F258" s="115"/>
      <c r="G258" s="115"/>
      <c r="H258" s="115"/>
      <c r="I258" s="115"/>
      <c r="J258" s="115"/>
      <c r="K258" s="115"/>
      <c r="L258" s="115"/>
      <c r="M258" s="115"/>
      <c r="N258" s="115"/>
      <c r="O258" s="115"/>
      <c r="P258" s="115"/>
      <c r="Q258" s="115"/>
      <c r="R258" s="115"/>
      <c r="S258" s="115"/>
      <c r="T258" s="115"/>
      <c r="U258" s="115"/>
      <c r="V258" s="115"/>
      <c r="W258" s="115"/>
      <c r="X258" s="115"/>
      <c r="Y258" s="115"/>
      <c r="Z258" s="115"/>
      <c r="AA258" s="115"/>
      <c r="AB258" s="115"/>
      <c r="AC258" s="115"/>
      <c r="AD258" s="115"/>
      <c r="AE258" s="115"/>
      <c r="AF258" s="115"/>
      <c r="AG258" s="115"/>
      <c r="AH258" s="115"/>
      <c r="AI258" s="115"/>
      <c r="AJ258" s="115"/>
      <c r="AK258" s="115"/>
      <c r="AL258" s="115"/>
      <c r="AM258" s="115"/>
      <c r="AN258" s="115"/>
      <c r="AO258" s="115"/>
      <c r="AP258" s="115"/>
      <c r="AQ258" s="115"/>
      <c r="AR258" s="115"/>
      <c r="AS258" s="115"/>
      <c r="AT258" s="115"/>
      <c r="AU258" s="115"/>
    </row>
    <row r="259" spans="1:47" ht="67.2" customHeight="1" thickBot="1" x14ac:dyDescent="0.4">
      <c r="A259" s="115"/>
      <c r="B259" s="1387"/>
      <c r="C259" s="1387"/>
      <c r="D259" s="115"/>
      <c r="E259" s="115"/>
      <c r="F259" s="115"/>
      <c r="G259" s="115"/>
      <c r="H259" s="115"/>
      <c r="I259" s="115"/>
      <c r="J259" s="115"/>
      <c r="K259" s="115"/>
      <c r="L259" s="115"/>
      <c r="M259" s="115"/>
      <c r="N259" s="115"/>
      <c r="O259" s="115"/>
      <c r="P259" s="115"/>
      <c r="Q259" s="115"/>
      <c r="R259" s="115"/>
      <c r="S259" s="115"/>
      <c r="T259" s="115"/>
      <c r="U259" s="115"/>
      <c r="V259" s="115"/>
      <c r="W259" s="115"/>
      <c r="X259" s="115"/>
      <c r="Y259" s="115"/>
      <c r="Z259" s="115"/>
      <c r="AA259" s="115"/>
      <c r="AB259" s="115"/>
      <c r="AC259" s="115"/>
      <c r="AD259" s="115"/>
      <c r="AE259" s="115"/>
      <c r="AF259" s="115"/>
      <c r="AG259" s="115"/>
      <c r="AH259" s="115"/>
      <c r="AI259" s="115"/>
      <c r="AJ259" s="115"/>
      <c r="AK259" s="115"/>
      <c r="AL259" s="115"/>
      <c r="AM259" s="115"/>
      <c r="AN259" s="115"/>
      <c r="AO259" s="115"/>
      <c r="AP259" s="115"/>
      <c r="AQ259" s="115"/>
      <c r="AR259" s="115"/>
      <c r="AS259" s="115"/>
      <c r="AT259" s="115"/>
      <c r="AU259" s="115"/>
    </row>
    <row r="260" spans="1:47" ht="67.2" customHeight="1" thickBot="1" x14ac:dyDescent="0.4">
      <c r="A260" s="115"/>
      <c r="B260" s="1387"/>
      <c r="C260" s="1387"/>
      <c r="D260" s="115"/>
      <c r="E260" s="115"/>
      <c r="F260" s="115"/>
      <c r="G260" s="115"/>
      <c r="H260" s="115"/>
      <c r="I260" s="115"/>
      <c r="J260" s="115"/>
      <c r="K260" s="115"/>
      <c r="L260" s="115"/>
      <c r="M260" s="115"/>
      <c r="N260" s="115"/>
      <c r="O260" s="115"/>
      <c r="P260" s="115"/>
      <c r="Q260" s="115"/>
      <c r="R260" s="115"/>
      <c r="S260" s="115"/>
      <c r="T260" s="115"/>
      <c r="U260" s="115"/>
      <c r="V260" s="115"/>
      <c r="W260" s="115"/>
      <c r="X260" s="115"/>
      <c r="Y260" s="115"/>
      <c r="Z260" s="115"/>
      <c r="AA260" s="115"/>
      <c r="AB260" s="115"/>
      <c r="AC260" s="115"/>
      <c r="AD260" s="115"/>
      <c r="AE260" s="115"/>
      <c r="AF260" s="115"/>
      <c r="AG260" s="115"/>
      <c r="AH260" s="115"/>
      <c r="AI260" s="115"/>
      <c r="AJ260" s="115"/>
      <c r="AK260" s="115"/>
      <c r="AL260" s="115"/>
      <c r="AM260" s="115"/>
      <c r="AN260" s="115"/>
      <c r="AO260" s="115"/>
      <c r="AP260" s="115"/>
      <c r="AQ260" s="115"/>
      <c r="AR260" s="115"/>
      <c r="AS260" s="115"/>
      <c r="AT260" s="115"/>
      <c r="AU260" s="115"/>
    </row>
    <row r="261" spans="1:47" ht="67.2" customHeight="1" thickBot="1" x14ac:dyDescent="0.4">
      <c r="A261" s="115"/>
      <c r="B261" s="1387"/>
      <c r="C261" s="1387"/>
      <c r="D261" s="115"/>
      <c r="E261" s="115"/>
      <c r="F261" s="115"/>
      <c r="G261" s="115"/>
      <c r="H261" s="115"/>
      <c r="I261" s="115"/>
      <c r="J261" s="115"/>
      <c r="K261" s="115"/>
      <c r="L261" s="115"/>
      <c r="M261" s="115"/>
      <c r="N261" s="115"/>
      <c r="O261" s="115"/>
      <c r="P261" s="115"/>
      <c r="Q261" s="115"/>
      <c r="R261" s="115"/>
      <c r="S261" s="115"/>
      <c r="T261" s="115"/>
      <c r="U261" s="115"/>
      <c r="V261" s="115"/>
      <c r="W261" s="115"/>
      <c r="X261" s="115"/>
      <c r="Y261" s="115"/>
      <c r="Z261" s="115"/>
      <c r="AA261" s="115"/>
      <c r="AB261" s="115"/>
      <c r="AC261" s="115"/>
      <c r="AD261" s="115"/>
      <c r="AE261" s="115"/>
      <c r="AF261" s="115"/>
      <c r="AG261" s="115"/>
      <c r="AH261" s="115"/>
      <c r="AI261" s="115"/>
      <c r="AJ261" s="115"/>
      <c r="AK261" s="115"/>
      <c r="AL261" s="115"/>
      <c r="AM261" s="115"/>
      <c r="AN261" s="115"/>
      <c r="AO261" s="115"/>
      <c r="AP261" s="115"/>
      <c r="AQ261" s="115"/>
      <c r="AR261" s="115"/>
      <c r="AS261" s="115"/>
      <c r="AT261" s="115"/>
      <c r="AU261" s="115"/>
    </row>
    <row r="262" spans="1:47" ht="67.2" customHeight="1" thickBot="1" x14ac:dyDescent="0.4">
      <c r="A262" s="115"/>
      <c r="B262" s="1387"/>
      <c r="C262" s="1387"/>
      <c r="D262" s="115"/>
      <c r="E262" s="115"/>
      <c r="F262" s="115"/>
      <c r="G262" s="115"/>
      <c r="H262" s="115"/>
      <c r="I262" s="115"/>
      <c r="J262" s="115"/>
      <c r="K262" s="115"/>
      <c r="L262" s="115"/>
      <c r="M262" s="115"/>
      <c r="N262" s="115"/>
      <c r="O262" s="115"/>
      <c r="P262" s="115"/>
      <c r="Q262" s="115"/>
      <c r="R262" s="115"/>
      <c r="S262" s="115"/>
      <c r="T262" s="115"/>
      <c r="U262" s="115"/>
      <c r="V262" s="115"/>
      <c r="W262" s="115"/>
      <c r="X262" s="115"/>
      <c r="Y262" s="115"/>
      <c r="Z262" s="115"/>
      <c r="AA262" s="115"/>
      <c r="AB262" s="115"/>
      <c r="AC262" s="115"/>
      <c r="AD262" s="115"/>
      <c r="AE262" s="115"/>
      <c r="AF262" s="115"/>
      <c r="AG262" s="115"/>
      <c r="AH262" s="115"/>
      <c r="AI262" s="115"/>
      <c r="AJ262" s="115"/>
      <c r="AK262" s="115"/>
      <c r="AL262" s="115"/>
      <c r="AM262" s="115"/>
      <c r="AN262" s="115"/>
      <c r="AO262" s="115"/>
      <c r="AP262" s="115"/>
      <c r="AQ262" s="115"/>
      <c r="AR262" s="115"/>
      <c r="AS262" s="115"/>
      <c r="AT262" s="115"/>
      <c r="AU262" s="115"/>
    </row>
    <row r="263" spans="1:47" ht="67.2" customHeight="1" thickBot="1" x14ac:dyDescent="0.4">
      <c r="A263" s="115"/>
      <c r="B263" s="1387"/>
      <c r="C263" s="1387"/>
      <c r="D263" s="115"/>
      <c r="E263" s="115"/>
      <c r="F263" s="115"/>
      <c r="G263" s="115"/>
      <c r="H263" s="115"/>
      <c r="I263" s="115"/>
      <c r="J263" s="115"/>
      <c r="K263" s="115"/>
      <c r="L263" s="115"/>
      <c r="M263" s="115"/>
      <c r="N263" s="115"/>
      <c r="O263" s="115"/>
      <c r="P263" s="115"/>
      <c r="Q263" s="115"/>
      <c r="R263" s="115"/>
      <c r="S263" s="115"/>
      <c r="T263" s="115"/>
      <c r="U263" s="115"/>
      <c r="V263" s="115"/>
      <c r="W263" s="115"/>
      <c r="X263" s="115"/>
      <c r="Y263" s="115"/>
      <c r="Z263" s="115"/>
      <c r="AA263" s="115"/>
      <c r="AB263" s="115"/>
      <c r="AC263" s="115"/>
      <c r="AD263" s="115"/>
      <c r="AE263" s="115"/>
      <c r="AF263" s="115"/>
      <c r="AG263" s="115"/>
      <c r="AH263" s="115"/>
      <c r="AI263" s="115"/>
      <c r="AJ263" s="115"/>
      <c r="AK263" s="115"/>
      <c r="AL263" s="115"/>
      <c r="AM263" s="115"/>
      <c r="AN263" s="115"/>
      <c r="AO263" s="115"/>
      <c r="AP263" s="115"/>
      <c r="AQ263" s="115"/>
      <c r="AR263" s="115"/>
      <c r="AS263" s="115"/>
      <c r="AT263" s="115"/>
      <c r="AU263" s="115"/>
    </row>
    <row r="264" spans="1:47" ht="67.2" customHeight="1" thickBot="1" x14ac:dyDescent="0.4">
      <c r="A264" s="115"/>
      <c r="B264" s="1387"/>
      <c r="C264" s="1387"/>
      <c r="D264" s="115"/>
      <c r="E264" s="115"/>
      <c r="F264" s="115"/>
      <c r="G264" s="115"/>
      <c r="H264" s="115"/>
      <c r="I264" s="115"/>
      <c r="J264" s="115"/>
      <c r="K264" s="115"/>
      <c r="L264" s="115"/>
      <c r="M264" s="115"/>
      <c r="N264" s="115"/>
      <c r="O264" s="115"/>
      <c r="P264" s="115"/>
      <c r="Q264" s="115"/>
      <c r="R264" s="115"/>
      <c r="S264" s="115"/>
      <c r="T264" s="115"/>
      <c r="U264" s="115"/>
      <c r="V264" s="115"/>
      <c r="W264" s="115"/>
      <c r="X264" s="115"/>
      <c r="Y264" s="115"/>
      <c r="Z264" s="115"/>
      <c r="AA264" s="115"/>
      <c r="AB264" s="115"/>
      <c r="AC264" s="115"/>
      <c r="AD264" s="115"/>
      <c r="AE264" s="115"/>
      <c r="AF264" s="115"/>
      <c r="AG264" s="115"/>
      <c r="AH264" s="115"/>
      <c r="AI264" s="115"/>
      <c r="AJ264" s="115"/>
      <c r="AK264" s="115"/>
      <c r="AL264" s="115"/>
      <c r="AM264" s="115"/>
      <c r="AN264" s="115"/>
      <c r="AO264" s="115"/>
      <c r="AP264" s="115"/>
      <c r="AQ264" s="115"/>
      <c r="AR264" s="115"/>
      <c r="AS264" s="115"/>
      <c r="AT264" s="115"/>
      <c r="AU264" s="115"/>
    </row>
    <row r="265" spans="1:47" ht="67.2" customHeight="1" thickBot="1" x14ac:dyDescent="0.4">
      <c r="A265" s="115"/>
      <c r="B265" s="1387"/>
      <c r="C265" s="1387"/>
      <c r="D265" s="115"/>
      <c r="E265" s="115"/>
      <c r="F265" s="115"/>
      <c r="G265" s="115"/>
      <c r="H265" s="115"/>
      <c r="I265" s="115"/>
      <c r="J265" s="115"/>
      <c r="K265" s="115"/>
      <c r="L265" s="115"/>
      <c r="M265" s="115"/>
      <c r="N265" s="115"/>
      <c r="O265" s="115"/>
      <c r="P265" s="115"/>
      <c r="Q265" s="115"/>
      <c r="R265" s="115"/>
      <c r="S265" s="115"/>
      <c r="T265" s="115"/>
      <c r="U265" s="115"/>
      <c r="V265" s="115"/>
      <c r="W265" s="115"/>
      <c r="X265" s="115"/>
      <c r="Y265" s="115"/>
      <c r="Z265" s="115"/>
      <c r="AA265" s="115"/>
      <c r="AB265" s="115"/>
      <c r="AC265" s="115"/>
      <c r="AD265" s="115"/>
      <c r="AE265" s="115"/>
      <c r="AF265" s="115"/>
      <c r="AG265" s="115"/>
      <c r="AH265" s="115"/>
      <c r="AI265" s="115"/>
      <c r="AJ265" s="115"/>
      <c r="AK265" s="115"/>
      <c r="AL265" s="115"/>
      <c r="AM265" s="115"/>
      <c r="AN265" s="115"/>
      <c r="AO265" s="115"/>
      <c r="AP265" s="115"/>
      <c r="AQ265" s="115"/>
      <c r="AR265" s="115"/>
      <c r="AS265" s="115"/>
      <c r="AT265" s="115"/>
      <c r="AU265" s="115"/>
    </row>
    <row r="266" spans="1:47" ht="67.2" customHeight="1" thickBot="1" x14ac:dyDescent="0.4">
      <c r="A266" s="115"/>
      <c r="B266" s="1387"/>
      <c r="C266" s="1387"/>
      <c r="D266" s="115"/>
      <c r="E266" s="115"/>
      <c r="F266" s="115"/>
      <c r="G266" s="115"/>
      <c r="H266" s="115"/>
      <c r="I266" s="115"/>
      <c r="J266" s="115"/>
      <c r="K266" s="115"/>
      <c r="L266" s="115"/>
      <c r="M266" s="115"/>
      <c r="N266" s="115"/>
      <c r="O266" s="115"/>
      <c r="P266" s="115"/>
      <c r="Q266" s="115"/>
      <c r="R266" s="115"/>
      <c r="S266" s="115"/>
      <c r="T266" s="115"/>
      <c r="U266" s="115"/>
      <c r="V266" s="115"/>
      <c r="W266" s="115"/>
      <c r="X266" s="115"/>
      <c r="Y266" s="115"/>
      <c r="Z266" s="115"/>
      <c r="AA266" s="115"/>
      <c r="AB266" s="115"/>
      <c r="AC266" s="115"/>
      <c r="AD266" s="115"/>
      <c r="AE266" s="115"/>
      <c r="AF266" s="115"/>
      <c r="AG266" s="115"/>
      <c r="AH266" s="115"/>
      <c r="AI266" s="115"/>
      <c r="AJ266" s="115"/>
      <c r="AK266" s="115"/>
      <c r="AL266" s="115"/>
      <c r="AM266" s="115"/>
      <c r="AN266" s="115"/>
      <c r="AO266" s="115"/>
      <c r="AP266" s="115"/>
      <c r="AQ266" s="115"/>
      <c r="AR266" s="115"/>
      <c r="AS266" s="115"/>
      <c r="AT266" s="115"/>
      <c r="AU266" s="115"/>
    </row>
    <row r="267" spans="1:47" ht="67.2" customHeight="1" thickBot="1" x14ac:dyDescent="0.4">
      <c r="A267" s="115"/>
      <c r="B267" s="1387"/>
      <c r="C267" s="1387"/>
      <c r="D267" s="115"/>
      <c r="E267" s="115"/>
      <c r="F267" s="115"/>
      <c r="G267" s="115"/>
      <c r="H267" s="115"/>
      <c r="I267" s="115"/>
      <c r="J267" s="115"/>
      <c r="K267" s="115"/>
      <c r="L267" s="115"/>
      <c r="M267" s="115"/>
      <c r="N267" s="115"/>
      <c r="O267" s="115"/>
      <c r="P267" s="115"/>
      <c r="Q267" s="115"/>
      <c r="R267" s="115"/>
      <c r="S267" s="115"/>
      <c r="T267" s="115"/>
      <c r="U267" s="115"/>
      <c r="V267" s="115"/>
      <c r="W267" s="115"/>
      <c r="X267" s="115"/>
      <c r="Y267" s="115"/>
      <c r="Z267" s="115"/>
      <c r="AA267" s="115"/>
      <c r="AB267" s="115"/>
      <c r="AC267" s="115"/>
      <c r="AD267" s="115"/>
      <c r="AE267" s="115"/>
      <c r="AF267" s="115"/>
      <c r="AG267" s="115"/>
      <c r="AH267" s="115"/>
      <c r="AI267" s="115"/>
      <c r="AJ267" s="115"/>
      <c r="AK267" s="115"/>
      <c r="AL267" s="115"/>
      <c r="AM267" s="115"/>
      <c r="AN267" s="115"/>
      <c r="AO267" s="115"/>
      <c r="AP267" s="115"/>
      <c r="AQ267" s="115"/>
      <c r="AR267" s="115"/>
      <c r="AS267" s="115"/>
      <c r="AT267" s="115"/>
      <c r="AU267" s="115"/>
    </row>
    <row r="268" spans="1:47" ht="67.2" customHeight="1" thickBot="1" x14ac:dyDescent="0.4">
      <c r="A268" s="115"/>
      <c r="B268" s="1387"/>
      <c r="C268" s="1387"/>
      <c r="D268" s="115"/>
      <c r="E268" s="115"/>
      <c r="F268" s="115"/>
      <c r="G268" s="115"/>
      <c r="H268" s="115"/>
      <c r="I268" s="115"/>
      <c r="J268" s="115"/>
      <c r="K268" s="115"/>
      <c r="L268" s="115"/>
      <c r="M268" s="115"/>
      <c r="N268" s="115"/>
      <c r="O268" s="115"/>
      <c r="P268" s="115"/>
      <c r="Q268" s="115"/>
      <c r="R268" s="115"/>
      <c r="S268" s="115"/>
      <c r="T268" s="115"/>
      <c r="U268" s="115"/>
      <c r="V268" s="115"/>
      <c r="W268" s="115"/>
      <c r="X268" s="115"/>
      <c r="Y268" s="115"/>
      <c r="Z268" s="115"/>
      <c r="AA268" s="115"/>
      <c r="AB268" s="115"/>
      <c r="AC268" s="115"/>
      <c r="AD268" s="115"/>
      <c r="AE268" s="115"/>
      <c r="AF268" s="115"/>
      <c r="AG268" s="115"/>
      <c r="AH268" s="115"/>
      <c r="AI268" s="115"/>
      <c r="AJ268" s="115"/>
      <c r="AK268" s="115"/>
      <c r="AL268" s="115"/>
      <c r="AM268" s="115"/>
      <c r="AN268" s="115"/>
      <c r="AO268" s="115"/>
      <c r="AP268" s="115"/>
      <c r="AQ268" s="115"/>
      <c r="AR268" s="115"/>
      <c r="AS268" s="115"/>
      <c r="AT268" s="115"/>
      <c r="AU268" s="115"/>
    </row>
    <row r="269" spans="1:47" ht="67.2" customHeight="1" thickBot="1" x14ac:dyDescent="0.4">
      <c r="A269" s="115"/>
      <c r="B269" s="1387"/>
      <c r="C269" s="1387"/>
      <c r="D269" s="115"/>
      <c r="E269" s="115"/>
      <c r="F269" s="115"/>
      <c r="G269" s="115"/>
      <c r="H269" s="115"/>
      <c r="I269" s="115"/>
      <c r="J269" s="115"/>
      <c r="K269" s="115"/>
      <c r="L269" s="115"/>
      <c r="M269" s="115"/>
      <c r="N269" s="115"/>
      <c r="O269" s="115"/>
      <c r="P269" s="115"/>
      <c r="Q269" s="115"/>
      <c r="R269" s="115"/>
      <c r="S269" s="115"/>
      <c r="T269" s="115"/>
      <c r="U269" s="115"/>
      <c r="V269" s="115"/>
      <c r="W269" s="115"/>
      <c r="X269" s="115"/>
      <c r="Y269" s="115"/>
      <c r="Z269" s="115"/>
      <c r="AA269" s="115"/>
      <c r="AB269" s="115"/>
      <c r="AC269" s="115"/>
      <c r="AD269" s="115"/>
      <c r="AE269" s="115"/>
      <c r="AF269" s="115"/>
      <c r="AG269" s="115"/>
      <c r="AH269" s="115"/>
      <c r="AI269" s="115"/>
      <c r="AJ269" s="115"/>
      <c r="AK269" s="115"/>
      <c r="AL269" s="115"/>
      <c r="AM269" s="115"/>
      <c r="AN269" s="115"/>
      <c r="AO269" s="115"/>
      <c r="AP269" s="115"/>
      <c r="AQ269" s="115"/>
      <c r="AR269" s="115"/>
      <c r="AS269" s="115"/>
      <c r="AT269" s="115"/>
      <c r="AU269" s="115"/>
    </row>
    <row r="270" spans="1:47" ht="67.2" customHeight="1" thickBot="1" x14ac:dyDescent="0.4">
      <c r="A270" s="115"/>
      <c r="B270" s="1387"/>
      <c r="C270" s="1387"/>
      <c r="D270" s="115"/>
      <c r="E270" s="115"/>
      <c r="F270" s="115"/>
      <c r="G270" s="115"/>
      <c r="H270" s="115"/>
      <c r="I270" s="115"/>
      <c r="J270" s="115"/>
      <c r="K270" s="115"/>
      <c r="L270" s="115"/>
      <c r="M270" s="115"/>
      <c r="N270" s="115"/>
      <c r="O270" s="115"/>
      <c r="P270" s="115"/>
      <c r="Q270" s="115"/>
      <c r="R270" s="115"/>
      <c r="S270" s="115"/>
      <c r="T270" s="115"/>
      <c r="U270" s="115"/>
      <c r="V270" s="115"/>
      <c r="W270" s="115"/>
      <c r="X270" s="115"/>
      <c r="Y270" s="115"/>
      <c r="Z270" s="115"/>
      <c r="AA270" s="115"/>
      <c r="AB270" s="115"/>
      <c r="AC270" s="115"/>
      <c r="AD270" s="115"/>
      <c r="AE270" s="115"/>
      <c r="AF270" s="115"/>
      <c r="AG270" s="115"/>
      <c r="AH270" s="115"/>
      <c r="AI270" s="115"/>
      <c r="AJ270" s="115"/>
      <c r="AK270" s="115"/>
      <c r="AL270" s="115"/>
      <c r="AM270" s="115"/>
      <c r="AN270" s="115"/>
      <c r="AO270" s="115"/>
      <c r="AP270" s="115"/>
      <c r="AQ270" s="115"/>
      <c r="AR270" s="115"/>
      <c r="AS270" s="115"/>
      <c r="AT270" s="115"/>
      <c r="AU270" s="115"/>
    </row>
    <row r="271" spans="1:47" ht="67.2" customHeight="1" thickBot="1" x14ac:dyDescent="0.4">
      <c r="A271" s="115"/>
      <c r="B271" s="1387"/>
      <c r="C271" s="1387"/>
      <c r="D271" s="115"/>
      <c r="E271" s="115"/>
      <c r="F271" s="115"/>
      <c r="G271" s="115"/>
      <c r="H271" s="115"/>
      <c r="I271" s="115"/>
      <c r="J271" s="115"/>
      <c r="K271" s="115"/>
      <c r="L271" s="115"/>
      <c r="M271" s="115"/>
      <c r="N271" s="115"/>
      <c r="O271" s="115"/>
      <c r="P271" s="115"/>
      <c r="Q271" s="115"/>
      <c r="R271" s="115"/>
      <c r="S271" s="115"/>
      <c r="T271" s="115"/>
      <c r="U271" s="115"/>
      <c r="V271" s="115"/>
      <c r="W271" s="115"/>
      <c r="X271" s="115"/>
      <c r="Y271" s="115"/>
      <c r="Z271" s="115"/>
      <c r="AA271" s="115"/>
      <c r="AB271" s="115"/>
      <c r="AC271" s="115"/>
      <c r="AD271" s="115"/>
      <c r="AE271" s="115"/>
      <c r="AF271" s="115"/>
      <c r="AG271" s="115"/>
      <c r="AH271" s="115"/>
      <c r="AI271" s="115"/>
      <c r="AJ271" s="115"/>
      <c r="AK271" s="115"/>
      <c r="AL271" s="115"/>
      <c r="AM271" s="115"/>
      <c r="AN271" s="115"/>
      <c r="AO271" s="115"/>
      <c r="AP271" s="115"/>
      <c r="AQ271" s="115"/>
      <c r="AR271" s="115"/>
      <c r="AS271" s="115"/>
      <c r="AT271" s="115"/>
      <c r="AU271" s="115"/>
    </row>
    <row r="272" spans="1:47" ht="67.2" customHeight="1" thickBot="1" x14ac:dyDescent="0.4">
      <c r="A272" s="115"/>
      <c r="B272" s="1387"/>
      <c r="C272" s="1387"/>
      <c r="D272" s="115"/>
      <c r="E272" s="115"/>
      <c r="F272" s="115"/>
      <c r="G272" s="115"/>
      <c r="H272" s="115"/>
      <c r="I272" s="115"/>
      <c r="J272" s="115"/>
      <c r="K272" s="115"/>
      <c r="L272" s="115"/>
      <c r="M272" s="115"/>
      <c r="N272" s="115"/>
      <c r="O272" s="115"/>
      <c r="P272" s="115"/>
      <c r="Q272" s="115"/>
      <c r="R272" s="115"/>
      <c r="S272" s="115"/>
      <c r="T272" s="115"/>
      <c r="U272" s="115"/>
      <c r="V272" s="115"/>
      <c r="W272" s="115"/>
      <c r="X272" s="115"/>
      <c r="Y272" s="115"/>
      <c r="Z272" s="115"/>
      <c r="AA272" s="115"/>
      <c r="AB272" s="115"/>
      <c r="AC272" s="115"/>
      <c r="AD272" s="115"/>
      <c r="AE272" s="115"/>
      <c r="AF272" s="115"/>
      <c r="AG272" s="115"/>
      <c r="AH272" s="115"/>
      <c r="AI272" s="115"/>
      <c r="AJ272" s="115"/>
      <c r="AK272" s="115"/>
      <c r="AL272" s="115"/>
      <c r="AM272" s="115"/>
      <c r="AN272" s="115"/>
      <c r="AO272" s="115"/>
      <c r="AP272" s="115"/>
      <c r="AQ272" s="115"/>
      <c r="AR272" s="115"/>
      <c r="AS272" s="115"/>
      <c r="AT272" s="115"/>
      <c r="AU272" s="115"/>
    </row>
    <row r="273" spans="1:47" ht="67.2" customHeight="1" thickBot="1" x14ac:dyDescent="0.4">
      <c r="A273" s="115"/>
      <c r="B273" s="1387"/>
      <c r="C273" s="1387"/>
      <c r="D273" s="115"/>
      <c r="E273" s="115"/>
      <c r="F273" s="115"/>
      <c r="G273" s="115"/>
      <c r="H273" s="115"/>
      <c r="I273" s="115"/>
      <c r="J273" s="115"/>
      <c r="K273" s="115"/>
      <c r="L273" s="115"/>
      <c r="M273" s="115"/>
      <c r="N273" s="115"/>
      <c r="O273" s="115"/>
      <c r="P273" s="115"/>
      <c r="Q273" s="115"/>
      <c r="R273" s="115"/>
      <c r="S273" s="115"/>
      <c r="T273" s="115"/>
      <c r="U273" s="115"/>
      <c r="V273" s="115"/>
      <c r="W273" s="115"/>
      <c r="X273" s="115"/>
      <c r="Y273" s="115"/>
      <c r="Z273" s="115"/>
      <c r="AA273" s="115"/>
      <c r="AB273" s="115"/>
      <c r="AC273" s="115"/>
      <c r="AD273" s="115"/>
      <c r="AE273" s="115"/>
      <c r="AF273" s="115"/>
      <c r="AG273" s="115"/>
      <c r="AH273" s="115"/>
      <c r="AI273" s="115"/>
      <c r="AJ273" s="115"/>
      <c r="AK273" s="115"/>
      <c r="AL273" s="115"/>
      <c r="AM273" s="115"/>
      <c r="AN273" s="115"/>
      <c r="AO273" s="115"/>
      <c r="AP273" s="115"/>
      <c r="AQ273" s="115"/>
      <c r="AR273" s="115"/>
      <c r="AS273" s="115"/>
      <c r="AT273" s="115"/>
      <c r="AU273" s="115"/>
    </row>
    <row r="274" spans="1:47" ht="67.2" customHeight="1" thickBot="1" x14ac:dyDescent="0.4">
      <c r="A274" s="115"/>
      <c r="B274" s="1387"/>
      <c r="C274" s="1387"/>
      <c r="D274" s="115"/>
      <c r="E274" s="115"/>
      <c r="F274" s="115"/>
      <c r="G274" s="115"/>
      <c r="H274" s="115"/>
      <c r="I274" s="115"/>
      <c r="J274" s="115"/>
      <c r="K274" s="115"/>
      <c r="L274" s="115"/>
      <c r="M274" s="115"/>
      <c r="N274" s="115"/>
      <c r="O274" s="115"/>
      <c r="P274" s="115"/>
      <c r="Q274" s="115"/>
      <c r="R274" s="115"/>
      <c r="S274" s="115"/>
      <c r="T274" s="115"/>
      <c r="U274" s="115"/>
      <c r="V274" s="115"/>
      <c r="W274" s="115"/>
      <c r="X274" s="115"/>
      <c r="Y274" s="115"/>
      <c r="Z274" s="115"/>
      <c r="AA274" s="115"/>
      <c r="AB274" s="115"/>
      <c r="AC274" s="115"/>
      <c r="AD274" s="115"/>
      <c r="AE274" s="115"/>
      <c r="AF274" s="115"/>
      <c r="AG274" s="115"/>
      <c r="AH274" s="115"/>
      <c r="AI274" s="115"/>
      <c r="AJ274" s="115"/>
      <c r="AK274" s="115"/>
      <c r="AL274" s="115"/>
      <c r="AM274" s="115"/>
      <c r="AN274" s="115"/>
      <c r="AO274" s="115"/>
      <c r="AP274" s="115"/>
      <c r="AQ274" s="115"/>
      <c r="AR274" s="115"/>
      <c r="AS274" s="115"/>
      <c r="AT274" s="115"/>
      <c r="AU274" s="115"/>
    </row>
    <row r="275" spans="1:47" ht="67.2" customHeight="1" thickBot="1" x14ac:dyDescent="0.4">
      <c r="A275" s="115"/>
      <c r="B275" s="1387"/>
      <c r="C275" s="1387"/>
      <c r="D275" s="115"/>
      <c r="E275" s="115"/>
      <c r="F275" s="115"/>
      <c r="G275" s="115"/>
      <c r="H275" s="115"/>
      <c r="I275" s="115"/>
      <c r="J275" s="115"/>
      <c r="K275" s="115"/>
      <c r="L275" s="115"/>
      <c r="M275" s="115"/>
      <c r="N275" s="115"/>
      <c r="O275" s="115"/>
      <c r="P275" s="115"/>
      <c r="Q275" s="115"/>
      <c r="R275" s="115"/>
      <c r="S275" s="115"/>
      <c r="T275" s="115"/>
      <c r="U275" s="115"/>
      <c r="V275" s="115"/>
      <c r="W275" s="115"/>
      <c r="X275" s="115"/>
      <c r="Y275" s="115"/>
      <c r="Z275" s="115"/>
      <c r="AA275" s="115"/>
      <c r="AB275" s="115"/>
      <c r="AC275" s="115"/>
      <c r="AD275" s="115"/>
      <c r="AE275" s="115"/>
      <c r="AF275" s="115"/>
      <c r="AG275" s="115"/>
      <c r="AH275" s="115"/>
      <c r="AI275" s="115"/>
      <c r="AJ275" s="115"/>
      <c r="AK275" s="115"/>
      <c r="AL275" s="115"/>
      <c r="AM275" s="115"/>
      <c r="AN275" s="115"/>
      <c r="AO275" s="115"/>
      <c r="AP275" s="115"/>
      <c r="AQ275" s="115"/>
      <c r="AR275" s="115"/>
      <c r="AS275" s="115"/>
      <c r="AT275" s="115"/>
      <c r="AU275" s="115"/>
    </row>
    <row r="276" spans="1:47" ht="67.2" customHeight="1" thickBot="1" x14ac:dyDescent="0.4">
      <c r="A276" s="115"/>
      <c r="B276" s="1387"/>
      <c r="C276" s="1387"/>
      <c r="D276" s="115"/>
      <c r="E276" s="115"/>
      <c r="F276" s="115"/>
      <c r="G276" s="115"/>
      <c r="H276" s="115"/>
      <c r="I276" s="115"/>
      <c r="J276" s="115"/>
      <c r="K276" s="115"/>
      <c r="L276" s="115"/>
      <c r="M276" s="115"/>
      <c r="N276" s="115"/>
      <c r="O276" s="115"/>
      <c r="P276" s="115"/>
      <c r="Q276" s="115"/>
      <c r="R276" s="115"/>
      <c r="S276" s="115"/>
      <c r="T276" s="115"/>
      <c r="U276" s="115"/>
      <c r="V276" s="115"/>
      <c r="W276" s="115"/>
      <c r="X276" s="115"/>
      <c r="Y276" s="115"/>
      <c r="Z276" s="115"/>
      <c r="AA276" s="115"/>
      <c r="AB276" s="115"/>
      <c r="AC276" s="115"/>
      <c r="AD276" s="115"/>
      <c r="AE276" s="115"/>
      <c r="AF276" s="115"/>
      <c r="AG276" s="115"/>
      <c r="AH276" s="115"/>
      <c r="AI276" s="115"/>
      <c r="AJ276" s="115"/>
      <c r="AK276" s="115"/>
      <c r="AL276" s="115"/>
      <c r="AM276" s="115"/>
      <c r="AN276" s="115"/>
      <c r="AO276" s="115"/>
      <c r="AP276" s="115"/>
      <c r="AQ276" s="115"/>
      <c r="AR276" s="115"/>
      <c r="AS276" s="115"/>
      <c r="AT276" s="115"/>
      <c r="AU276" s="115"/>
    </row>
    <row r="277" spans="1:47" ht="67.2" customHeight="1" thickBot="1" x14ac:dyDescent="0.4">
      <c r="A277" s="115"/>
      <c r="B277" s="1387"/>
      <c r="C277" s="1387"/>
      <c r="D277" s="115"/>
      <c r="E277" s="115"/>
      <c r="F277" s="115"/>
      <c r="G277" s="115"/>
      <c r="H277" s="115"/>
      <c r="I277" s="115"/>
      <c r="J277" s="115"/>
      <c r="K277" s="115"/>
      <c r="L277" s="115"/>
      <c r="M277" s="115"/>
      <c r="N277" s="115"/>
      <c r="O277" s="115"/>
      <c r="P277" s="115"/>
      <c r="Q277" s="115"/>
      <c r="R277" s="115"/>
      <c r="S277" s="115"/>
      <c r="T277" s="115"/>
      <c r="U277" s="115"/>
      <c r="V277" s="115"/>
      <c r="W277" s="115"/>
      <c r="X277" s="115"/>
      <c r="Y277" s="115"/>
      <c r="Z277" s="115"/>
      <c r="AA277" s="115"/>
      <c r="AB277" s="115"/>
      <c r="AC277" s="115"/>
      <c r="AD277" s="115"/>
      <c r="AE277" s="115"/>
      <c r="AF277" s="115"/>
      <c r="AG277" s="115"/>
      <c r="AH277" s="115"/>
      <c r="AI277" s="115"/>
      <c r="AJ277" s="115"/>
      <c r="AK277" s="115"/>
      <c r="AL277" s="115"/>
      <c r="AM277" s="115"/>
      <c r="AN277" s="115"/>
      <c r="AO277" s="115"/>
      <c r="AP277" s="115"/>
      <c r="AQ277" s="115"/>
      <c r="AR277" s="115"/>
      <c r="AS277" s="115"/>
      <c r="AT277" s="115"/>
      <c r="AU277" s="115"/>
    </row>
    <row r="278" spans="1:47" ht="67.2" customHeight="1" thickBot="1" x14ac:dyDescent="0.4">
      <c r="A278" s="115"/>
      <c r="B278" s="1387"/>
      <c r="C278" s="1387"/>
      <c r="D278" s="115"/>
      <c r="E278" s="115"/>
      <c r="F278" s="115"/>
      <c r="G278" s="115"/>
      <c r="H278" s="115"/>
      <c r="I278" s="115"/>
      <c r="J278" s="115"/>
      <c r="K278" s="115"/>
      <c r="L278" s="115"/>
      <c r="M278" s="115"/>
      <c r="N278" s="115"/>
      <c r="O278" s="115"/>
      <c r="P278" s="115"/>
      <c r="Q278" s="115"/>
      <c r="R278" s="115"/>
      <c r="S278" s="115"/>
      <c r="T278" s="115"/>
      <c r="U278" s="115"/>
      <c r="V278" s="115"/>
      <c r="W278" s="115"/>
      <c r="X278" s="115"/>
      <c r="Y278" s="115"/>
      <c r="Z278" s="115"/>
      <c r="AA278" s="115"/>
      <c r="AB278" s="115"/>
      <c r="AC278" s="115"/>
      <c r="AD278" s="115"/>
      <c r="AE278" s="115"/>
      <c r="AF278" s="115"/>
      <c r="AG278" s="115"/>
      <c r="AH278" s="115"/>
      <c r="AI278" s="115"/>
      <c r="AJ278" s="115"/>
      <c r="AK278" s="115"/>
      <c r="AL278" s="115"/>
      <c r="AM278" s="115"/>
      <c r="AN278" s="115"/>
      <c r="AO278" s="115"/>
      <c r="AP278" s="115"/>
      <c r="AQ278" s="115"/>
      <c r="AR278" s="115"/>
      <c r="AS278" s="115"/>
      <c r="AT278" s="115"/>
      <c r="AU278" s="115"/>
    </row>
    <row r="279" spans="1:47" ht="67.2" customHeight="1" thickBot="1" x14ac:dyDescent="0.4">
      <c r="A279" s="115"/>
      <c r="B279" s="1387"/>
      <c r="C279" s="1387"/>
      <c r="D279" s="115"/>
      <c r="E279" s="115"/>
      <c r="F279" s="115"/>
      <c r="G279" s="115"/>
      <c r="H279" s="115"/>
      <c r="I279" s="115"/>
      <c r="J279" s="115"/>
      <c r="K279" s="115"/>
      <c r="L279" s="115"/>
      <c r="M279" s="115"/>
      <c r="N279" s="115"/>
      <c r="O279" s="115"/>
      <c r="P279" s="115"/>
      <c r="Q279" s="115"/>
      <c r="R279" s="115"/>
      <c r="S279" s="115"/>
      <c r="T279" s="115"/>
      <c r="U279" s="115"/>
      <c r="V279" s="115"/>
      <c r="W279" s="115"/>
      <c r="X279" s="115"/>
      <c r="Y279" s="115"/>
      <c r="Z279" s="115"/>
      <c r="AA279" s="115"/>
      <c r="AB279" s="115"/>
      <c r="AC279" s="115"/>
      <c r="AD279" s="115"/>
      <c r="AE279" s="115"/>
      <c r="AF279" s="115"/>
      <c r="AG279" s="115"/>
      <c r="AH279" s="115"/>
      <c r="AI279" s="115"/>
      <c r="AJ279" s="115"/>
      <c r="AK279" s="115"/>
      <c r="AL279" s="115"/>
      <c r="AM279" s="115"/>
      <c r="AN279" s="115"/>
      <c r="AO279" s="115"/>
      <c r="AP279" s="115"/>
      <c r="AQ279" s="115"/>
      <c r="AR279" s="115"/>
      <c r="AS279" s="115"/>
      <c r="AT279" s="115"/>
      <c r="AU279" s="115"/>
    </row>
    <row r="280" spans="1:47" ht="67.2" customHeight="1" thickBot="1" x14ac:dyDescent="0.4">
      <c r="A280" s="115"/>
      <c r="B280" s="1387"/>
      <c r="C280" s="1387"/>
      <c r="D280" s="115"/>
      <c r="E280" s="115"/>
      <c r="F280" s="115"/>
      <c r="G280" s="115"/>
      <c r="H280" s="115"/>
      <c r="I280" s="115"/>
      <c r="J280" s="115"/>
      <c r="K280" s="115"/>
      <c r="L280" s="115"/>
      <c r="M280" s="115"/>
      <c r="N280" s="115"/>
      <c r="O280" s="115"/>
      <c r="P280" s="115"/>
      <c r="Q280" s="115"/>
      <c r="R280" s="115"/>
      <c r="S280" s="115"/>
      <c r="T280" s="115"/>
      <c r="U280" s="115"/>
      <c r="V280" s="115"/>
      <c r="W280" s="115"/>
      <c r="X280" s="115"/>
      <c r="Y280" s="115"/>
      <c r="Z280" s="115"/>
      <c r="AA280" s="115"/>
      <c r="AB280" s="115"/>
      <c r="AC280" s="115"/>
      <c r="AD280" s="115"/>
      <c r="AE280" s="115"/>
      <c r="AF280" s="115"/>
      <c r="AG280" s="115"/>
      <c r="AH280" s="115"/>
      <c r="AI280" s="115"/>
      <c r="AJ280" s="115"/>
      <c r="AK280" s="115"/>
      <c r="AL280" s="115"/>
      <c r="AM280" s="115"/>
      <c r="AN280" s="115"/>
      <c r="AO280" s="115"/>
      <c r="AP280" s="115"/>
      <c r="AQ280" s="115"/>
      <c r="AR280" s="115"/>
      <c r="AS280" s="115"/>
      <c r="AT280" s="115"/>
      <c r="AU280" s="115"/>
    </row>
    <row r="281" spans="1:47" ht="67.2" customHeight="1" thickBot="1" x14ac:dyDescent="0.4">
      <c r="A281" s="115"/>
      <c r="B281" s="1387"/>
      <c r="C281" s="1387"/>
      <c r="D281" s="115"/>
      <c r="E281" s="115"/>
      <c r="F281" s="115"/>
      <c r="G281" s="115"/>
      <c r="H281" s="115"/>
      <c r="I281" s="115"/>
      <c r="J281" s="115"/>
      <c r="K281" s="115"/>
      <c r="L281" s="115"/>
      <c r="M281" s="115"/>
      <c r="N281" s="115"/>
      <c r="O281" s="115"/>
      <c r="P281" s="115"/>
      <c r="Q281" s="115"/>
      <c r="R281" s="115"/>
      <c r="S281" s="115"/>
      <c r="T281" s="115"/>
      <c r="U281" s="115"/>
      <c r="V281" s="115"/>
      <c r="W281" s="115"/>
      <c r="X281" s="115"/>
      <c r="Y281" s="115"/>
      <c r="Z281" s="115"/>
      <c r="AA281" s="115"/>
      <c r="AB281" s="115"/>
      <c r="AC281" s="115"/>
      <c r="AD281" s="115"/>
      <c r="AE281" s="115"/>
      <c r="AF281" s="115"/>
      <c r="AG281" s="115"/>
      <c r="AH281" s="115"/>
      <c r="AI281" s="115"/>
      <c r="AJ281" s="115"/>
      <c r="AK281" s="115"/>
      <c r="AL281" s="115"/>
      <c r="AM281" s="115"/>
      <c r="AN281" s="115"/>
      <c r="AO281" s="115"/>
      <c r="AP281" s="115"/>
      <c r="AQ281" s="115"/>
      <c r="AR281" s="115"/>
      <c r="AS281" s="115"/>
      <c r="AT281" s="115"/>
      <c r="AU281" s="115"/>
    </row>
    <row r="282" spans="1:47" ht="67.2" customHeight="1" thickBot="1" x14ac:dyDescent="0.4">
      <c r="A282" s="115"/>
      <c r="B282" s="1387"/>
      <c r="C282" s="1387"/>
      <c r="D282" s="115"/>
      <c r="E282" s="115"/>
      <c r="F282" s="115"/>
      <c r="G282" s="115"/>
      <c r="H282" s="115"/>
      <c r="I282" s="115"/>
      <c r="J282" s="115"/>
      <c r="K282" s="115"/>
      <c r="L282" s="115"/>
      <c r="M282" s="115"/>
      <c r="N282" s="115"/>
      <c r="O282" s="115"/>
      <c r="P282" s="115"/>
      <c r="Q282" s="115"/>
      <c r="R282" s="115"/>
      <c r="S282" s="115"/>
      <c r="T282" s="115"/>
      <c r="U282" s="115"/>
      <c r="V282" s="115"/>
      <c r="W282" s="115"/>
      <c r="X282" s="115"/>
      <c r="Y282" s="115"/>
      <c r="Z282" s="115"/>
      <c r="AA282" s="115"/>
      <c r="AB282" s="115"/>
      <c r="AC282" s="115"/>
      <c r="AD282" s="115"/>
      <c r="AE282" s="115"/>
      <c r="AF282" s="115"/>
      <c r="AG282" s="115"/>
      <c r="AH282" s="115"/>
      <c r="AI282" s="115"/>
      <c r="AJ282" s="115"/>
      <c r="AK282" s="115"/>
      <c r="AL282" s="115"/>
      <c r="AM282" s="115"/>
      <c r="AN282" s="115"/>
      <c r="AO282" s="115"/>
      <c r="AP282" s="115"/>
      <c r="AQ282" s="115"/>
      <c r="AR282" s="115"/>
      <c r="AS282" s="115"/>
      <c r="AT282" s="115"/>
      <c r="AU282" s="115"/>
    </row>
    <row r="283" spans="1:47" ht="67.2" customHeight="1" thickBot="1" x14ac:dyDescent="0.4">
      <c r="A283" s="115"/>
      <c r="B283" s="1387"/>
      <c r="C283" s="1387"/>
      <c r="D283" s="115"/>
      <c r="E283" s="115"/>
      <c r="F283" s="115"/>
      <c r="G283" s="115"/>
      <c r="H283" s="115"/>
      <c r="I283" s="115"/>
      <c r="J283" s="115"/>
      <c r="K283" s="115"/>
      <c r="L283" s="115"/>
      <c r="M283" s="115"/>
      <c r="N283" s="115"/>
      <c r="O283" s="115"/>
      <c r="P283" s="115"/>
      <c r="Q283" s="115"/>
      <c r="R283" s="115"/>
      <c r="S283" s="115"/>
      <c r="T283" s="115"/>
      <c r="U283" s="115"/>
      <c r="V283" s="115"/>
      <c r="W283" s="115"/>
      <c r="X283" s="115"/>
      <c r="Y283" s="115"/>
      <c r="Z283" s="115"/>
      <c r="AA283" s="115"/>
      <c r="AB283" s="115"/>
      <c r="AC283" s="115"/>
      <c r="AD283" s="115"/>
      <c r="AE283" s="115"/>
      <c r="AF283" s="115"/>
      <c r="AG283" s="115"/>
      <c r="AH283" s="115"/>
      <c r="AI283" s="115"/>
      <c r="AJ283" s="115"/>
      <c r="AK283" s="115"/>
      <c r="AL283" s="115"/>
      <c r="AM283" s="115"/>
      <c r="AN283" s="115"/>
      <c r="AO283" s="115"/>
      <c r="AP283" s="115"/>
      <c r="AQ283" s="115"/>
      <c r="AR283" s="115"/>
      <c r="AS283" s="115"/>
      <c r="AT283" s="115"/>
      <c r="AU283" s="115"/>
    </row>
    <row r="284" spans="1:47" ht="67.2" customHeight="1" thickBot="1" x14ac:dyDescent="0.4">
      <c r="A284" s="115"/>
      <c r="B284" s="1387"/>
      <c r="C284" s="1387"/>
      <c r="D284" s="115"/>
      <c r="E284" s="115"/>
      <c r="F284" s="115"/>
      <c r="G284" s="115"/>
      <c r="H284" s="115"/>
      <c r="I284" s="115"/>
      <c r="J284" s="115"/>
      <c r="K284" s="115"/>
      <c r="L284" s="115"/>
      <c r="M284" s="115"/>
      <c r="N284" s="115"/>
      <c r="O284" s="115"/>
      <c r="P284" s="115"/>
      <c r="Q284" s="115"/>
      <c r="R284" s="115"/>
      <c r="S284" s="115"/>
      <c r="T284" s="115"/>
      <c r="U284" s="115"/>
      <c r="V284" s="115"/>
      <c r="W284" s="115"/>
      <c r="X284" s="115"/>
      <c r="Y284" s="115"/>
      <c r="Z284" s="115"/>
      <c r="AA284" s="115"/>
      <c r="AB284" s="115"/>
      <c r="AC284" s="115"/>
      <c r="AD284" s="115"/>
      <c r="AE284" s="115"/>
      <c r="AF284" s="115"/>
      <c r="AG284" s="115"/>
      <c r="AH284" s="115"/>
      <c r="AI284" s="115"/>
      <c r="AJ284" s="115"/>
      <c r="AK284" s="115"/>
      <c r="AL284" s="115"/>
      <c r="AM284" s="115"/>
      <c r="AN284" s="115"/>
      <c r="AO284" s="115"/>
      <c r="AP284" s="115"/>
      <c r="AQ284" s="115"/>
      <c r="AR284" s="115"/>
      <c r="AS284" s="115"/>
      <c r="AT284" s="115"/>
      <c r="AU284" s="115"/>
    </row>
    <row r="285" spans="1:47" ht="67.2" customHeight="1" thickBot="1" x14ac:dyDescent="0.4">
      <c r="A285" s="115"/>
      <c r="B285" s="1387"/>
      <c r="C285" s="1387"/>
      <c r="D285" s="115"/>
      <c r="E285" s="115"/>
      <c r="F285" s="115"/>
      <c r="G285" s="115"/>
      <c r="H285" s="115"/>
      <c r="I285" s="115"/>
      <c r="J285" s="115"/>
      <c r="K285" s="115"/>
      <c r="L285" s="115"/>
      <c r="M285" s="115"/>
      <c r="N285" s="115"/>
      <c r="O285" s="115"/>
      <c r="P285" s="115"/>
      <c r="Q285" s="115"/>
      <c r="R285" s="115"/>
      <c r="S285" s="115"/>
      <c r="T285" s="115"/>
      <c r="U285" s="115"/>
      <c r="V285" s="115"/>
      <c r="W285" s="115"/>
      <c r="X285" s="115"/>
      <c r="Y285" s="115"/>
      <c r="Z285" s="115"/>
      <c r="AA285" s="115"/>
      <c r="AB285" s="115"/>
      <c r="AC285" s="115"/>
      <c r="AD285" s="115"/>
      <c r="AE285" s="115"/>
      <c r="AF285" s="115"/>
      <c r="AG285" s="115"/>
      <c r="AH285" s="115"/>
      <c r="AI285" s="115"/>
      <c r="AJ285" s="115"/>
      <c r="AK285" s="115"/>
      <c r="AL285" s="115"/>
      <c r="AM285" s="115"/>
      <c r="AN285" s="115"/>
      <c r="AO285" s="115"/>
      <c r="AP285" s="115"/>
      <c r="AQ285" s="115"/>
      <c r="AR285" s="115"/>
      <c r="AS285" s="115"/>
      <c r="AT285" s="115"/>
      <c r="AU285" s="115"/>
    </row>
    <row r="286" spans="1:47" ht="67.2" customHeight="1" thickBot="1" x14ac:dyDescent="0.4">
      <c r="A286" s="115"/>
      <c r="B286" s="1387"/>
      <c r="C286" s="1387"/>
      <c r="D286" s="115"/>
      <c r="E286" s="115"/>
      <c r="F286" s="115"/>
      <c r="G286" s="115"/>
      <c r="H286" s="115"/>
      <c r="I286" s="115"/>
      <c r="J286" s="115"/>
      <c r="K286" s="115"/>
      <c r="L286" s="115"/>
      <c r="M286" s="115"/>
      <c r="N286" s="115"/>
      <c r="O286" s="115"/>
      <c r="P286" s="115"/>
      <c r="Q286" s="115"/>
      <c r="R286" s="115"/>
      <c r="S286" s="115"/>
      <c r="T286" s="115"/>
      <c r="U286" s="115"/>
      <c r="V286" s="115"/>
      <c r="W286" s="115"/>
      <c r="X286" s="115"/>
      <c r="Y286" s="115"/>
      <c r="Z286" s="115"/>
      <c r="AA286" s="115"/>
      <c r="AB286" s="115"/>
      <c r="AC286" s="115"/>
      <c r="AD286" s="115"/>
      <c r="AE286" s="115"/>
      <c r="AF286" s="115"/>
      <c r="AG286" s="115"/>
      <c r="AH286" s="115"/>
      <c r="AI286" s="115"/>
      <c r="AJ286" s="115"/>
      <c r="AK286" s="115"/>
      <c r="AL286" s="115"/>
      <c r="AM286" s="115"/>
      <c r="AN286" s="115"/>
      <c r="AO286" s="115"/>
      <c r="AP286" s="115"/>
      <c r="AQ286" s="115"/>
      <c r="AR286" s="115"/>
      <c r="AS286" s="115"/>
      <c r="AT286" s="115"/>
      <c r="AU286" s="115"/>
    </row>
    <row r="287" spans="1:47" ht="67.2" customHeight="1" thickBot="1" x14ac:dyDescent="0.4">
      <c r="A287" s="115"/>
      <c r="B287" s="1387"/>
      <c r="C287" s="1387"/>
      <c r="D287" s="115"/>
      <c r="E287" s="115"/>
      <c r="F287" s="115"/>
      <c r="G287" s="115"/>
      <c r="H287" s="115"/>
      <c r="I287" s="115"/>
      <c r="J287" s="115"/>
      <c r="K287" s="115"/>
      <c r="L287" s="115"/>
      <c r="M287" s="115"/>
      <c r="N287" s="115"/>
      <c r="O287" s="115"/>
      <c r="P287" s="115"/>
      <c r="Q287" s="115"/>
      <c r="R287" s="115"/>
      <c r="S287" s="115"/>
      <c r="T287" s="115"/>
      <c r="U287" s="115"/>
      <c r="V287" s="115"/>
      <c r="W287" s="115"/>
      <c r="X287" s="115"/>
      <c r="Y287" s="115"/>
      <c r="Z287" s="115"/>
      <c r="AA287" s="115"/>
      <c r="AB287" s="115"/>
      <c r="AC287" s="115"/>
      <c r="AD287" s="115"/>
      <c r="AE287" s="115"/>
      <c r="AF287" s="115"/>
      <c r="AG287" s="115"/>
      <c r="AH287" s="115"/>
      <c r="AI287" s="115"/>
      <c r="AJ287" s="115"/>
      <c r="AK287" s="115"/>
      <c r="AL287" s="115"/>
      <c r="AM287" s="115"/>
      <c r="AN287" s="115"/>
      <c r="AO287" s="115"/>
      <c r="AP287" s="115"/>
      <c r="AQ287" s="115"/>
      <c r="AR287" s="115"/>
      <c r="AS287" s="115"/>
      <c r="AT287" s="115"/>
      <c r="AU287" s="115"/>
    </row>
    <row r="288" spans="1:47" ht="67.2" customHeight="1" thickBot="1" x14ac:dyDescent="0.4">
      <c r="A288" s="115"/>
      <c r="B288" s="1387"/>
      <c r="C288" s="1387"/>
      <c r="D288" s="115"/>
      <c r="E288" s="115"/>
      <c r="F288" s="115"/>
      <c r="G288" s="115"/>
      <c r="H288" s="115"/>
      <c r="I288" s="115"/>
      <c r="J288" s="115"/>
      <c r="K288" s="115"/>
      <c r="L288" s="115"/>
      <c r="M288" s="115"/>
      <c r="N288" s="115"/>
      <c r="O288" s="115"/>
      <c r="P288" s="115"/>
      <c r="Q288" s="115"/>
      <c r="R288" s="115"/>
      <c r="S288" s="115"/>
      <c r="T288" s="115"/>
      <c r="U288" s="115"/>
      <c r="V288" s="115"/>
      <c r="W288" s="115"/>
      <c r="X288" s="115"/>
      <c r="Y288" s="115"/>
      <c r="Z288" s="115"/>
      <c r="AA288" s="115"/>
      <c r="AB288" s="115"/>
      <c r="AC288" s="115"/>
      <c r="AD288" s="115"/>
      <c r="AE288" s="115"/>
      <c r="AF288" s="115"/>
      <c r="AG288" s="115"/>
      <c r="AH288" s="115"/>
      <c r="AI288" s="115"/>
      <c r="AJ288" s="115"/>
      <c r="AK288" s="115"/>
      <c r="AL288" s="115"/>
      <c r="AM288" s="115"/>
      <c r="AN288" s="115"/>
      <c r="AO288" s="115"/>
      <c r="AP288" s="115"/>
      <c r="AQ288" s="115"/>
      <c r="AR288" s="115"/>
      <c r="AS288" s="115"/>
      <c r="AT288" s="115"/>
      <c r="AU288" s="115"/>
    </row>
    <row r="289" spans="1:47" ht="67.2" customHeight="1" thickBot="1" x14ac:dyDescent="0.4">
      <c r="A289" s="115"/>
      <c r="B289" s="1387"/>
      <c r="C289" s="1387"/>
      <c r="D289" s="115"/>
      <c r="E289" s="115"/>
      <c r="F289" s="115"/>
      <c r="G289" s="115"/>
      <c r="H289" s="115"/>
      <c r="I289" s="115"/>
      <c r="J289" s="115"/>
      <c r="K289" s="115"/>
      <c r="L289" s="115"/>
      <c r="M289" s="115"/>
      <c r="N289" s="115"/>
      <c r="O289" s="115"/>
      <c r="P289" s="115"/>
      <c r="Q289" s="115"/>
      <c r="R289" s="115"/>
      <c r="S289" s="115"/>
      <c r="T289" s="115"/>
      <c r="U289" s="115"/>
      <c r="V289" s="115"/>
      <c r="W289" s="115"/>
      <c r="X289" s="115"/>
      <c r="Y289" s="115"/>
      <c r="Z289" s="115"/>
      <c r="AA289" s="115"/>
      <c r="AB289" s="115"/>
      <c r="AC289" s="115"/>
      <c r="AD289" s="115"/>
      <c r="AE289" s="115"/>
      <c r="AF289" s="115"/>
      <c r="AG289" s="115"/>
      <c r="AH289" s="115"/>
      <c r="AI289" s="115"/>
      <c r="AJ289" s="115"/>
      <c r="AK289" s="115"/>
      <c r="AL289" s="115"/>
      <c r="AM289" s="115"/>
      <c r="AN289" s="115"/>
      <c r="AO289" s="115"/>
      <c r="AP289" s="115"/>
      <c r="AQ289" s="115"/>
      <c r="AR289" s="115"/>
      <c r="AS289" s="115"/>
      <c r="AT289" s="115"/>
      <c r="AU289" s="115"/>
    </row>
    <row r="290" spans="1:47" ht="67.2" customHeight="1" thickBot="1" x14ac:dyDescent="0.4">
      <c r="A290" s="115"/>
      <c r="B290" s="1387"/>
      <c r="C290" s="1387"/>
      <c r="D290" s="115"/>
      <c r="E290" s="115"/>
      <c r="F290" s="115"/>
      <c r="G290" s="115"/>
      <c r="H290" s="115"/>
      <c r="I290" s="115"/>
      <c r="J290" s="115"/>
      <c r="K290" s="115"/>
      <c r="L290" s="115"/>
      <c r="M290" s="115"/>
      <c r="N290" s="115"/>
      <c r="O290" s="115"/>
      <c r="P290" s="115"/>
      <c r="Q290" s="115"/>
      <c r="R290" s="115"/>
      <c r="S290" s="115"/>
      <c r="T290" s="115"/>
      <c r="U290" s="115"/>
      <c r="V290" s="115"/>
      <c r="W290" s="115"/>
      <c r="X290" s="115"/>
      <c r="Y290" s="115"/>
      <c r="Z290" s="115"/>
      <c r="AA290" s="115"/>
      <c r="AB290" s="115"/>
      <c r="AC290" s="115"/>
      <c r="AD290" s="115"/>
      <c r="AE290" s="115"/>
      <c r="AF290" s="115"/>
      <c r="AG290" s="115"/>
      <c r="AH290" s="115"/>
      <c r="AI290" s="115"/>
      <c r="AJ290" s="115"/>
      <c r="AK290" s="115"/>
      <c r="AL290" s="115"/>
      <c r="AM290" s="115"/>
      <c r="AN290" s="115"/>
      <c r="AO290" s="115"/>
      <c r="AP290" s="115"/>
      <c r="AQ290" s="115"/>
      <c r="AR290" s="115"/>
      <c r="AS290" s="115"/>
      <c r="AT290" s="115"/>
      <c r="AU290" s="115"/>
    </row>
    <row r="291" spans="1:47" ht="67.2" customHeight="1" thickBot="1" x14ac:dyDescent="0.4">
      <c r="A291" s="115"/>
      <c r="B291" s="1387"/>
      <c r="C291" s="1387"/>
      <c r="D291" s="115"/>
      <c r="E291" s="115"/>
      <c r="F291" s="115"/>
      <c r="G291" s="115"/>
      <c r="H291" s="115"/>
      <c r="I291" s="115"/>
      <c r="J291" s="115"/>
      <c r="K291" s="115"/>
      <c r="L291" s="115"/>
      <c r="M291" s="115"/>
      <c r="N291" s="115"/>
      <c r="O291" s="115"/>
      <c r="P291" s="115"/>
      <c r="Q291" s="115"/>
      <c r="R291" s="115"/>
      <c r="S291" s="115"/>
      <c r="T291" s="115"/>
      <c r="U291" s="115"/>
      <c r="V291" s="115"/>
      <c r="W291" s="115"/>
      <c r="X291" s="115"/>
      <c r="Y291" s="115"/>
      <c r="Z291" s="115"/>
      <c r="AA291" s="115"/>
      <c r="AB291" s="115"/>
      <c r="AC291" s="115"/>
      <c r="AD291" s="115"/>
      <c r="AE291" s="115"/>
      <c r="AF291" s="115"/>
      <c r="AG291" s="115"/>
      <c r="AH291" s="115"/>
      <c r="AI291" s="115"/>
      <c r="AJ291" s="115"/>
      <c r="AK291" s="115"/>
      <c r="AL291" s="115"/>
      <c r="AM291" s="115"/>
      <c r="AN291" s="115"/>
      <c r="AO291" s="115"/>
      <c r="AP291" s="115"/>
      <c r="AQ291" s="115"/>
      <c r="AR291" s="115"/>
      <c r="AS291" s="115"/>
      <c r="AT291" s="115"/>
      <c r="AU291" s="115"/>
    </row>
    <row r="292" spans="1:47" ht="67.2" customHeight="1" thickBot="1" x14ac:dyDescent="0.4">
      <c r="A292" s="115"/>
      <c r="B292" s="1387"/>
      <c r="C292" s="1387"/>
      <c r="D292" s="115"/>
      <c r="E292" s="115"/>
      <c r="F292" s="115"/>
      <c r="G292" s="115"/>
      <c r="H292" s="115"/>
      <c r="I292" s="115"/>
      <c r="J292" s="115"/>
      <c r="K292" s="115"/>
      <c r="L292" s="115"/>
      <c r="M292" s="115"/>
      <c r="N292" s="115"/>
      <c r="O292" s="115"/>
      <c r="P292" s="115"/>
      <c r="Q292" s="115"/>
      <c r="R292" s="115"/>
      <c r="S292" s="115"/>
      <c r="T292" s="115"/>
      <c r="U292" s="115"/>
      <c r="V292" s="115"/>
      <c r="W292" s="115"/>
      <c r="X292" s="115"/>
      <c r="Y292" s="115"/>
      <c r="Z292" s="115"/>
      <c r="AA292" s="115"/>
      <c r="AB292" s="115"/>
      <c r="AC292" s="115"/>
      <c r="AD292" s="115"/>
      <c r="AE292" s="115"/>
      <c r="AF292" s="115"/>
      <c r="AG292" s="115"/>
      <c r="AH292" s="115"/>
      <c r="AI292" s="115"/>
      <c r="AJ292" s="115"/>
      <c r="AK292" s="115"/>
      <c r="AL292" s="115"/>
      <c r="AM292" s="115"/>
      <c r="AN292" s="115"/>
      <c r="AO292" s="115"/>
      <c r="AP292" s="115"/>
      <c r="AQ292" s="115"/>
      <c r="AR292" s="115"/>
      <c r="AS292" s="115"/>
      <c r="AT292" s="115"/>
      <c r="AU292" s="115"/>
    </row>
    <row r="293" spans="1:47" ht="67.2" customHeight="1" thickBot="1" x14ac:dyDescent="0.4">
      <c r="A293" s="115"/>
      <c r="B293" s="1387"/>
      <c r="C293" s="1387"/>
      <c r="D293" s="115"/>
      <c r="E293" s="115"/>
      <c r="F293" s="115"/>
      <c r="G293" s="115"/>
      <c r="H293" s="115"/>
      <c r="I293" s="115"/>
      <c r="J293" s="115"/>
      <c r="K293" s="115"/>
      <c r="L293" s="115"/>
      <c r="M293" s="115"/>
      <c r="N293" s="115"/>
      <c r="O293" s="115"/>
      <c r="P293" s="115"/>
      <c r="Q293" s="115"/>
      <c r="R293" s="115"/>
      <c r="S293" s="115"/>
      <c r="T293" s="115"/>
      <c r="U293" s="115"/>
      <c r="V293" s="115"/>
      <c r="W293" s="115"/>
      <c r="X293" s="115"/>
      <c r="Y293" s="115"/>
      <c r="Z293" s="115"/>
      <c r="AA293" s="115"/>
      <c r="AB293" s="115"/>
      <c r="AC293" s="115"/>
      <c r="AD293" s="115"/>
      <c r="AE293" s="115"/>
      <c r="AF293" s="115"/>
      <c r="AG293" s="115"/>
      <c r="AH293" s="115"/>
      <c r="AI293" s="115"/>
      <c r="AJ293" s="115"/>
      <c r="AK293" s="115"/>
      <c r="AL293" s="115"/>
      <c r="AM293" s="115"/>
      <c r="AN293" s="115"/>
      <c r="AO293" s="115"/>
      <c r="AP293" s="115"/>
      <c r="AQ293" s="115"/>
      <c r="AR293" s="115"/>
      <c r="AS293" s="115"/>
      <c r="AT293" s="115"/>
      <c r="AU293" s="115"/>
    </row>
    <row r="294" spans="1:47" ht="67.2" customHeight="1" thickBot="1" x14ac:dyDescent="0.4">
      <c r="A294" s="115"/>
      <c r="B294" s="1387"/>
      <c r="C294" s="1387"/>
      <c r="D294" s="115"/>
      <c r="E294" s="115"/>
      <c r="F294" s="115"/>
      <c r="G294" s="115"/>
      <c r="H294" s="115"/>
      <c r="I294" s="115"/>
      <c r="J294" s="115"/>
      <c r="K294" s="115"/>
      <c r="L294" s="115"/>
      <c r="M294" s="115"/>
      <c r="N294" s="115"/>
      <c r="O294" s="115"/>
      <c r="P294" s="115"/>
      <c r="Q294" s="115"/>
      <c r="R294" s="115"/>
      <c r="S294" s="115"/>
      <c r="T294" s="115"/>
      <c r="U294" s="115"/>
      <c r="V294" s="115"/>
      <c r="W294" s="115"/>
      <c r="X294" s="115"/>
      <c r="Y294" s="115"/>
      <c r="Z294" s="115"/>
      <c r="AA294" s="115"/>
      <c r="AB294" s="115"/>
      <c r="AC294" s="115"/>
      <c r="AD294" s="115"/>
      <c r="AE294" s="115"/>
      <c r="AF294" s="115"/>
      <c r="AG294" s="115"/>
      <c r="AH294" s="115"/>
      <c r="AI294" s="115"/>
      <c r="AJ294" s="115"/>
      <c r="AK294" s="115"/>
      <c r="AL294" s="115"/>
      <c r="AM294" s="115"/>
      <c r="AN294" s="115"/>
      <c r="AO294" s="115"/>
      <c r="AP294" s="115"/>
      <c r="AQ294" s="115"/>
      <c r="AR294" s="115"/>
      <c r="AS294" s="115"/>
      <c r="AT294" s="115"/>
      <c r="AU294" s="115"/>
    </row>
    <row r="295" spans="1:47" ht="67.2" customHeight="1" thickBot="1" x14ac:dyDescent="0.4">
      <c r="A295" s="115"/>
      <c r="B295" s="1387"/>
      <c r="C295" s="1387"/>
      <c r="D295" s="115"/>
      <c r="E295" s="115"/>
      <c r="F295" s="115"/>
      <c r="G295" s="115"/>
      <c r="H295" s="115"/>
      <c r="I295" s="115"/>
      <c r="J295" s="115"/>
      <c r="K295" s="115"/>
      <c r="L295" s="115"/>
      <c r="M295" s="115"/>
      <c r="N295" s="115"/>
      <c r="O295" s="115"/>
      <c r="P295" s="115"/>
      <c r="Q295" s="115"/>
      <c r="R295" s="115"/>
      <c r="S295" s="115"/>
      <c r="T295" s="115"/>
      <c r="U295" s="115"/>
      <c r="V295" s="115"/>
      <c r="W295" s="115"/>
      <c r="X295" s="115"/>
      <c r="Y295" s="115"/>
      <c r="Z295" s="115"/>
      <c r="AA295" s="115"/>
      <c r="AB295" s="115"/>
      <c r="AC295" s="115"/>
      <c r="AD295" s="115"/>
      <c r="AE295" s="115"/>
      <c r="AF295" s="115"/>
      <c r="AG295" s="115"/>
      <c r="AH295" s="115"/>
      <c r="AI295" s="115"/>
      <c r="AJ295" s="115"/>
      <c r="AK295" s="115"/>
      <c r="AL295" s="115"/>
      <c r="AM295" s="115"/>
      <c r="AN295" s="115"/>
      <c r="AO295" s="115"/>
      <c r="AP295" s="115"/>
      <c r="AQ295" s="115"/>
      <c r="AR295" s="115"/>
      <c r="AS295" s="115"/>
      <c r="AT295" s="115"/>
      <c r="AU295" s="115"/>
    </row>
    <row r="296" spans="1:47" ht="67.2" customHeight="1" thickBot="1" x14ac:dyDescent="0.4">
      <c r="A296" s="115"/>
      <c r="B296" s="1387"/>
      <c r="C296" s="1387"/>
      <c r="D296" s="115"/>
      <c r="E296" s="115"/>
      <c r="F296" s="115"/>
      <c r="G296" s="115"/>
      <c r="H296" s="115"/>
      <c r="I296" s="115"/>
      <c r="J296" s="115"/>
      <c r="K296" s="115"/>
      <c r="L296" s="115"/>
      <c r="M296" s="115"/>
      <c r="N296" s="115"/>
      <c r="O296" s="115"/>
      <c r="P296" s="115"/>
      <c r="Q296" s="115"/>
      <c r="R296" s="115"/>
      <c r="S296" s="115"/>
      <c r="T296" s="115"/>
      <c r="U296" s="115"/>
      <c r="V296" s="115"/>
      <c r="W296" s="115"/>
      <c r="X296" s="115"/>
      <c r="Y296" s="115"/>
      <c r="Z296" s="115"/>
      <c r="AA296" s="115"/>
      <c r="AB296" s="115"/>
      <c r="AC296" s="115"/>
      <c r="AD296" s="115"/>
      <c r="AE296" s="115"/>
      <c r="AF296" s="115"/>
      <c r="AG296" s="115"/>
      <c r="AH296" s="115"/>
      <c r="AI296" s="115"/>
      <c r="AJ296" s="115"/>
      <c r="AK296" s="115"/>
      <c r="AL296" s="115"/>
      <c r="AM296" s="115"/>
      <c r="AN296" s="115"/>
      <c r="AO296" s="115"/>
      <c r="AP296" s="115"/>
      <c r="AQ296" s="115"/>
      <c r="AR296" s="115"/>
      <c r="AS296" s="115"/>
      <c r="AT296" s="115"/>
      <c r="AU296" s="115"/>
    </row>
    <row r="297" spans="1:47" ht="67.2" customHeight="1" thickBot="1" x14ac:dyDescent="0.4">
      <c r="A297" s="115"/>
      <c r="B297" s="1387"/>
      <c r="C297" s="1387"/>
      <c r="D297" s="115"/>
      <c r="E297" s="115"/>
      <c r="F297" s="115"/>
      <c r="G297" s="115"/>
      <c r="H297" s="115"/>
      <c r="I297" s="115"/>
      <c r="J297" s="115"/>
      <c r="K297" s="115"/>
      <c r="L297" s="115"/>
      <c r="M297" s="115"/>
      <c r="N297" s="115"/>
      <c r="O297" s="115"/>
      <c r="P297" s="115"/>
      <c r="Q297" s="115"/>
      <c r="R297" s="115"/>
      <c r="S297" s="115"/>
      <c r="T297" s="115"/>
      <c r="U297" s="115"/>
      <c r="V297" s="115"/>
      <c r="W297" s="115"/>
      <c r="X297" s="115"/>
      <c r="Y297" s="115"/>
      <c r="Z297" s="115"/>
      <c r="AA297" s="115"/>
      <c r="AB297" s="115"/>
      <c r="AC297" s="115"/>
      <c r="AD297" s="115"/>
      <c r="AE297" s="115"/>
      <c r="AF297" s="115"/>
      <c r="AG297" s="115"/>
      <c r="AH297" s="115"/>
      <c r="AI297" s="115"/>
      <c r="AJ297" s="115"/>
      <c r="AK297" s="115"/>
      <c r="AL297" s="115"/>
      <c r="AM297" s="115"/>
      <c r="AN297" s="115"/>
      <c r="AO297" s="115"/>
      <c r="AP297" s="115"/>
      <c r="AQ297" s="115"/>
      <c r="AR297" s="115"/>
      <c r="AS297" s="115"/>
      <c r="AT297" s="115"/>
      <c r="AU297" s="115"/>
    </row>
    <row r="298" spans="1:47" ht="67.2" customHeight="1" thickBot="1" x14ac:dyDescent="0.4">
      <c r="A298" s="115"/>
      <c r="B298" s="1387"/>
      <c r="C298" s="1387"/>
      <c r="D298" s="115"/>
      <c r="E298" s="115"/>
      <c r="F298" s="115"/>
      <c r="G298" s="115"/>
      <c r="H298" s="115"/>
      <c r="I298" s="115"/>
      <c r="J298" s="115"/>
      <c r="K298" s="115"/>
      <c r="L298" s="115"/>
      <c r="M298" s="115"/>
      <c r="N298" s="115"/>
      <c r="O298" s="115"/>
      <c r="P298" s="115"/>
      <c r="Q298" s="115"/>
      <c r="R298" s="115"/>
      <c r="S298" s="115"/>
      <c r="T298" s="115"/>
      <c r="U298" s="115"/>
      <c r="V298" s="115"/>
      <c r="W298" s="115"/>
      <c r="X298" s="115"/>
      <c r="Y298" s="115"/>
      <c r="Z298" s="115"/>
      <c r="AA298" s="115"/>
      <c r="AB298" s="115"/>
      <c r="AC298" s="115"/>
      <c r="AD298" s="115"/>
      <c r="AE298" s="115"/>
      <c r="AF298" s="115"/>
      <c r="AG298" s="115"/>
      <c r="AH298" s="115"/>
      <c r="AI298" s="115"/>
      <c r="AJ298" s="115"/>
      <c r="AK298" s="115"/>
      <c r="AL298" s="115"/>
      <c r="AM298" s="115"/>
      <c r="AN298" s="115"/>
      <c r="AO298" s="115"/>
      <c r="AP298" s="115"/>
      <c r="AQ298" s="115"/>
      <c r="AR298" s="115"/>
      <c r="AS298" s="115"/>
      <c r="AT298" s="115"/>
      <c r="AU298" s="115"/>
    </row>
    <row r="299" spans="1:47" ht="67.2" customHeight="1" thickBot="1" x14ac:dyDescent="0.4">
      <c r="A299" s="115"/>
      <c r="B299" s="1387"/>
      <c r="C299" s="1387"/>
      <c r="D299" s="115"/>
      <c r="E299" s="115"/>
      <c r="F299" s="115"/>
      <c r="G299" s="115"/>
      <c r="H299" s="115"/>
      <c r="I299" s="115"/>
      <c r="J299" s="115"/>
      <c r="K299" s="115"/>
      <c r="L299" s="115"/>
      <c r="M299" s="115"/>
      <c r="N299" s="115"/>
      <c r="O299" s="115"/>
      <c r="P299" s="115"/>
      <c r="Q299" s="115"/>
      <c r="R299" s="115"/>
      <c r="S299" s="115"/>
      <c r="T299" s="115"/>
      <c r="U299" s="115"/>
      <c r="V299" s="115"/>
      <c r="W299" s="115"/>
      <c r="X299" s="115"/>
      <c r="Y299" s="115"/>
      <c r="Z299" s="115"/>
      <c r="AA299" s="115"/>
      <c r="AB299" s="115"/>
      <c r="AC299" s="115"/>
      <c r="AD299" s="115"/>
      <c r="AE299" s="115"/>
      <c r="AF299" s="115"/>
      <c r="AG299" s="115"/>
      <c r="AH299" s="115"/>
      <c r="AI299" s="115"/>
      <c r="AJ299" s="115"/>
      <c r="AK299" s="115"/>
      <c r="AL299" s="115"/>
      <c r="AM299" s="115"/>
      <c r="AN299" s="115"/>
      <c r="AO299" s="115"/>
      <c r="AP299" s="115"/>
      <c r="AQ299" s="115"/>
      <c r="AR299" s="115"/>
      <c r="AS299" s="115"/>
      <c r="AT299" s="115"/>
      <c r="AU299" s="115"/>
    </row>
    <row r="300" spans="1:47" ht="67.2" customHeight="1" thickBot="1" x14ac:dyDescent="0.4">
      <c r="A300" s="115"/>
      <c r="B300" s="1387"/>
      <c r="C300" s="1387"/>
      <c r="D300" s="115"/>
      <c r="E300" s="115"/>
      <c r="F300" s="115"/>
      <c r="G300" s="115"/>
      <c r="H300" s="115"/>
      <c r="I300" s="115"/>
      <c r="J300" s="115"/>
      <c r="K300" s="115"/>
      <c r="L300" s="115"/>
      <c r="M300" s="115"/>
      <c r="N300" s="115"/>
      <c r="O300" s="115"/>
      <c r="P300" s="115"/>
      <c r="Q300" s="115"/>
      <c r="R300" s="115"/>
      <c r="S300" s="115"/>
      <c r="T300" s="115"/>
      <c r="U300" s="115"/>
      <c r="V300" s="115"/>
      <c r="W300" s="115"/>
      <c r="X300" s="115"/>
      <c r="Y300" s="115"/>
      <c r="Z300" s="115"/>
      <c r="AA300" s="115"/>
      <c r="AB300" s="115"/>
      <c r="AC300" s="115"/>
      <c r="AD300" s="115"/>
      <c r="AE300" s="115"/>
      <c r="AF300" s="115"/>
      <c r="AG300" s="115"/>
      <c r="AH300" s="115"/>
      <c r="AI300" s="115"/>
      <c r="AJ300" s="115"/>
      <c r="AK300" s="115"/>
      <c r="AL300" s="115"/>
      <c r="AM300" s="115"/>
      <c r="AN300" s="115"/>
      <c r="AO300" s="115"/>
      <c r="AP300" s="115"/>
      <c r="AQ300" s="115"/>
      <c r="AR300" s="115"/>
      <c r="AS300" s="115"/>
      <c r="AT300" s="115"/>
      <c r="AU300" s="115"/>
    </row>
    <row r="301" spans="1:47" ht="67.2" customHeight="1" thickBot="1" x14ac:dyDescent="0.4">
      <c r="A301" s="115"/>
      <c r="B301" s="1387"/>
      <c r="C301" s="1387"/>
      <c r="D301" s="115"/>
      <c r="E301" s="115"/>
      <c r="F301" s="115"/>
      <c r="G301" s="115"/>
      <c r="H301" s="115"/>
      <c r="I301" s="115"/>
      <c r="J301" s="115"/>
      <c r="K301" s="115"/>
      <c r="L301" s="115"/>
      <c r="M301" s="115"/>
      <c r="N301" s="115"/>
      <c r="O301" s="115"/>
      <c r="P301" s="115"/>
      <c r="Q301" s="115"/>
      <c r="R301" s="115"/>
      <c r="S301" s="115"/>
      <c r="T301" s="115"/>
      <c r="U301" s="115"/>
      <c r="V301" s="115"/>
      <c r="W301" s="115"/>
      <c r="X301" s="115"/>
      <c r="Y301" s="115"/>
      <c r="Z301" s="115"/>
      <c r="AA301" s="115"/>
      <c r="AB301" s="115"/>
      <c r="AC301" s="115"/>
      <c r="AD301" s="115"/>
      <c r="AE301" s="115"/>
      <c r="AF301" s="115"/>
      <c r="AG301" s="115"/>
      <c r="AH301" s="115"/>
      <c r="AI301" s="115"/>
      <c r="AJ301" s="115"/>
      <c r="AK301" s="115"/>
      <c r="AL301" s="115"/>
      <c r="AM301" s="115"/>
      <c r="AN301" s="115"/>
      <c r="AO301" s="115"/>
      <c r="AP301" s="115"/>
      <c r="AQ301" s="115"/>
      <c r="AR301" s="115"/>
      <c r="AS301" s="115"/>
      <c r="AT301" s="115"/>
      <c r="AU301" s="115"/>
    </row>
    <row r="302" spans="1:47" ht="67.2" customHeight="1" thickBot="1" x14ac:dyDescent="0.4">
      <c r="A302" s="115"/>
      <c r="B302" s="1387"/>
      <c r="C302" s="1387"/>
      <c r="D302" s="115"/>
      <c r="E302" s="115"/>
      <c r="F302" s="115"/>
      <c r="G302" s="115"/>
      <c r="H302" s="115"/>
      <c r="I302" s="115"/>
      <c r="J302" s="115"/>
      <c r="K302" s="115"/>
      <c r="L302" s="115"/>
      <c r="M302" s="115"/>
      <c r="N302" s="115"/>
      <c r="O302" s="115"/>
      <c r="P302" s="115"/>
      <c r="Q302" s="115"/>
      <c r="R302" s="115"/>
      <c r="S302" s="115"/>
      <c r="T302" s="115"/>
      <c r="U302" s="115"/>
      <c r="V302" s="115"/>
      <c r="W302" s="115"/>
      <c r="X302" s="115"/>
      <c r="Y302" s="115"/>
      <c r="Z302" s="115"/>
      <c r="AA302" s="115"/>
      <c r="AB302" s="115"/>
      <c r="AC302" s="115"/>
      <c r="AD302" s="115"/>
      <c r="AE302" s="115"/>
      <c r="AF302" s="115"/>
      <c r="AG302" s="115"/>
      <c r="AH302" s="115"/>
      <c r="AI302" s="115"/>
      <c r="AJ302" s="115"/>
      <c r="AK302" s="115"/>
      <c r="AL302" s="115"/>
      <c r="AM302" s="115"/>
      <c r="AN302" s="115"/>
      <c r="AO302" s="115"/>
      <c r="AP302" s="115"/>
      <c r="AQ302" s="115"/>
      <c r="AR302" s="115"/>
      <c r="AS302" s="115"/>
      <c r="AT302" s="115"/>
      <c r="AU302" s="115"/>
    </row>
    <row r="303" spans="1:47" ht="67.2" customHeight="1" thickBot="1" x14ac:dyDescent="0.4">
      <c r="A303" s="115"/>
      <c r="B303" s="1387"/>
      <c r="C303" s="1387"/>
      <c r="D303" s="115"/>
      <c r="E303" s="115"/>
      <c r="F303" s="115"/>
      <c r="G303" s="115"/>
      <c r="H303" s="115"/>
      <c r="I303" s="115"/>
      <c r="J303" s="115"/>
      <c r="K303" s="115"/>
      <c r="L303" s="115"/>
      <c r="M303" s="115"/>
      <c r="N303" s="115"/>
      <c r="O303" s="115"/>
      <c r="P303" s="115"/>
      <c r="Q303" s="115"/>
      <c r="R303" s="115"/>
      <c r="S303" s="115"/>
      <c r="T303" s="115"/>
      <c r="U303" s="115"/>
      <c r="V303" s="115"/>
      <c r="W303" s="115"/>
      <c r="X303" s="115"/>
      <c r="Y303" s="115"/>
      <c r="Z303" s="115"/>
      <c r="AA303" s="115"/>
      <c r="AB303" s="115"/>
      <c r="AC303" s="115"/>
      <c r="AD303" s="115"/>
      <c r="AE303" s="115"/>
      <c r="AF303" s="115"/>
      <c r="AG303" s="115"/>
      <c r="AH303" s="115"/>
      <c r="AI303" s="115"/>
      <c r="AJ303" s="115"/>
      <c r="AK303" s="115"/>
      <c r="AL303" s="115"/>
      <c r="AM303" s="115"/>
      <c r="AN303" s="115"/>
      <c r="AO303" s="115"/>
      <c r="AP303" s="115"/>
      <c r="AQ303" s="115"/>
      <c r="AR303" s="115"/>
      <c r="AS303" s="115"/>
      <c r="AT303" s="115"/>
      <c r="AU303" s="115"/>
    </row>
    <row r="304" spans="1:47" ht="67.2" customHeight="1" thickBot="1" x14ac:dyDescent="0.4">
      <c r="A304" s="115"/>
      <c r="B304" s="1387"/>
      <c r="C304" s="1387"/>
      <c r="D304" s="115"/>
      <c r="E304" s="115"/>
      <c r="F304" s="115"/>
      <c r="G304" s="115"/>
      <c r="H304" s="115"/>
      <c r="I304" s="115"/>
      <c r="J304" s="115"/>
      <c r="K304" s="115"/>
      <c r="L304" s="115"/>
      <c r="M304" s="115"/>
      <c r="N304" s="115"/>
      <c r="O304" s="115"/>
      <c r="P304" s="115"/>
      <c r="Q304" s="115"/>
      <c r="R304" s="115"/>
      <c r="S304" s="115"/>
      <c r="T304" s="115"/>
      <c r="U304" s="115"/>
      <c r="V304" s="115"/>
      <c r="W304" s="115"/>
      <c r="X304" s="115"/>
      <c r="Y304" s="115"/>
      <c r="Z304" s="115"/>
      <c r="AA304" s="115"/>
      <c r="AB304" s="115"/>
      <c r="AC304" s="115"/>
      <c r="AD304" s="115"/>
      <c r="AE304" s="115"/>
      <c r="AF304" s="115"/>
      <c r="AG304" s="115"/>
      <c r="AH304" s="115"/>
      <c r="AI304" s="115"/>
      <c r="AJ304" s="115"/>
      <c r="AK304" s="115"/>
      <c r="AL304" s="115"/>
      <c r="AM304" s="115"/>
      <c r="AN304" s="115"/>
      <c r="AO304" s="115"/>
      <c r="AP304" s="115"/>
      <c r="AQ304" s="115"/>
      <c r="AR304" s="115"/>
      <c r="AS304" s="115"/>
      <c r="AT304" s="115"/>
      <c r="AU304" s="115"/>
    </row>
    <row r="305" spans="1:47" ht="67.2" customHeight="1" thickBot="1" x14ac:dyDescent="0.4">
      <c r="A305" s="115"/>
      <c r="B305" s="1387"/>
      <c r="C305" s="1387"/>
      <c r="D305" s="115"/>
      <c r="E305" s="115"/>
      <c r="F305" s="115"/>
      <c r="G305" s="115"/>
      <c r="H305" s="115"/>
      <c r="I305" s="115"/>
      <c r="J305" s="115"/>
      <c r="K305" s="115"/>
      <c r="L305" s="115"/>
      <c r="M305" s="115"/>
      <c r="N305" s="115"/>
      <c r="O305" s="115"/>
      <c r="P305" s="115"/>
      <c r="Q305" s="115"/>
      <c r="R305" s="115"/>
      <c r="S305" s="115"/>
      <c r="T305" s="115"/>
      <c r="U305" s="115"/>
      <c r="V305" s="115"/>
      <c r="W305" s="115"/>
      <c r="X305" s="115"/>
      <c r="Y305" s="115"/>
      <c r="Z305" s="115"/>
      <c r="AA305" s="115"/>
      <c r="AB305" s="115"/>
      <c r="AC305" s="115"/>
      <c r="AD305" s="115"/>
      <c r="AE305" s="115"/>
      <c r="AF305" s="115"/>
      <c r="AG305" s="115"/>
      <c r="AH305" s="115"/>
      <c r="AI305" s="115"/>
      <c r="AJ305" s="115"/>
      <c r="AK305" s="115"/>
      <c r="AL305" s="115"/>
      <c r="AM305" s="115"/>
      <c r="AN305" s="115"/>
      <c r="AO305" s="115"/>
      <c r="AP305" s="115"/>
      <c r="AQ305" s="115"/>
      <c r="AR305" s="115"/>
      <c r="AS305" s="115"/>
      <c r="AT305" s="115"/>
      <c r="AU305" s="115"/>
    </row>
    <row r="306" spans="1:47" ht="67.2" customHeight="1" thickBot="1" x14ac:dyDescent="0.4">
      <c r="A306" s="115"/>
      <c r="B306" s="1387"/>
      <c r="C306" s="1387"/>
      <c r="D306" s="115"/>
      <c r="E306" s="115"/>
      <c r="F306" s="115"/>
      <c r="G306" s="115"/>
      <c r="H306" s="115"/>
      <c r="I306" s="115"/>
      <c r="J306" s="115"/>
      <c r="K306" s="115"/>
      <c r="L306" s="115"/>
      <c r="M306" s="115"/>
      <c r="N306" s="115"/>
      <c r="O306" s="115"/>
      <c r="P306" s="115"/>
      <c r="Q306" s="115"/>
      <c r="R306" s="115"/>
      <c r="S306" s="115"/>
      <c r="T306" s="115"/>
      <c r="U306" s="115"/>
      <c r="V306" s="115"/>
      <c r="W306" s="115"/>
      <c r="X306" s="115"/>
      <c r="Y306" s="115"/>
      <c r="Z306" s="115"/>
      <c r="AA306" s="115"/>
      <c r="AB306" s="115"/>
      <c r="AC306" s="115"/>
      <c r="AD306" s="115"/>
      <c r="AE306" s="115"/>
      <c r="AF306" s="115"/>
      <c r="AG306" s="115"/>
      <c r="AH306" s="115"/>
      <c r="AI306" s="115"/>
      <c r="AJ306" s="115"/>
      <c r="AK306" s="115"/>
      <c r="AL306" s="115"/>
      <c r="AM306" s="115"/>
      <c r="AN306" s="115"/>
      <c r="AO306" s="115"/>
      <c r="AP306" s="115"/>
      <c r="AQ306" s="115"/>
      <c r="AR306" s="115"/>
      <c r="AS306" s="115"/>
      <c r="AT306" s="115"/>
      <c r="AU306" s="115"/>
    </row>
    <row r="307" spans="1:47" ht="67.2" customHeight="1" thickBot="1" x14ac:dyDescent="0.4">
      <c r="A307" s="115"/>
      <c r="B307" s="1387"/>
      <c r="C307" s="1387"/>
      <c r="D307" s="115"/>
      <c r="E307" s="115"/>
      <c r="F307" s="115"/>
      <c r="G307" s="115"/>
      <c r="H307" s="115"/>
      <c r="I307" s="115"/>
      <c r="J307" s="115"/>
      <c r="K307" s="115"/>
      <c r="L307" s="115"/>
      <c r="M307" s="115"/>
      <c r="N307" s="115"/>
      <c r="O307" s="115"/>
      <c r="P307" s="115"/>
      <c r="Q307" s="115"/>
      <c r="R307" s="115"/>
      <c r="S307" s="115"/>
      <c r="T307" s="115"/>
      <c r="U307" s="115"/>
      <c r="V307" s="115"/>
      <c r="W307" s="115"/>
      <c r="X307" s="115"/>
      <c r="Y307" s="115"/>
      <c r="Z307" s="115"/>
      <c r="AA307" s="115"/>
      <c r="AB307" s="115"/>
      <c r="AC307" s="115"/>
      <c r="AD307" s="115"/>
      <c r="AE307" s="115"/>
      <c r="AF307" s="115"/>
      <c r="AG307" s="115"/>
      <c r="AH307" s="115"/>
      <c r="AI307" s="115"/>
      <c r="AJ307" s="115"/>
      <c r="AK307" s="115"/>
      <c r="AL307" s="115"/>
      <c r="AM307" s="115"/>
      <c r="AN307" s="115"/>
      <c r="AO307" s="115"/>
      <c r="AP307" s="115"/>
      <c r="AQ307" s="115"/>
      <c r="AR307" s="115"/>
      <c r="AS307" s="115"/>
      <c r="AT307" s="115"/>
      <c r="AU307" s="115"/>
    </row>
    <row r="308" spans="1:47" ht="67.2" customHeight="1" thickBot="1" x14ac:dyDescent="0.4">
      <c r="A308" s="115"/>
      <c r="B308" s="1387"/>
      <c r="C308" s="1387"/>
      <c r="D308" s="115"/>
      <c r="E308" s="115"/>
      <c r="F308" s="115"/>
      <c r="G308" s="115"/>
      <c r="H308" s="115"/>
      <c r="I308" s="115"/>
      <c r="J308" s="115"/>
      <c r="K308" s="115"/>
      <c r="L308" s="115"/>
      <c r="M308" s="115"/>
      <c r="N308" s="115"/>
      <c r="O308" s="115"/>
      <c r="P308" s="115"/>
      <c r="Q308" s="115"/>
      <c r="R308" s="115"/>
      <c r="S308" s="115"/>
      <c r="T308" s="115"/>
      <c r="U308" s="115"/>
      <c r="V308" s="115"/>
      <c r="W308" s="115"/>
      <c r="X308" s="115"/>
      <c r="Y308" s="115"/>
      <c r="Z308" s="115"/>
      <c r="AA308" s="115"/>
      <c r="AB308" s="115"/>
      <c r="AC308" s="115"/>
      <c r="AD308" s="115"/>
      <c r="AE308" s="115"/>
      <c r="AF308" s="115"/>
      <c r="AG308" s="115"/>
      <c r="AH308" s="115"/>
      <c r="AI308" s="115"/>
      <c r="AJ308" s="115"/>
      <c r="AK308" s="115"/>
      <c r="AL308" s="115"/>
      <c r="AM308" s="115"/>
      <c r="AN308" s="115"/>
      <c r="AO308" s="115"/>
      <c r="AP308" s="115"/>
      <c r="AQ308" s="115"/>
      <c r="AR308" s="115"/>
      <c r="AS308" s="115"/>
      <c r="AT308" s="115"/>
      <c r="AU308" s="115"/>
    </row>
    <row r="309" spans="1:47" ht="67.2" customHeight="1" thickBot="1" x14ac:dyDescent="0.4">
      <c r="A309" s="115"/>
      <c r="B309" s="1387"/>
      <c r="C309" s="1387"/>
      <c r="D309" s="115"/>
      <c r="E309" s="115"/>
      <c r="F309" s="115"/>
      <c r="G309" s="115"/>
      <c r="H309" s="115"/>
      <c r="I309" s="115"/>
      <c r="J309" s="115"/>
      <c r="K309" s="115"/>
      <c r="L309" s="115"/>
      <c r="M309" s="115"/>
      <c r="N309" s="115"/>
      <c r="O309" s="115"/>
      <c r="P309" s="115"/>
      <c r="Q309" s="115"/>
      <c r="R309" s="115"/>
      <c r="S309" s="115"/>
      <c r="T309" s="115"/>
      <c r="U309" s="115"/>
      <c r="V309" s="115"/>
      <c r="W309" s="115"/>
      <c r="X309" s="115"/>
      <c r="Y309" s="115"/>
      <c r="Z309" s="115"/>
      <c r="AA309" s="115"/>
      <c r="AB309" s="115"/>
      <c r="AC309" s="115"/>
      <c r="AD309" s="115"/>
      <c r="AE309" s="115"/>
      <c r="AF309" s="115"/>
      <c r="AG309" s="115"/>
      <c r="AH309" s="115"/>
      <c r="AI309" s="115"/>
      <c r="AJ309" s="115"/>
      <c r="AK309" s="115"/>
      <c r="AL309" s="115"/>
      <c r="AM309" s="115"/>
      <c r="AN309" s="115"/>
      <c r="AO309" s="115"/>
      <c r="AP309" s="115"/>
      <c r="AQ309" s="115"/>
      <c r="AR309" s="115"/>
      <c r="AS309" s="115"/>
      <c r="AT309" s="115"/>
      <c r="AU309" s="115"/>
    </row>
    <row r="310" spans="1:47" ht="67.2" customHeight="1" thickBot="1" x14ac:dyDescent="0.4">
      <c r="A310" s="115"/>
      <c r="B310" s="1387"/>
      <c r="C310" s="1387"/>
      <c r="D310" s="115"/>
      <c r="E310" s="115"/>
      <c r="F310" s="115"/>
      <c r="G310" s="115"/>
      <c r="H310" s="115"/>
      <c r="I310" s="115"/>
      <c r="J310" s="115"/>
      <c r="K310" s="115"/>
      <c r="L310" s="115"/>
      <c r="M310" s="115"/>
      <c r="N310" s="115"/>
      <c r="O310" s="115"/>
      <c r="P310" s="115"/>
      <c r="Q310" s="115"/>
      <c r="R310" s="115"/>
      <c r="S310" s="115"/>
      <c r="T310" s="115"/>
      <c r="U310" s="115"/>
      <c r="V310" s="115"/>
      <c r="W310" s="115"/>
      <c r="X310" s="115"/>
      <c r="Y310" s="115"/>
      <c r="Z310" s="115"/>
      <c r="AA310" s="115"/>
      <c r="AB310" s="115"/>
      <c r="AC310" s="115"/>
      <c r="AD310" s="115"/>
      <c r="AE310" s="115"/>
      <c r="AF310" s="115"/>
      <c r="AG310" s="115"/>
      <c r="AH310" s="115"/>
      <c r="AI310" s="115"/>
      <c r="AJ310" s="115"/>
      <c r="AK310" s="115"/>
      <c r="AL310" s="115"/>
      <c r="AM310" s="115"/>
      <c r="AN310" s="115"/>
      <c r="AO310" s="115"/>
      <c r="AP310" s="115"/>
      <c r="AQ310" s="115"/>
      <c r="AR310" s="115"/>
      <c r="AS310" s="115"/>
      <c r="AT310" s="115"/>
      <c r="AU310" s="115"/>
    </row>
    <row r="311" spans="1:47" ht="67.2" customHeight="1" thickBot="1" x14ac:dyDescent="0.4">
      <c r="A311" s="115"/>
      <c r="B311" s="1387"/>
      <c r="C311" s="1387"/>
      <c r="D311" s="115"/>
      <c r="E311" s="115"/>
      <c r="F311" s="115"/>
      <c r="G311" s="115"/>
      <c r="H311" s="115"/>
      <c r="I311" s="115"/>
      <c r="J311" s="115"/>
      <c r="K311" s="115"/>
      <c r="L311" s="115"/>
      <c r="M311" s="115"/>
      <c r="N311" s="115"/>
      <c r="O311" s="115"/>
      <c r="P311" s="115"/>
      <c r="Q311" s="115"/>
      <c r="R311" s="115"/>
      <c r="S311" s="115"/>
      <c r="T311" s="115"/>
      <c r="U311" s="115"/>
      <c r="V311" s="115"/>
      <c r="W311" s="115"/>
      <c r="X311" s="115"/>
      <c r="Y311" s="115"/>
      <c r="Z311" s="115"/>
      <c r="AA311" s="115"/>
      <c r="AB311" s="115"/>
      <c r="AC311" s="115"/>
      <c r="AD311" s="115"/>
      <c r="AE311" s="115"/>
      <c r="AF311" s="115"/>
      <c r="AG311" s="115"/>
      <c r="AH311" s="115"/>
      <c r="AI311" s="115"/>
      <c r="AJ311" s="115"/>
      <c r="AK311" s="115"/>
      <c r="AL311" s="115"/>
      <c r="AM311" s="115"/>
      <c r="AN311" s="115"/>
      <c r="AO311" s="115"/>
      <c r="AP311" s="115"/>
      <c r="AQ311" s="115"/>
      <c r="AR311" s="115"/>
      <c r="AS311" s="115"/>
      <c r="AT311" s="115"/>
      <c r="AU311" s="115"/>
    </row>
    <row r="312" spans="1:47" ht="67.2" customHeight="1" thickBot="1" x14ac:dyDescent="0.4">
      <c r="A312" s="115"/>
      <c r="B312" s="1387"/>
      <c r="C312" s="1387"/>
      <c r="D312" s="115"/>
      <c r="E312" s="115"/>
      <c r="F312" s="115"/>
      <c r="G312" s="115"/>
      <c r="H312" s="115"/>
      <c r="I312" s="115"/>
      <c r="J312" s="115"/>
      <c r="K312" s="115"/>
      <c r="L312" s="115"/>
      <c r="M312" s="115"/>
      <c r="N312" s="115"/>
      <c r="O312" s="115"/>
      <c r="P312" s="115"/>
      <c r="Q312" s="115"/>
      <c r="R312" s="115"/>
      <c r="S312" s="115"/>
      <c r="T312" s="115"/>
      <c r="U312" s="115"/>
      <c r="V312" s="115"/>
      <c r="W312" s="115"/>
      <c r="X312" s="115"/>
      <c r="Y312" s="115"/>
      <c r="Z312" s="115"/>
      <c r="AA312" s="115"/>
      <c r="AB312" s="115"/>
      <c r="AC312" s="115"/>
      <c r="AD312" s="115"/>
      <c r="AE312" s="115"/>
      <c r="AF312" s="115"/>
      <c r="AG312" s="115"/>
      <c r="AH312" s="115"/>
      <c r="AI312" s="115"/>
      <c r="AJ312" s="115"/>
      <c r="AK312" s="115"/>
      <c r="AL312" s="115"/>
      <c r="AM312" s="115"/>
      <c r="AN312" s="115"/>
      <c r="AO312" s="115"/>
      <c r="AP312" s="115"/>
      <c r="AQ312" s="115"/>
      <c r="AR312" s="115"/>
      <c r="AS312" s="115"/>
      <c r="AT312" s="115"/>
      <c r="AU312" s="115"/>
    </row>
    <row r="313" spans="1:47" ht="67.2" customHeight="1" thickBot="1" x14ac:dyDescent="0.4">
      <c r="A313" s="115"/>
      <c r="B313" s="1387"/>
      <c r="C313" s="1387"/>
      <c r="D313" s="115"/>
      <c r="E313" s="115"/>
      <c r="F313" s="115"/>
      <c r="G313" s="115"/>
      <c r="H313" s="115"/>
      <c r="I313" s="115"/>
      <c r="J313" s="115"/>
      <c r="K313" s="115"/>
      <c r="L313" s="115"/>
      <c r="M313" s="115"/>
      <c r="N313" s="115"/>
      <c r="O313" s="115"/>
      <c r="P313" s="115"/>
      <c r="Q313" s="115"/>
      <c r="R313" s="115"/>
      <c r="S313" s="115"/>
      <c r="T313" s="115"/>
      <c r="U313" s="115"/>
      <c r="V313" s="115"/>
      <c r="W313" s="115"/>
      <c r="X313" s="115"/>
      <c r="Y313" s="115"/>
      <c r="Z313" s="115"/>
      <c r="AA313" s="115"/>
      <c r="AB313" s="115"/>
      <c r="AC313" s="115"/>
      <c r="AD313" s="115"/>
      <c r="AE313" s="115"/>
      <c r="AF313" s="115"/>
      <c r="AG313" s="115"/>
      <c r="AH313" s="115"/>
      <c r="AI313" s="115"/>
      <c r="AJ313" s="115"/>
      <c r="AK313" s="115"/>
      <c r="AL313" s="115"/>
      <c r="AM313" s="115"/>
      <c r="AN313" s="115"/>
      <c r="AO313" s="115"/>
      <c r="AP313" s="115"/>
      <c r="AQ313" s="115"/>
      <c r="AR313" s="115"/>
      <c r="AS313" s="115"/>
      <c r="AT313" s="115"/>
      <c r="AU313" s="115"/>
    </row>
    <row r="314" spans="1:47" ht="67.2" customHeight="1" thickBot="1" x14ac:dyDescent="0.4">
      <c r="A314" s="115"/>
      <c r="B314" s="1387"/>
      <c r="C314" s="1387"/>
      <c r="D314" s="115"/>
      <c r="E314" s="115"/>
      <c r="F314" s="115"/>
      <c r="G314" s="115"/>
      <c r="H314" s="115"/>
      <c r="I314" s="115"/>
      <c r="J314" s="115"/>
      <c r="K314" s="115"/>
      <c r="L314" s="115"/>
      <c r="M314" s="115"/>
      <c r="N314" s="115"/>
      <c r="O314" s="115"/>
      <c r="P314" s="115"/>
      <c r="Q314" s="115"/>
      <c r="R314" s="115"/>
      <c r="S314" s="115"/>
      <c r="T314" s="115"/>
      <c r="U314" s="115"/>
      <c r="V314" s="115"/>
      <c r="W314" s="115"/>
      <c r="X314" s="115"/>
      <c r="Y314" s="115"/>
      <c r="Z314" s="115"/>
      <c r="AA314" s="115"/>
      <c r="AB314" s="115"/>
      <c r="AC314" s="115"/>
      <c r="AD314" s="115"/>
      <c r="AE314" s="115"/>
      <c r="AF314" s="115"/>
      <c r="AG314" s="115"/>
      <c r="AH314" s="115"/>
      <c r="AI314" s="115"/>
      <c r="AJ314" s="115"/>
      <c r="AK314" s="115"/>
      <c r="AL314" s="115"/>
      <c r="AM314" s="115"/>
      <c r="AN314" s="115"/>
      <c r="AO314" s="115"/>
      <c r="AP314" s="115"/>
      <c r="AQ314" s="115"/>
      <c r="AR314" s="115"/>
      <c r="AS314" s="115"/>
      <c r="AT314" s="115"/>
      <c r="AU314" s="115"/>
    </row>
    <row r="315" spans="1:47" ht="67.2" customHeight="1" thickBot="1" x14ac:dyDescent="0.4">
      <c r="A315" s="115"/>
      <c r="B315" s="1387"/>
      <c r="C315" s="1387"/>
      <c r="D315" s="115"/>
      <c r="E315" s="115"/>
      <c r="F315" s="115"/>
      <c r="G315" s="115"/>
      <c r="H315" s="115"/>
      <c r="I315" s="115"/>
      <c r="J315" s="115"/>
      <c r="K315" s="115"/>
      <c r="L315" s="115"/>
      <c r="M315" s="115"/>
      <c r="N315" s="115"/>
      <c r="O315" s="115"/>
      <c r="P315" s="115"/>
      <c r="Q315" s="115"/>
      <c r="R315" s="115"/>
      <c r="S315" s="115"/>
      <c r="T315" s="115"/>
      <c r="U315" s="115"/>
      <c r="V315" s="115"/>
      <c r="W315" s="115"/>
      <c r="X315" s="115"/>
      <c r="Y315" s="115"/>
      <c r="Z315" s="115"/>
      <c r="AA315" s="115"/>
      <c r="AB315" s="115"/>
      <c r="AC315" s="115"/>
      <c r="AD315" s="115"/>
      <c r="AE315" s="115"/>
      <c r="AF315" s="115"/>
      <c r="AG315" s="115"/>
      <c r="AH315" s="115"/>
      <c r="AI315" s="115"/>
      <c r="AJ315" s="115"/>
      <c r="AK315" s="115"/>
      <c r="AL315" s="115"/>
      <c r="AM315" s="115"/>
      <c r="AN315" s="115"/>
      <c r="AO315" s="115"/>
      <c r="AP315" s="115"/>
      <c r="AQ315" s="115"/>
      <c r="AR315" s="115"/>
      <c r="AS315" s="115"/>
      <c r="AT315" s="115"/>
      <c r="AU315" s="115"/>
    </row>
    <row r="316" spans="1:47" ht="67.2" customHeight="1" thickBot="1" x14ac:dyDescent="0.4">
      <c r="A316" s="115"/>
      <c r="B316" s="1387"/>
      <c r="C316" s="1387"/>
      <c r="D316" s="115"/>
      <c r="E316" s="115"/>
      <c r="F316" s="115"/>
      <c r="G316" s="115"/>
      <c r="H316" s="115"/>
      <c r="I316" s="115"/>
      <c r="J316" s="115"/>
      <c r="K316" s="115"/>
      <c r="L316" s="115"/>
      <c r="M316" s="115"/>
      <c r="N316" s="115"/>
      <c r="O316" s="115"/>
      <c r="P316" s="115"/>
      <c r="Q316" s="115"/>
      <c r="R316" s="115"/>
      <c r="S316" s="115"/>
      <c r="T316" s="115"/>
      <c r="U316" s="115"/>
      <c r="V316" s="115"/>
      <c r="W316" s="115"/>
      <c r="X316" s="115"/>
      <c r="Y316" s="115"/>
      <c r="Z316" s="115"/>
      <c r="AA316" s="115"/>
      <c r="AB316" s="115"/>
      <c r="AC316" s="115"/>
      <c r="AD316" s="115"/>
      <c r="AE316" s="115"/>
      <c r="AF316" s="115"/>
      <c r="AG316" s="115"/>
      <c r="AH316" s="115"/>
      <c r="AI316" s="115"/>
      <c r="AJ316" s="115"/>
      <c r="AK316" s="115"/>
      <c r="AL316" s="115"/>
      <c r="AM316" s="115"/>
      <c r="AN316" s="115"/>
      <c r="AO316" s="115"/>
      <c r="AP316" s="115"/>
      <c r="AQ316" s="115"/>
      <c r="AR316" s="115"/>
      <c r="AS316" s="115"/>
      <c r="AT316" s="115"/>
      <c r="AU316" s="115"/>
    </row>
    <row r="317" spans="1:47" ht="67.2" customHeight="1" thickBot="1" x14ac:dyDescent="0.4">
      <c r="A317" s="115"/>
      <c r="B317" s="1387"/>
      <c r="C317" s="1387"/>
      <c r="D317" s="115"/>
      <c r="E317" s="115"/>
      <c r="F317" s="115"/>
      <c r="G317" s="115"/>
      <c r="H317" s="115"/>
      <c r="I317" s="115"/>
      <c r="J317" s="115"/>
      <c r="K317" s="115"/>
      <c r="L317" s="115"/>
      <c r="M317" s="115"/>
      <c r="N317" s="115"/>
      <c r="O317" s="115"/>
      <c r="P317" s="115"/>
      <c r="Q317" s="115"/>
      <c r="R317" s="115"/>
      <c r="S317" s="115"/>
      <c r="T317" s="115"/>
      <c r="U317" s="115"/>
      <c r="V317" s="115"/>
      <c r="W317" s="115"/>
      <c r="X317" s="115"/>
      <c r="Y317" s="115"/>
      <c r="Z317" s="115"/>
      <c r="AA317" s="115"/>
      <c r="AB317" s="115"/>
      <c r="AC317" s="115"/>
      <c r="AD317" s="115"/>
      <c r="AE317" s="115"/>
      <c r="AF317" s="115"/>
      <c r="AG317" s="115"/>
      <c r="AH317" s="115"/>
      <c r="AI317" s="115"/>
      <c r="AJ317" s="115"/>
      <c r="AK317" s="115"/>
      <c r="AL317" s="115"/>
      <c r="AM317" s="115"/>
      <c r="AN317" s="115"/>
      <c r="AO317" s="115"/>
      <c r="AP317" s="115"/>
      <c r="AQ317" s="115"/>
      <c r="AR317" s="115"/>
      <c r="AS317" s="115"/>
      <c r="AT317" s="115"/>
      <c r="AU317" s="115"/>
    </row>
    <row r="318" spans="1:47" ht="67.2" customHeight="1" thickBot="1" x14ac:dyDescent="0.4">
      <c r="A318" s="115"/>
      <c r="B318" s="1387"/>
      <c r="C318" s="1387"/>
      <c r="D318" s="115"/>
      <c r="E318" s="115"/>
      <c r="F318" s="115"/>
      <c r="G318" s="115"/>
      <c r="H318" s="115"/>
      <c r="I318" s="115"/>
      <c r="J318" s="115"/>
      <c r="K318" s="115"/>
      <c r="L318" s="115"/>
      <c r="M318" s="115"/>
      <c r="N318" s="115"/>
      <c r="O318" s="115"/>
      <c r="P318" s="115"/>
      <c r="Q318" s="115"/>
      <c r="R318" s="115"/>
      <c r="S318" s="115"/>
      <c r="T318" s="115"/>
      <c r="U318" s="115"/>
      <c r="V318" s="115"/>
      <c r="W318" s="115"/>
      <c r="X318" s="115"/>
      <c r="Y318" s="115"/>
      <c r="Z318" s="115"/>
      <c r="AA318" s="115"/>
      <c r="AB318" s="115"/>
      <c r="AC318" s="115"/>
      <c r="AD318" s="115"/>
      <c r="AE318" s="115"/>
      <c r="AF318" s="115"/>
      <c r="AG318" s="115"/>
      <c r="AH318" s="115"/>
      <c r="AI318" s="115"/>
      <c r="AJ318" s="115"/>
      <c r="AK318" s="115"/>
      <c r="AL318" s="115"/>
      <c r="AM318" s="115"/>
      <c r="AN318" s="115"/>
      <c r="AO318" s="115"/>
      <c r="AP318" s="115"/>
      <c r="AQ318" s="115"/>
      <c r="AR318" s="115"/>
      <c r="AS318" s="115"/>
      <c r="AT318" s="115"/>
      <c r="AU318" s="115"/>
    </row>
    <row r="319" spans="1:47" ht="67.2" customHeight="1" thickBot="1" x14ac:dyDescent="0.4">
      <c r="A319" s="115"/>
      <c r="B319" s="1387"/>
      <c r="C319" s="1387"/>
      <c r="D319" s="115"/>
      <c r="E319" s="115"/>
      <c r="F319" s="115"/>
      <c r="G319" s="115"/>
      <c r="H319" s="115"/>
      <c r="I319" s="115"/>
      <c r="J319" s="115"/>
      <c r="K319" s="115"/>
      <c r="L319" s="115"/>
      <c r="M319" s="115"/>
      <c r="N319" s="115"/>
      <c r="O319" s="115"/>
      <c r="P319" s="115"/>
      <c r="Q319" s="115"/>
      <c r="R319" s="115"/>
      <c r="S319" s="115"/>
      <c r="T319" s="115"/>
      <c r="U319" s="115"/>
      <c r="V319" s="115"/>
      <c r="W319" s="115"/>
      <c r="X319" s="115"/>
      <c r="Y319" s="115"/>
      <c r="Z319" s="115"/>
      <c r="AA319" s="115"/>
      <c r="AB319" s="115"/>
      <c r="AC319" s="115"/>
      <c r="AD319" s="115"/>
      <c r="AE319" s="115"/>
      <c r="AF319" s="115"/>
      <c r="AG319" s="115"/>
      <c r="AH319" s="115"/>
      <c r="AI319" s="115"/>
      <c r="AJ319" s="115"/>
      <c r="AK319" s="115"/>
      <c r="AL319" s="115"/>
      <c r="AM319" s="115"/>
      <c r="AN319" s="115"/>
      <c r="AO319" s="115"/>
      <c r="AP319" s="115"/>
      <c r="AQ319" s="115"/>
      <c r="AR319" s="115"/>
      <c r="AS319" s="115"/>
      <c r="AT319" s="115"/>
      <c r="AU319" s="115"/>
    </row>
    <row r="320" spans="1:47" ht="67.2" customHeight="1" thickBot="1" x14ac:dyDescent="0.4">
      <c r="A320" s="115"/>
      <c r="B320" s="1387"/>
      <c r="C320" s="1387"/>
      <c r="D320" s="115"/>
      <c r="E320" s="115"/>
      <c r="F320" s="115"/>
      <c r="G320" s="115"/>
      <c r="H320" s="115"/>
      <c r="I320" s="115"/>
      <c r="J320" s="115"/>
      <c r="K320" s="115"/>
      <c r="L320" s="115"/>
      <c r="M320" s="115"/>
      <c r="N320" s="115"/>
      <c r="O320" s="115"/>
      <c r="P320" s="115"/>
      <c r="Q320" s="115"/>
      <c r="R320" s="115"/>
      <c r="S320" s="115"/>
      <c r="T320" s="115"/>
      <c r="U320" s="115"/>
      <c r="V320" s="115"/>
      <c r="W320" s="115"/>
      <c r="X320" s="115"/>
      <c r="Y320" s="115"/>
      <c r="Z320" s="115"/>
      <c r="AA320" s="115"/>
      <c r="AB320" s="115"/>
      <c r="AC320" s="115"/>
      <c r="AD320" s="115"/>
      <c r="AE320" s="115"/>
      <c r="AF320" s="115"/>
      <c r="AG320" s="115"/>
      <c r="AH320" s="115"/>
      <c r="AI320" s="115"/>
      <c r="AJ320" s="115"/>
      <c r="AK320" s="115"/>
      <c r="AL320" s="115"/>
      <c r="AM320" s="115"/>
      <c r="AN320" s="115"/>
      <c r="AO320" s="115"/>
      <c r="AP320" s="115"/>
      <c r="AQ320" s="115"/>
      <c r="AR320" s="115"/>
      <c r="AS320" s="115"/>
      <c r="AT320" s="115"/>
      <c r="AU320" s="115"/>
    </row>
    <row r="321" spans="1:47" ht="67.2" customHeight="1" thickBot="1" x14ac:dyDescent="0.4">
      <c r="A321" s="115"/>
      <c r="B321" s="1387"/>
      <c r="C321" s="1387"/>
      <c r="D321" s="115"/>
      <c r="E321" s="115"/>
      <c r="F321" s="115"/>
      <c r="G321" s="115"/>
      <c r="H321" s="115"/>
      <c r="I321" s="115"/>
      <c r="J321" s="115"/>
      <c r="K321" s="115"/>
      <c r="L321" s="115"/>
      <c r="M321" s="115"/>
      <c r="N321" s="115"/>
      <c r="O321" s="115"/>
      <c r="P321" s="115"/>
      <c r="Q321" s="115"/>
      <c r="R321" s="115"/>
      <c r="S321" s="115"/>
      <c r="T321" s="115"/>
      <c r="U321" s="115"/>
      <c r="V321" s="115"/>
      <c r="W321" s="115"/>
      <c r="X321" s="115"/>
      <c r="Y321" s="115"/>
      <c r="Z321" s="115"/>
      <c r="AA321" s="115"/>
      <c r="AB321" s="115"/>
      <c r="AC321" s="115"/>
      <c r="AD321" s="115"/>
      <c r="AE321" s="115"/>
      <c r="AF321" s="115"/>
      <c r="AG321" s="115"/>
      <c r="AH321" s="115"/>
      <c r="AI321" s="115"/>
      <c r="AJ321" s="115"/>
      <c r="AK321" s="115"/>
      <c r="AL321" s="115"/>
      <c r="AM321" s="115"/>
      <c r="AN321" s="115"/>
      <c r="AO321" s="115"/>
      <c r="AP321" s="115"/>
      <c r="AQ321" s="115"/>
      <c r="AR321" s="115"/>
      <c r="AS321" s="115"/>
      <c r="AT321" s="115"/>
      <c r="AU321" s="115"/>
    </row>
    <row r="322" spans="1:47" ht="67.2" customHeight="1" thickBot="1" x14ac:dyDescent="0.4">
      <c r="A322" s="115"/>
      <c r="B322" s="1387"/>
      <c r="C322" s="1387"/>
      <c r="D322" s="115"/>
      <c r="E322" s="115"/>
      <c r="F322" s="115"/>
      <c r="G322" s="115"/>
      <c r="H322" s="115"/>
      <c r="I322" s="115"/>
      <c r="J322" s="115"/>
      <c r="K322" s="115"/>
      <c r="L322" s="115"/>
      <c r="M322" s="115"/>
      <c r="N322" s="115"/>
      <c r="O322" s="115"/>
      <c r="P322" s="115"/>
      <c r="Q322" s="115"/>
      <c r="R322" s="115"/>
      <c r="S322" s="115"/>
      <c r="T322" s="115"/>
      <c r="U322" s="115"/>
      <c r="V322" s="115"/>
      <c r="W322" s="115"/>
      <c r="X322" s="115"/>
      <c r="Y322" s="115"/>
      <c r="Z322" s="115"/>
      <c r="AA322" s="115"/>
      <c r="AB322" s="115"/>
      <c r="AC322" s="115"/>
      <c r="AD322" s="115"/>
      <c r="AE322" s="115"/>
      <c r="AF322" s="115"/>
      <c r="AG322" s="115"/>
      <c r="AH322" s="115"/>
      <c r="AI322" s="115"/>
      <c r="AJ322" s="115"/>
      <c r="AK322" s="115"/>
      <c r="AL322" s="115"/>
      <c r="AM322" s="115"/>
      <c r="AN322" s="115"/>
      <c r="AO322" s="115"/>
      <c r="AP322" s="115"/>
      <c r="AQ322" s="115"/>
      <c r="AR322" s="115"/>
      <c r="AS322" s="115"/>
      <c r="AT322" s="115"/>
      <c r="AU322" s="115"/>
    </row>
    <row r="323" spans="1:47" ht="67.2" customHeight="1" thickBot="1" x14ac:dyDescent="0.4">
      <c r="A323" s="115"/>
      <c r="B323" s="1387"/>
      <c r="C323" s="1387"/>
      <c r="D323" s="115"/>
      <c r="E323" s="115"/>
      <c r="F323" s="115"/>
      <c r="G323" s="115"/>
      <c r="H323" s="115"/>
      <c r="I323" s="115"/>
      <c r="J323" s="115"/>
      <c r="K323" s="115"/>
      <c r="L323" s="115"/>
      <c r="M323" s="115"/>
      <c r="N323" s="115"/>
      <c r="O323" s="115"/>
      <c r="P323" s="115"/>
      <c r="Q323" s="115"/>
      <c r="R323" s="115"/>
      <c r="S323" s="115"/>
      <c r="T323" s="115"/>
      <c r="U323" s="115"/>
      <c r="V323" s="115"/>
      <c r="W323" s="115"/>
      <c r="X323" s="115"/>
      <c r="Y323" s="115"/>
      <c r="Z323" s="115"/>
      <c r="AA323" s="115"/>
      <c r="AB323" s="115"/>
      <c r="AC323" s="115"/>
      <c r="AD323" s="115"/>
      <c r="AE323" s="115"/>
      <c r="AF323" s="115"/>
      <c r="AG323" s="115"/>
      <c r="AH323" s="115"/>
      <c r="AI323" s="115"/>
      <c r="AJ323" s="115"/>
      <c r="AK323" s="115"/>
      <c r="AL323" s="115"/>
      <c r="AM323" s="115"/>
      <c r="AN323" s="115"/>
      <c r="AO323" s="115"/>
      <c r="AP323" s="115"/>
      <c r="AQ323" s="115"/>
      <c r="AR323" s="115"/>
      <c r="AS323" s="115"/>
      <c r="AT323" s="115"/>
      <c r="AU323" s="115"/>
    </row>
    <row r="324" spans="1:47" ht="67.2" customHeight="1" thickBot="1" x14ac:dyDescent="0.4">
      <c r="A324" s="115"/>
      <c r="B324" s="1387"/>
      <c r="C324" s="1387"/>
      <c r="D324" s="115"/>
      <c r="E324" s="115"/>
      <c r="F324" s="115"/>
      <c r="G324" s="115"/>
      <c r="H324" s="115"/>
      <c r="I324" s="115"/>
      <c r="J324" s="115"/>
      <c r="K324" s="115"/>
      <c r="L324" s="115"/>
      <c r="M324" s="115"/>
      <c r="N324" s="115"/>
      <c r="O324" s="115"/>
      <c r="P324" s="115"/>
      <c r="Q324" s="115"/>
      <c r="R324" s="115"/>
      <c r="S324" s="115"/>
      <c r="T324" s="115"/>
      <c r="U324" s="115"/>
      <c r="V324" s="115"/>
      <c r="W324" s="115"/>
      <c r="X324" s="115"/>
      <c r="Y324" s="115"/>
      <c r="Z324" s="115"/>
      <c r="AA324" s="115"/>
      <c r="AB324" s="115"/>
      <c r="AC324" s="115"/>
      <c r="AD324" s="115"/>
      <c r="AE324" s="115"/>
      <c r="AF324" s="115"/>
      <c r="AG324" s="115"/>
      <c r="AH324" s="115"/>
      <c r="AI324" s="115"/>
      <c r="AJ324" s="115"/>
      <c r="AK324" s="115"/>
      <c r="AL324" s="115"/>
      <c r="AM324" s="115"/>
      <c r="AN324" s="115"/>
      <c r="AO324" s="115"/>
      <c r="AP324" s="115"/>
      <c r="AQ324" s="115"/>
      <c r="AR324" s="115"/>
      <c r="AS324" s="115"/>
      <c r="AT324" s="115"/>
      <c r="AU324" s="115"/>
    </row>
    <row r="325" spans="1:47" ht="67.2" customHeight="1" thickBot="1" x14ac:dyDescent="0.4">
      <c r="A325" s="115"/>
      <c r="B325" s="1387"/>
      <c r="C325" s="1387"/>
      <c r="D325" s="115"/>
      <c r="E325" s="115"/>
      <c r="F325" s="115"/>
      <c r="G325" s="115"/>
      <c r="H325" s="115"/>
      <c r="I325" s="115"/>
      <c r="J325" s="115"/>
      <c r="K325" s="115"/>
      <c r="L325" s="115"/>
      <c r="M325" s="115"/>
      <c r="N325" s="115"/>
      <c r="O325" s="115"/>
      <c r="P325" s="115"/>
      <c r="Q325" s="115"/>
      <c r="R325" s="115"/>
      <c r="S325" s="115"/>
      <c r="T325" s="115"/>
      <c r="U325" s="115"/>
      <c r="V325" s="115"/>
      <c r="W325" s="115"/>
      <c r="X325" s="115"/>
      <c r="Y325" s="115"/>
      <c r="Z325" s="115"/>
      <c r="AA325" s="115"/>
      <c r="AB325" s="115"/>
      <c r="AC325" s="115"/>
      <c r="AD325" s="115"/>
      <c r="AE325" s="115"/>
      <c r="AF325" s="115"/>
      <c r="AG325" s="115"/>
      <c r="AH325" s="115"/>
      <c r="AI325" s="115"/>
      <c r="AJ325" s="115"/>
      <c r="AK325" s="115"/>
      <c r="AL325" s="115"/>
      <c r="AM325" s="115"/>
      <c r="AN325" s="115"/>
      <c r="AO325" s="115"/>
      <c r="AP325" s="115"/>
      <c r="AQ325" s="115"/>
      <c r="AR325" s="115"/>
      <c r="AS325" s="115"/>
      <c r="AT325" s="115"/>
      <c r="AU325" s="115"/>
    </row>
    <row r="326" spans="1:47" ht="67.2" customHeight="1" thickBot="1" x14ac:dyDescent="0.4">
      <c r="A326" s="115"/>
      <c r="B326" s="1387"/>
      <c r="C326" s="1387"/>
      <c r="D326" s="115"/>
      <c r="E326" s="115"/>
      <c r="F326" s="115"/>
      <c r="G326" s="115"/>
      <c r="H326" s="115"/>
      <c r="I326" s="115"/>
      <c r="J326" s="115"/>
      <c r="K326" s="115"/>
      <c r="L326" s="115"/>
      <c r="M326" s="115"/>
      <c r="N326" s="115"/>
      <c r="O326" s="115"/>
      <c r="P326" s="115"/>
      <c r="Q326" s="115"/>
      <c r="R326" s="115"/>
      <c r="S326" s="115"/>
      <c r="T326" s="115"/>
      <c r="U326" s="115"/>
      <c r="V326" s="115"/>
      <c r="W326" s="115"/>
      <c r="X326" s="115"/>
      <c r="Y326" s="115"/>
      <c r="Z326" s="115"/>
      <c r="AA326" s="115"/>
      <c r="AB326" s="115"/>
      <c r="AC326" s="115"/>
      <c r="AD326" s="115"/>
      <c r="AE326" s="115"/>
      <c r="AF326" s="115"/>
      <c r="AG326" s="115"/>
      <c r="AH326" s="115"/>
      <c r="AI326" s="115"/>
      <c r="AJ326" s="115"/>
      <c r="AK326" s="115"/>
      <c r="AL326" s="115"/>
      <c r="AM326" s="115"/>
      <c r="AN326" s="115"/>
      <c r="AO326" s="115"/>
      <c r="AP326" s="115"/>
      <c r="AQ326" s="115"/>
      <c r="AR326" s="115"/>
      <c r="AS326" s="115"/>
      <c r="AT326" s="115"/>
      <c r="AU326" s="115"/>
    </row>
    <row r="327" spans="1:47" ht="67.2" customHeight="1" thickBot="1" x14ac:dyDescent="0.4">
      <c r="A327" s="115"/>
      <c r="B327" s="1387"/>
      <c r="C327" s="1387"/>
      <c r="D327" s="115"/>
      <c r="E327" s="115"/>
      <c r="F327" s="115"/>
      <c r="G327" s="115"/>
      <c r="H327" s="115"/>
      <c r="I327" s="115"/>
      <c r="J327" s="115"/>
      <c r="K327" s="115"/>
      <c r="L327" s="115"/>
      <c r="M327" s="115"/>
      <c r="N327" s="115"/>
      <c r="O327" s="115"/>
      <c r="P327" s="115"/>
      <c r="Q327" s="115"/>
      <c r="R327" s="115"/>
      <c r="S327" s="115"/>
      <c r="T327" s="115"/>
      <c r="U327" s="115"/>
      <c r="V327" s="115"/>
      <c r="W327" s="115"/>
      <c r="X327" s="115"/>
      <c r="Y327" s="115"/>
      <c r="Z327" s="115"/>
      <c r="AA327" s="115"/>
      <c r="AB327" s="115"/>
      <c r="AC327" s="115"/>
      <c r="AD327" s="115"/>
      <c r="AE327" s="115"/>
      <c r="AF327" s="115"/>
      <c r="AG327" s="115"/>
      <c r="AH327" s="115"/>
      <c r="AI327" s="115"/>
      <c r="AJ327" s="115"/>
      <c r="AK327" s="115"/>
      <c r="AL327" s="115"/>
      <c r="AM327" s="115"/>
      <c r="AN327" s="115"/>
      <c r="AO327" s="115"/>
      <c r="AP327" s="115"/>
      <c r="AQ327" s="115"/>
      <c r="AR327" s="115"/>
      <c r="AS327" s="115"/>
      <c r="AT327" s="115"/>
      <c r="AU327" s="115"/>
    </row>
    <row r="328" spans="1:47" ht="67.2" customHeight="1" thickBot="1" x14ac:dyDescent="0.4">
      <c r="A328" s="115"/>
      <c r="B328" s="1387"/>
      <c r="C328" s="1387"/>
      <c r="D328" s="115"/>
      <c r="E328" s="115"/>
      <c r="F328" s="115"/>
      <c r="G328" s="115"/>
      <c r="H328" s="115"/>
      <c r="I328" s="115"/>
      <c r="J328" s="115"/>
      <c r="K328" s="115"/>
      <c r="L328" s="115"/>
      <c r="M328" s="115"/>
      <c r="N328" s="115"/>
      <c r="O328" s="115"/>
      <c r="P328" s="115"/>
      <c r="Q328" s="115"/>
      <c r="R328" s="115"/>
      <c r="S328" s="115"/>
      <c r="T328" s="115"/>
      <c r="U328" s="115"/>
      <c r="V328" s="115"/>
      <c r="W328" s="115"/>
      <c r="X328" s="115"/>
      <c r="Y328" s="115"/>
      <c r="Z328" s="115"/>
      <c r="AA328" s="115"/>
      <c r="AB328" s="115"/>
      <c r="AC328" s="115"/>
      <c r="AD328" s="115"/>
      <c r="AE328" s="115"/>
      <c r="AF328" s="115"/>
      <c r="AG328" s="115"/>
      <c r="AH328" s="115"/>
      <c r="AI328" s="115"/>
      <c r="AJ328" s="115"/>
      <c r="AK328" s="115"/>
      <c r="AL328" s="115"/>
      <c r="AM328" s="115"/>
      <c r="AN328" s="115"/>
      <c r="AO328" s="115"/>
      <c r="AP328" s="115"/>
      <c r="AQ328" s="115"/>
      <c r="AR328" s="115"/>
      <c r="AS328" s="115"/>
      <c r="AT328" s="115"/>
      <c r="AU328" s="115"/>
    </row>
    <row r="329" spans="1:47" ht="67.2" customHeight="1" thickBot="1" x14ac:dyDescent="0.4">
      <c r="A329" s="115"/>
      <c r="B329" s="1387"/>
      <c r="C329" s="1387"/>
      <c r="D329" s="115"/>
      <c r="E329" s="115"/>
      <c r="F329" s="115"/>
      <c r="G329" s="115"/>
      <c r="H329" s="115"/>
      <c r="I329" s="115"/>
      <c r="J329" s="115"/>
      <c r="K329" s="115"/>
      <c r="L329" s="115"/>
      <c r="M329" s="115"/>
      <c r="N329" s="115"/>
      <c r="O329" s="115"/>
      <c r="P329" s="115"/>
      <c r="Q329" s="115"/>
      <c r="R329" s="115"/>
      <c r="S329" s="115"/>
      <c r="T329" s="115"/>
      <c r="U329" s="115"/>
      <c r="V329" s="115"/>
      <c r="W329" s="115"/>
      <c r="X329" s="115"/>
      <c r="Y329" s="115"/>
      <c r="Z329" s="115"/>
      <c r="AA329" s="115"/>
      <c r="AB329" s="115"/>
      <c r="AC329" s="115"/>
      <c r="AD329" s="115"/>
      <c r="AE329" s="115"/>
      <c r="AF329" s="115"/>
      <c r="AG329" s="115"/>
      <c r="AH329" s="115"/>
      <c r="AI329" s="115"/>
      <c r="AJ329" s="115"/>
      <c r="AK329" s="115"/>
      <c r="AL329" s="115"/>
      <c r="AM329" s="115"/>
      <c r="AN329" s="115"/>
      <c r="AO329" s="115"/>
      <c r="AP329" s="115"/>
      <c r="AQ329" s="115"/>
      <c r="AR329" s="115"/>
      <c r="AS329" s="115"/>
      <c r="AT329" s="115"/>
      <c r="AU329" s="115"/>
    </row>
    <row r="330" spans="1:47" ht="67.2" customHeight="1" thickBot="1" x14ac:dyDescent="0.4">
      <c r="A330" s="115"/>
      <c r="B330" s="1387"/>
      <c r="C330" s="1387"/>
      <c r="D330" s="115"/>
      <c r="E330" s="115"/>
      <c r="F330" s="115"/>
      <c r="G330" s="115"/>
      <c r="H330" s="115"/>
      <c r="I330" s="115"/>
      <c r="J330" s="115"/>
      <c r="K330" s="115"/>
      <c r="L330" s="115"/>
      <c r="M330" s="115"/>
      <c r="N330" s="115"/>
      <c r="O330" s="115"/>
      <c r="P330" s="115"/>
      <c r="Q330" s="115"/>
      <c r="R330" s="115"/>
      <c r="S330" s="115"/>
      <c r="T330" s="115"/>
      <c r="U330" s="115"/>
      <c r="V330" s="115"/>
      <c r="W330" s="115"/>
      <c r="X330" s="115"/>
      <c r="Y330" s="115"/>
      <c r="Z330" s="115"/>
      <c r="AA330" s="115"/>
      <c r="AB330" s="115"/>
      <c r="AC330" s="115"/>
      <c r="AD330" s="115"/>
      <c r="AE330" s="115"/>
      <c r="AF330" s="115"/>
      <c r="AG330" s="115"/>
      <c r="AH330" s="115"/>
      <c r="AI330" s="115"/>
      <c r="AJ330" s="115"/>
      <c r="AK330" s="115"/>
      <c r="AL330" s="115"/>
      <c r="AM330" s="115"/>
      <c r="AN330" s="115"/>
      <c r="AO330" s="115"/>
      <c r="AP330" s="115"/>
      <c r="AQ330" s="115"/>
      <c r="AR330" s="115"/>
      <c r="AS330" s="115"/>
      <c r="AT330" s="115"/>
      <c r="AU330" s="115"/>
    </row>
    <row r="331" spans="1:47" ht="67.2" customHeight="1" thickBot="1" x14ac:dyDescent="0.4">
      <c r="A331" s="115"/>
      <c r="B331" s="1387"/>
      <c r="C331" s="1387"/>
      <c r="D331" s="115"/>
      <c r="E331" s="115"/>
      <c r="F331" s="115"/>
      <c r="G331" s="115"/>
      <c r="H331" s="115"/>
      <c r="I331" s="115"/>
      <c r="J331" s="115"/>
      <c r="K331" s="115"/>
      <c r="L331" s="115"/>
      <c r="M331" s="115"/>
      <c r="N331" s="115"/>
      <c r="O331" s="115"/>
      <c r="P331" s="115"/>
      <c r="Q331" s="115"/>
      <c r="R331" s="115"/>
      <c r="S331" s="115"/>
      <c r="T331" s="115"/>
      <c r="U331" s="115"/>
      <c r="V331" s="115"/>
      <c r="W331" s="115"/>
      <c r="X331" s="115"/>
      <c r="Y331" s="115"/>
      <c r="Z331" s="115"/>
      <c r="AA331" s="115"/>
      <c r="AB331" s="115"/>
      <c r="AC331" s="115"/>
      <c r="AD331" s="115"/>
      <c r="AE331" s="115"/>
      <c r="AF331" s="115"/>
      <c r="AG331" s="115"/>
      <c r="AH331" s="115"/>
      <c r="AI331" s="115"/>
      <c r="AJ331" s="115"/>
      <c r="AK331" s="115"/>
      <c r="AL331" s="115"/>
      <c r="AM331" s="115"/>
      <c r="AN331" s="115"/>
      <c r="AO331" s="115"/>
      <c r="AP331" s="115"/>
      <c r="AQ331" s="115"/>
      <c r="AR331" s="115"/>
      <c r="AS331" s="115"/>
      <c r="AT331" s="115"/>
      <c r="AU331" s="115"/>
    </row>
    <row r="332" spans="1:47" ht="67.2" customHeight="1" thickBot="1" x14ac:dyDescent="0.4">
      <c r="A332" s="115"/>
      <c r="B332" s="1387"/>
      <c r="C332" s="1387"/>
      <c r="D332" s="115"/>
      <c r="E332" s="115"/>
      <c r="F332" s="115"/>
      <c r="G332" s="115"/>
      <c r="H332" s="115"/>
      <c r="I332" s="115"/>
      <c r="J332" s="115"/>
      <c r="K332" s="115"/>
      <c r="L332" s="115"/>
      <c r="M332" s="115"/>
      <c r="N332" s="115"/>
      <c r="O332" s="115"/>
      <c r="P332" s="115"/>
      <c r="Q332" s="115"/>
      <c r="R332" s="115"/>
      <c r="S332" s="115"/>
      <c r="T332" s="115"/>
      <c r="U332" s="115"/>
      <c r="V332" s="115"/>
      <c r="W332" s="115"/>
      <c r="X332" s="115"/>
      <c r="Y332" s="115"/>
      <c r="Z332" s="115"/>
      <c r="AA332" s="115"/>
      <c r="AB332" s="115"/>
      <c r="AC332" s="115"/>
      <c r="AD332" s="115"/>
      <c r="AE332" s="115"/>
      <c r="AF332" s="115"/>
      <c r="AG332" s="115"/>
      <c r="AH332" s="115"/>
      <c r="AI332" s="115"/>
      <c r="AJ332" s="115"/>
      <c r="AK332" s="115"/>
      <c r="AL332" s="115"/>
      <c r="AM332" s="115"/>
      <c r="AN332" s="115"/>
      <c r="AO332" s="115"/>
      <c r="AP332" s="115"/>
      <c r="AQ332" s="115"/>
      <c r="AR332" s="115"/>
      <c r="AS332" s="115"/>
      <c r="AT332" s="115"/>
      <c r="AU332" s="115"/>
    </row>
    <row r="333" spans="1:47" ht="67.2" customHeight="1" thickBot="1" x14ac:dyDescent="0.4">
      <c r="A333" s="115"/>
      <c r="B333" s="1387"/>
      <c r="C333" s="1387"/>
      <c r="D333" s="115"/>
      <c r="E333" s="115"/>
      <c r="F333" s="115"/>
      <c r="G333" s="115"/>
      <c r="H333" s="115"/>
      <c r="I333" s="115"/>
      <c r="J333" s="115"/>
      <c r="K333" s="115"/>
      <c r="L333" s="115"/>
      <c r="M333" s="115"/>
      <c r="N333" s="115"/>
      <c r="O333" s="115"/>
      <c r="P333" s="115"/>
      <c r="Q333" s="115"/>
      <c r="R333" s="115"/>
      <c r="S333" s="115"/>
      <c r="T333" s="115"/>
      <c r="U333" s="115"/>
      <c r="V333" s="115"/>
      <c r="W333" s="115"/>
      <c r="X333" s="115"/>
      <c r="Y333" s="115"/>
      <c r="Z333" s="115"/>
      <c r="AA333" s="115"/>
      <c r="AB333" s="115"/>
      <c r="AC333" s="115"/>
      <c r="AD333" s="115"/>
      <c r="AE333" s="115"/>
      <c r="AF333" s="115"/>
      <c r="AG333" s="115"/>
      <c r="AH333" s="115"/>
      <c r="AI333" s="115"/>
      <c r="AJ333" s="115"/>
      <c r="AK333" s="115"/>
      <c r="AL333" s="115"/>
      <c r="AM333" s="115"/>
      <c r="AN333" s="115"/>
      <c r="AO333" s="115"/>
      <c r="AP333" s="115"/>
      <c r="AQ333" s="115"/>
      <c r="AR333" s="115"/>
      <c r="AS333" s="115"/>
      <c r="AT333" s="115"/>
      <c r="AU333" s="115"/>
    </row>
    <row r="334" spans="1:47" ht="67.2" customHeight="1" thickBot="1" x14ac:dyDescent="0.4">
      <c r="A334" s="115"/>
      <c r="B334" s="1387"/>
      <c r="C334" s="1387"/>
      <c r="D334" s="115"/>
      <c r="E334" s="115"/>
      <c r="F334" s="115"/>
      <c r="G334" s="115"/>
      <c r="H334" s="115"/>
      <c r="I334" s="115"/>
      <c r="J334" s="115"/>
      <c r="K334" s="115"/>
      <c r="L334" s="115"/>
      <c r="M334" s="115"/>
      <c r="N334" s="115"/>
      <c r="O334" s="115"/>
      <c r="P334" s="115"/>
      <c r="Q334" s="115"/>
      <c r="R334" s="115"/>
      <c r="S334" s="115"/>
      <c r="T334" s="115"/>
      <c r="U334" s="115"/>
      <c r="V334" s="115"/>
      <c r="W334" s="115"/>
      <c r="X334" s="115"/>
      <c r="Y334" s="115"/>
      <c r="Z334" s="115"/>
      <c r="AA334" s="115"/>
      <c r="AB334" s="115"/>
      <c r="AC334" s="115"/>
      <c r="AD334" s="115"/>
      <c r="AE334" s="115"/>
      <c r="AF334" s="115"/>
      <c r="AG334" s="115"/>
      <c r="AH334" s="115"/>
      <c r="AI334" s="115"/>
      <c r="AJ334" s="115"/>
      <c r="AK334" s="115"/>
      <c r="AL334" s="115"/>
      <c r="AM334" s="115"/>
      <c r="AN334" s="115"/>
      <c r="AO334" s="115"/>
      <c r="AP334" s="115"/>
      <c r="AQ334" s="115"/>
      <c r="AR334" s="115"/>
      <c r="AS334" s="115"/>
      <c r="AT334" s="115"/>
      <c r="AU334" s="115"/>
    </row>
    <row r="335" spans="1:47" ht="67.2" customHeight="1" thickBot="1" x14ac:dyDescent="0.4">
      <c r="A335" s="115"/>
      <c r="B335" s="1387"/>
      <c r="C335" s="1387"/>
      <c r="D335" s="115"/>
      <c r="E335" s="115"/>
      <c r="F335" s="115"/>
      <c r="G335" s="115"/>
      <c r="H335" s="115"/>
      <c r="I335" s="115"/>
      <c r="J335" s="115"/>
      <c r="K335" s="115"/>
      <c r="L335" s="115"/>
      <c r="M335" s="115"/>
      <c r="N335" s="115"/>
      <c r="O335" s="115"/>
      <c r="P335" s="115"/>
      <c r="Q335" s="115"/>
      <c r="R335" s="115"/>
      <c r="S335" s="115"/>
      <c r="T335" s="115"/>
      <c r="U335" s="115"/>
      <c r="V335" s="115"/>
      <c r="W335" s="115"/>
      <c r="X335" s="115"/>
      <c r="Y335" s="115"/>
      <c r="Z335" s="115"/>
      <c r="AA335" s="115"/>
      <c r="AB335" s="115"/>
      <c r="AC335" s="115"/>
      <c r="AD335" s="115"/>
      <c r="AE335" s="115"/>
      <c r="AF335" s="115"/>
      <c r="AG335" s="115"/>
      <c r="AH335" s="115"/>
      <c r="AI335" s="115"/>
      <c r="AJ335" s="115"/>
      <c r="AK335" s="115"/>
      <c r="AL335" s="115"/>
      <c r="AM335" s="115"/>
      <c r="AN335" s="115"/>
      <c r="AO335" s="115"/>
      <c r="AP335" s="115"/>
      <c r="AQ335" s="115"/>
      <c r="AR335" s="115"/>
      <c r="AS335" s="115"/>
      <c r="AT335" s="115"/>
      <c r="AU335" s="115"/>
    </row>
    <row r="336" spans="1:47" ht="67.2" customHeight="1" thickBot="1" x14ac:dyDescent="0.4">
      <c r="A336" s="115"/>
      <c r="B336" s="1387"/>
      <c r="C336" s="1387"/>
      <c r="D336" s="115"/>
      <c r="E336" s="115"/>
      <c r="F336" s="115"/>
      <c r="G336" s="115"/>
      <c r="H336" s="115"/>
      <c r="I336" s="115"/>
      <c r="J336" s="115"/>
      <c r="K336" s="115"/>
      <c r="L336" s="115"/>
      <c r="M336" s="115"/>
      <c r="N336" s="115"/>
      <c r="O336" s="115"/>
      <c r="P336" s="115"/>
      <c r="Q336" s="115"/>
      <c r="R336" s="115"/>
      <c r="S336" s="115"/>
      <c r="T336" s="115"/>
      <c r="U336" s="115"/>
      <c r="V336" s="115"/>
      <c r="W336" s="115"/>
      <c r="X336" s="115"/>
      <c r="Y336" s="115"/>
      <c r="Z336" s="115"/>
      <c r="AA336" s="115"/>
      <c r="AB336" s="115"/>
      <c r="AC336" s="115"/>
      <c r="AD336" s="115"/>
      <c r="AE336" s="115"/>
      <c r="AF336" s="115"/>
      <c r="AG336" s="115"/>
      <c r="AH336" s="115"/>
      <c r="AI336" s="115"/>
      <c r="AJ336" s="115"/>
      <c r="AK336" s="115"/>
      <c r="AL336" s="115"/>
      <c r="AM336" s="115"/>
      <c r="AN336" s="115"/>
      <c r="AO336" s="115"/>
      <c r="AP336" s="115"/>
      <c r="AQ336" s="115"/>
      <c r="AR336" s="115"/>
      <c r="AS336" s="115"/>
      <c r="AT336" s="115"/>
      <c r="AU336" s="115"/>
    </row>
    <row r="337" spans="1:47" ht="67.2" customHeight="1" thickBot="1" x14ac:dyDescent="0.4">
      <c r="A337" s="115"/>
      <c r="B337" s="1387"/>
      <c r="C337" s="1387"/>
      <c r="D337" s="115"/>
      <c r="E337" s="115"/>
      <c r="F337" s="115"/>
      <c r="G337" s="115"/>
      <c r="H337" s="115"/>
      <c r="I337" s="115"/>
      <c r="J337" s="115"/>
      <c r="K337" s="115"/>
      <c r="L337" s="115"/>
      <c r="M337" s="115"/>
      <c r="N337" s="115"/>
      <c r="O337" s="115"/>
      <c r="P337" s="115"/>
      <c r="Q337" s="115"/>
      <c r="R337" s="115"/>
      <c r="S337" s="115"/>
      <c r="T337" s="115"/>
      <c r="U337" s="115"/>
      <c r="V337" s="115"/>
      <c r="W337" s="115"/>
      <c r="X337" s="115"/>
      <c r="Y337" s="115"/>
      <c r="Z337" s="115"/>
      <c r="AA337" s="115"/>
      <c r="AB337" s="115"/>
      <c r="AC337" s="115"/>
      <c r="AD337" s="115"/>
      <c r="AE337" s="115"/>
      <c r="AF337" s="115"/>
      <c r="AG337" s="115"/>
      <c r="AH337" s="115"/>
      <c r="AI337" s="115"/>
      <c r="AJ337" s="115"/>
      <c r="AK337" s="115"/>
      <c r="AL337" s="115"/>
      <c r="AM337" s="115"/>
      <c r="AN337" s="115"/>
      <c r="AO337" s="115"/>
      <c r="AP337" s="115"/>
      <c r="AQ337" s="115"/>
      <c r="AR337" s="115"/>
      <c r="AS337" s="115"/>
      <c r="AT337" s="115"/>
      <c r="AU337" s="115"/>
    </row>
    <row r="338" spans="1:47" ht="67.2" customHeight="1" thickBot="1" x14ac:dyDescent="0.4">
      <c r="A338" s="115"/>
      <c r="B338" s="1387"/>
      <c r="C338" s="1387"/>
      <c r="D338" s="115"/>
      <c r="E338" s="115"/>
      <c r="F338" s="115"/>
      <c r="G338" s="115"/>
      <c r="H338" s="115"/>
      <c r="I338" s="115"/>
      <c r="J338" s="115"/>
      <c r="K338" s="115"/>
      <c r="L338" s="115"/>
      <c r="M338" s="115"/>
      <c r="N338" s="115"/>
      <c r="O338" s="115"/>
      <c r="P338" s="115"/>
      <c r="Q338" s="115"/>
      <c r="R338" s="115"/>
      <c r="S338" s="115"/>
      <c r="T338" s="115"/>
      <c r="U338" s="115"/>
      <c r="V338" s="115"/>
      <c r="W338" s="115"/>
      <c r="X338" s="115"/>
      <c r="Y338" s="115"/>
      <c r="Z338" s="115"/>
      <c r="AA338" s="115"/>
      <c r="AB338" s="115"/>
      <c r="AC338" s="115"/>
      <c r="AD338" s="115"/>
      <c r="AE338" s="115"/>
      <c r="AF338" s="115"/>
      <c r="AG338" s="115"/>
      <c r="AH338" s="115"/>
      <c r="AI338" s="115"/>
      <c r="AJ338" s="115"/>
      <c r="AK338" s="115"/>
      <c r="AL338" s="115"/>
      <c r="AM338" s="115"/>
      <c r="AN338" s="115"/>
      <c r="AO338" s="115"/>
      <c r="AP338" s="115"/>
      <c r="AQ338" s="115"/>
      <c r="AR338" s="115"/>
      <c r="AS338" s="115"/>
      <c r="AT338" s="115"/>
      <c r="AU338" s="115"/>
    </row>
    <row r="339" spans="1:47" ht="67.2" customHeight="1" thickBot="1" x14ac:dyDescent="0.4">
      <c r="A339" s="115"/>
      <c r="B339" s="1387"/>
      <c r="C339" s="1387"/>
      <c r="D339" s="115"/>
      <c r="E339" s="115"/>
      <c r="F339" s="115"/>
      <c r="G339" s="115"/>
      <c r="H339" s="115"/>
      <c r="I339" s="115"/>
      <c r="J339" s="115"/>
      <c r="K339" s="115"/>
      <c r="L339" s="115"/>
      <c r="M339" s="115"/>
      <c r="N339" s="115"/>
      <c r="O339" s="115"/>
      <c r="P339" s="115"/>
      <c r="Q339" s="115"/>
      <c r="R339" s="115"/>
      <c r="S339" s="115"/>
      <c r="T339" s="115"/>
      <c r="U339" s="115"/>
      <c r="V339" s="115"/>
      <c r="W339" s="115"/>
      <c r="X339" s="115"/>
      <c r="Y339" s="115"/>
      <c r="Z339" s="115"/>
      <c r="AA339" s="115"/>
      <c r="AB339" s="115"/>
      <c r="AC339" s="115"/>
      <c r="AD339" s="115"/>
      <c r="AE339" s="115"/>
      <c r="AF339" s="115"/>
      <c r="AG339" s="115"/>
      <c r="AH339" s="115"/>
      <c r="AI339" s="115"/>
      <c r="AJ339" s="115"/>
      <c r="AK339" s="115"/>
      <c r="AL339" s="115"/>
      <c r="AM339" s="115"/>
      <c r="AN339" s="115"/>
      <c r="AO339" s="115"/>
      <c r="AP339" s="115"/>
      <c r="AQ339" s="115"/>
      <c r="AR339" s="115"/>
      <c r="AS339" s="115"/>
      <c r="AT339" s="115"/>
      <c r="AU339" s="115"/>
    </row>
    <row r="340" spans="1:47" ht="67.2" customHeight="1" thickBot="1" x14ac:dyDescent="0.4">
      <c r="A340" s="115"/>
      <c r="B340" s="1387"/>
      <c r="C340" s="1387"/>
      <c r="D340" s="115"/>
      <c r="E340" s="115"/>
      <c r="F340" s="115"/>
      <c r="G340" s="115"/>
      <c r="H340" s="115"/>
      <c r="I340" s="115"/>
      <c r="J340" s="115"/>
      <c r="K340" s="115"/>
      <c r="L340" s="115"/>
      <c r="M340" s="115"/>
      <c r="N340" s="115"/>
      <c r="O340" s="115"/>
      <c r="P340" s="115"/>
      <c r="Q340" s="115"/>
      <c r="R340" s="115"/>
      <c r="S340" s="115"/>
      <c r="T340" s="115"/>
      <c r="U340" s="115"/>
      <c r="V340" s="115"/>
      <c r="W340" s="115"/>
      <c r="X340" s="115"/>
      <c r="Y340" s="115"/>
      <c r="Z340" s="115"/>
      <c r="AA340" s="115"/>
      <c r="AB340" s="115"/>
      <c r="AC340" s="115"/>
      <c r="AD340" s="115"/>
      <c r="AE340" s="115"/>
      <c r="AF340" s="115"/>
      <c r="AG340" s="115"/>
      <c r="AH340" s="115"/>
      <c r="AI340" s="115"/>
      <c r="AJ340" s="115"/>
      <c r="AK340" s="115"/>
      <c r="AL340" s="115"/>
      <c r="AM340" s="115"/>
      <c r="AN340" s="115"/>
      <c r="AO340" s="115"/>
      <c r="AP340" s="115"/>
      <c r="AQ340" s="115"/>
      <c r="AR340" s="115"/>
      <c r="AS340" s="115"/>
      <c r="AT340" s="115"/>
      <c r="AU340" s="115"/>
    </row>
    <row r="341" spans="1:47" ht="67.2" customHeight="1" thickBot="1" x14ac:dyDescent="0.4">
      <c r="A341" s="115"/>
      <c r="B341" s="1387"/>
      <c r="C341" s="1387"/>
      <c r="D341" s="115"/>
      <c r="E341" s="115"/>
      <c r="F341" s="115"/>
      <c r="G341" s="115"/>
      <c r="H341" s="115"/>
      <c r="I341" s="115"/>
      <c r="J341" s="115"/>
      <c r="K341" s="115"/>
      <c r="L341" s="115"/>
      <c r="M341" s="115"/>
      <c r="N341" s="115"/>
      <c r="O341" s="115"/>
      <c r="P341" s="115"/>
      <c r="Q341" s="115"/>
      <c r="R341" s="115"/>
      <c r="S341" s="115"/>
      <c r="T341" s="115"/>
      <c r="U341" s="115"/>
      <c r="V341" s="115"/>
      <c r="W341" s="115"/>
      <c r="X341" s="115"/>
      <c r="Y341" s="115"/>
      <c r="Z341" s="115"/>
      <c r="AA341" s="115"/>
      <c r="AB341" s="115"/>
      <c r="AC341" s="115"/>
      <c r="AD341" s="115"/>
      <c r="AE341" s="115"/>
      <c r="AF341" s="115"/>
      <c r="AG341" s="115"/>
      <c r="AH341" s="115"/>
      <c r="AI341" s="115"/>
      <c r="AJ341" s="115"/>
      <c r="AK341" s="115"/>
      <c r="AL341" s="115"/>
      <c r="AM341" s="115"/>
      <c r="AN341" s="115"/>
      <c r="AO341" s="115"/>
      <c r="AP341" s="115"/>
      <c r="AQ341" s="115"/>
      <c r="AR341" s="115"/>
      <c r="AS341" s="115"/>
      <c r="AT341" s="115"/>
      <c r="AU341" s="115"/>
    </row>
  </sheetData>
  <sheetProtection password="DF7C" sheet="1" objects="1" scenarios="1"/>
  <autoFilter ref="A2:AV141">
    <sortState ref="A3:S141">
      <sortCondition sortBy="cellColor" ref="B2" dxfId="0"/>
    </sortState>
  </autoFilter>
  <mergeCells count="38">
    <mergeCell ref="B139:C139"/>
    <mergeCell ref="B109:C109"/>
    <mergeCell ref="B110:C110"/>
    <mergeCell ref="B116:C116"/>
    <mergeCell ref="B123:C123"/>
    <mergeCell ref="B131:C131"/>
    <mergeCell ref="B134:C134"/>
    <mergeCell ref="B105:C105"/>
    <mergeCell ref="B58:C58"/>
    <mergeCell ref="B61:C61"/>
    <mergeCell ref="B66:C66"/>
    <mergeCell ref="B68:C68"/>
    <mergeCell ref="B74:C74"/>
    <mergeCell ref="B77:C77"/>
    <mergeCell ref="B78:C78"/>
    <mergeCell ref="B85:C85"/>
    <mergeCell ref="B92:C92"/>
    <mergeCell ref="B94:C94"/>
    <mergeCell ref="B99:C99"/>
    <mergeCell ref="B57:C57"/>
    <mergeCell ref="B18:C18"/>
    <mergeCell ref="B23:C23"/>
    <mergeCell ref="B26:C26"/>
    <mergeCell ref="B30:C30"/>
    <mergeCell ref="B32:C32"/>
    <mergeCell ref="B36:C36"/>
    <mergeCell ref="B40:C40"/>
    <mergeCell ref="B43:C43"/>
    <mergeCell ref="B48:C48"/>
    <mergeCell ref="B49:C49"/>
    <mergeCell ref="B55:C55"/>
    <mergeCell ref="B17:C17"/>
    <mergeCell ref="B2:C2"/>
    <mergeCell ref="B3:C3"/>
    <mergeCell ref="B4:C4"/>
    <mergeCell ref="B5:C5"/>
    <mergeCell ref="B9:C9"/>
    <mergeCell ref="B12:C12"/>
  </mergeCells>
  <pageMargins left="0.7" right="0.7" top="0.75" bottom="0.75" header="0" footer="0"/>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U1000"/>
  <sheetViews>
    <sheetView zoomScale="29" zoomScaleNormal="29" workbookViewId="0">
      <pane xSplit="3" ySplit="4" topLeftCell="D5" activePane="bottomRight" state="frozen"/>
      <selection pane="topRight" activeCell="D1" sqref="D1"/>
      <selection pane="bottomLeft" activeCell="A5" sqref="A5"/>
      <selection pane="bottomRight" activeCell="BI11" sqref="BI11"/>
    </sheetView>
  </sheetViews>
  <sheetFormatPr baseColWidth="10" defaultColWidth="14.44140625" defaultRowHeight="15" customHeight="1" x14ac:dyDescent="0.4"/>
  <cols>
    <col min="1" max="1" width="7.88671875" style="77" hidden="1" customWidth="1"/>
    <col min="2" max="2" width="64.5546875" style="103" customWidth="1"/>
    <col min="3" max="3" width="73.33203125" style="103" customWidth="1"/>
    <col min="4" max="4" width="57.5546875" style="77" customWidth="1"/>
    <col min="5" max="5" width="34" style="77" customWidth="1"/>
    <col min="6" max="6" width="43.109375" style="77" customWidth="1"/>
    <col min="7" max="7" width="36.6640625" style="77" customWidth="1"/>
    <col min="8" max="9" width="33.109375" style="77" customWidth="1"/>
    <col min="10" max="10" width="42.6640625" style="77" customWidth="1"/>
    <col min="11" max="12" width="40.33203125" style="77" customWidth="1"/>
    <col min="13" max="13" width="47.77734375" style="77" hidden="1" customWidth="1"/>
    <col min="14" max="15" width="50" style="77" hidden="1" customWidth="1"/>
    <col min="16" max="16" width="35.77734375" style="77" customWidth="1"/>
    <col min="17" max="17" width="36.77734375" style="77" hidden="1" customWidth="1"/>
    <col min="18" max="18" width="34" style="77" hidden="1" customWidth="1"/>
    <col min="19" max="19" width="34.21875" style="77" hidden="1" customWidth="1"/>
    <col min="20" max="20" width="35" style="77" hidden="1" customWidth="1"/>
    <col min="21" max="21" width="30.33203125" style="77" customWidth="1"/>
    <col min="22" max="22" width="27.5546875" style="77" customWidth="1"/>
    <col min="23" max="24" width="31.6640625" style="77" customWidth="1"/>
    <col min="25" max="25" width="31.44140625" style="77" customWidth="1"/>
    <col min="26" max="26" width="27.5546875" style="77" hidden="1" customWidth="1"/>
    <col min="27" max="27" width="28" style="77" hidden="1" customWidth="1"/>
    <col min="28" max="28" width="31.6640625" style="77" customWidth="1"/>
    <col min="29" max="29" width="39.109375" style="77" customWidth="1"/>
    <col min="30" max="31" width="39.33203125" style="77" customWidth="1"/>
    <col min="32" max="32" width="38.5546875" style="77" hidden="1" customWidth="1"/>
    <col min="33" max="34" width="39.6640625" style="77" hidden="1" customWidth="1"/>
    <col min="35" max="35" width="37.44140625" style="77" customWidth="1"/>
    <col min="36" max="37" width="39.88671875" style="77" customWidth="1"/>
    <col min="38" max="38" width="39" style="77" customWidth="1"/>
    <col min="39" max="40" width="42.44140625" style="77" customWidth="1"/>
    <col min="41" max="41" width="48.109375" style="103" hidden="1" customWidth="1"/>
    <col min="42" max="42" width="68.88671875" style="77" hidden="1" customWidth="1"/>
    <col min="43" max="43" width="46.6640625" style="77" hidden="1" customWidth="1"/>
    <col min="44" max="44" width="54.6640625" style="77" hidden="1" customWidth="1"/>
    <col min="45" max="45" width="56.21875" style="77" hidden="1" customWidth="1"/>
    <col min="46" max="46" width="66.6640625" style="77" hidden="1" customWidth="1"/>
    <col min="47" max="47" width="56.77734375" style="77" hidden="1" customWidth="1"/>
    <col min="48" max="48" width="71.5546875" style="77" hidden="1" customWidth="1"/>
    <col min="49" max="49" width="63.88671875" style="77" hidden="1" customWidth="1"/>
    <col min="50" max="50" width="10.6640625" style="77" hidden="1" customWidth="1"/>
    <col min="51" max="53" width="10.6640625" style="77" customWidth="1"/>
    <col min="54" max="16384" width="14.44140625" style="77"/>
  </cols>
  <sheetData>
    <row r="1" spans="1:125" ht="21.6" thickBot="1" x14ac:dyDescent="0.45">
      <c r="A1" s="76"/>
      <c r="B1" s="508"/>
      <c r="C1" s="508"/>
      <c r="D1" s="507"/>
      <c r="E1" s="507"/>
      <c r="F1" s="507"/>
      <c r="G1" s="507"/>
      <c r="H1" s="507"/>
      <c r="I1" s="507"/>
      <c r="J1" s="507"/>
      <c r="K1" s="507"/>
      <c r="L1" s="507"/>
      <c r="M1" s="507"/>
      <c r="N1" s="507"/>
      <c r="O1" s="507"/>
      <c r="P1" s="507"/>
      <c r="Q1" s="507"/>
      <c r="R1" s="507"/>
      <c r="S1" s="507"/>
      <c r="T1" s="507"/>
      <c r="U1" s="507"/>
      <c r="V1" s="507"/>
      <c r="W1" s="507"/>
      <c r="X1" s="507"/>
      <c r="Y1" s="507"/>
      <c r="Z1" s="507"/>
      <c r="AA1" s="507"/>
      <c r="AB1" s="507"/>
      <c r="AC1" s="507"/>
      <c r="AD1" s="507"/>
      <c r="AE1" s="507"/>
      <c r="AF1" s="507"/>
      <c r="AG1" s="507"/>
      <c r="AH1" s="507"/>
      <c r="AI1" s="507"/>
      <c r="AJ1" s="507"/>
      <c r="AK1" s="507"/>
      <c r="AL1" s="507"/>
      <c r="AM1" s="507"/>
      <c r="AN1" s="507"/>
      <c r="AO1" s="508"/>
      <c r="AP1" s="507"/>
      <c r="AQ1" s="507"/>
      <c r="AR1" s="507"/>
      <c r="AS1" s="507"/>
      <c r="AT1" s="507"/>
      <c r="AU1" s="507"/>
    </row>
    <row r="2" spans="1:125" s="259" customFormat="1" ht="222.6" customHeight="1" thickBot="1" x14ac:dyDescent="0.45">
      <c r="A2" s="253"/>
      <c r="B2" s="1287" t="s">
        <v>0</v>
      </c>
      <c r="C2" s="1288"/>
      <c r="D2" s="254" t="s">
        <v>1</v>
      </c>
      <c r="E2" s="255" t="s">
        <v>2</v>
      </c>
      <c r="F2" s="256" t="s">
        <v>3</v>
      </c>
      <c r="G2" s="256" t="s">
        <v>4</v>
      </c>
      <c r="H2" s="256" t="s">
        <v>1867</v>
      </c>
      <c r="I2" s="859" t="s">
        <v>2230</v>
      </c>
      <c r="J2" s="256" t="s">
        <v>5</v>
      </c>
      <c r="K2" s="256" t="s">
        <v>1868</v>
      </c>
      <c r="L2" s="859" t="s">
        <v>2229</v>
      </c>
      <c r="M2" s="865" t="s">
        <v>6</v>
      </c>
      <c r="N2" s="865" t="s">
        <v>1869</v>
      </c>
      <c r="O2" s="1304" t="s">
        <v>2249</v>
      </c>
      <c r="P2" s="866" t="s">
        <v>1841</v>
      </c>
      <c r="Q2" s="867" t="s">
        <v>1870</v>
      </c>
      <c r="R2" s="867" t="s">
        <v>1872</v>
      </c>
      <c r="S2" s="867" t="s">
        <v>1871</v>
      </c>
      <c r="T2" s="867" t="s">
        <v>2134</v>
      </c>
      <c r="U2" s="867" t="s">
        <v>2176</v>
      </c>
      <c r="V2" s="867" t="s">
        <v>1873</v>
      </c>
      <c r="W2" s="1305" t="s">
        <v>2232</v>
      </c>
      <c r="X2" s="859" t="s">
        <v>2231</v>
      </c>
      <c r="Y2" s="859" t="s">
        <v>2233</v>
      </c>
      <c r="Z2" s="859" t="s">
        <v>2234</v>
      </c>
      <c r="AA2" s="868" t="s">
        <v>2235</v>
      </c>
      <c r="AB2" s="1306" t="s">
        <v>2236</v>
      </c>
      <c r="AC2" s="255" t="s">
        <v>7</v>
      </c>
      <c r="AD2" s="998" t="s">
        <v>2237</v>
      </c>
      <c r="AE2" s="1306" t="s">
        <v>2299</v>
      </c>
      <c r="AF2" s="811" t="s">
        <v>8</v>
      </c>
      <c r="AG2" s="871" t="s">
        <v>2238</v>
      </c>
      <c r="AH2" s="1304" t="s">
        <v>2247</v>
      </c>
      <c r="AI2" s="368" t="s">
        <v>1875</v>
      </c>
      <c r="AJ2" s="368" t="s">
        <v>2239</v>
      </c>
      <c r="AK2" s="1307" t="s">
        <v>2300</v>
      </c>
      <c r="AL2" s="871" t="s">
        <v>1843</v>
      </c>
      <c r="AM2" s="811" t="s">
        <v>2250</v>
      </c>
      <c r="AN2" s="1304" t="s">
        <v>2301</v>
      </c>
      <c r="AO2" s="257" t="s">
        <v>2177</v>
      </c>
      <c r="AP2" s="871" t="s">
        <v>1876</v>
      </c>
      <c r="AQ2" s="811" t="s">
        <v>2012</v>
      </c>
      <c r="AR2" s="961" t="s">
        <v>2013</v>
      </c>
      <c r="AS2" s="257" t="s">
        <v>2059</v>
      </c>
      <c r="AT2" s="257" t="s">
        <v>2135</v>
      </c>
      <c r="AU2" s="257" t="s">
        <v>1874</v>
      </c>
      <c r="AV2" s="999" t="s">
        <v>2242</v>
      </c>
      <c r="AW2" s="999" t="s">
        <v>2293</v>
      </c>
      <c r="AX2" s="258"/>
      <c r="AY2" s="258"/>
      <c r="AZ2" s="258"/>
      <c r="BA2" s="258"/>
      <c r="BB2" s="258"/>
      <c r="BC2" s="258"/>
      <c r="BD2" s="258"/>
      <c r="BE2" s="258"/>
      <c r="BF2" s="258"/>
      <c r="BG2" s="258"/>
      <c r="BH2" s="258"/>
      <c r="BI2" s="258"/>
      <c r="BJ2" s="258"/>
      <c r="BK2" s="258"/>
      <c r="BL2" s="258"/>
      <c r="BM2" s="258"/>
      <c r="BN2" s="258"/>
      <c r="BO2" s="258"/>
      <c r="BP2" s="258"/>
      <c r="BQ2" s="258"/>
      <c r="BR2" s="258"/>
      <c r="BS2" s="258"/>
      <c r="BT2" s="258"/>
      <c r="BU2" s="258"/>
      <c r="BV2" s="258"/>
      <c r="BW2" s="258"/>
      <c r="BX2" s="258"/>
      <c r="BY2" s="258"/>
      <c r="BZ2" s="258"/>
      <c r="CA2" s="258"/>
      <c r="CB2" s="258"/>
      <c r="CC2" s="258"/>
      <c r="CD2" s="258"/>
      <c r="CE2" s="258"/>
      <c r="CF2" s="258"/>
      <c r="CG2" s="258"/>
      <c r="CH2" s="258"/>
      <c r="CI2" s="258"/>
      <c r="CJ2" s="258"/>
      <c r="CK2" s="258"/>
      <c r="CL2" s="258"/>
      <c r="CM2" s="258"/>
      <c r="CN2" s="258"/>
      <c r="CO2" s="258"/>
      <c r="CP2" s="258"/>
      <c r="CQ2" s="258"/>
      <c r="CR2" s="258"/>
      <c r="CS2" s="258"/>
      <c r="CT2" s="258"/>
      <c r="CU2" s="258"/>
      <c r="CV2" s="258"/>
      <c r="CW2" s="258"/>
      <c r="CX2" s="258"/>
      <c r="CY2" s="258"/>
      <c r="CZ2" s="258"/>
      <c r="DA2" s="258"/>
      <c r="DB2" s="258"/>
      <c r="DC2" s="258"/>
      <c r="DD2" s="258"/>
      <c r="DE2" s="258"/>
      <c r="DF2" s="258"/>
      <c r="DG2" s="258"/>
      <c r="DH2" s="258"/>
      <c r="DI2" s="258"/>
      <c r="DJ2" s="258"/>
      <c r="DK2" s="258"/>
      <c r="DL2" s="258"/>
      <c r="DM2" s="258"/>
      <c r="DN2" s="258"/>
      <c r="DO2" s="258"/>
      <c r="DP2" s="258"/>
      <c r="DQ2" s="258"/>
      <c r="DR2" s="258"/>
      <c r="DS2" s="258"/>
      <c r="DT2" s="258"/>
      <c r="DU2" s="258"/>
    </row>
    <row r="3" spans="1:125" ht="93" customHeight="1" thickBot="1" x14ac:dyDescent="0.9">
      <c r="A3" s="78"/>
      <c r="B3" s="1424" t="s">
        <v>1839</v>
      </c>
      <c r="C3" s="1425"/>
      <c r="D3" s="509"/>
      <c r="E3" s="510">
        <v>0.02</v>
      </c>
      <c r="F3" s="511"/>
      <c r="G3" s="509"/>
      <c r="H3" s="509"/>
      <c r="I3" s="509"/>
      <c r="J3" s="504">
        <f>(J4+J30)/2</f>
        <v>0.25509259259259259</v>
      </c>
      <c r="K3" s="504">
        <f>(K4+K30)/2</f>
        <v>0.26321869488536154</v>
      </c>
      <c r="L3" s="504">
        <f>(L4+L30)/2</f>
        <v>0.40050837742504408</v>
      </c>
      <c r="M3" s="505">
        <f>(M4+M30)/2</f>
        <v>6.9222222222222241E-2</v>
      </c>
      <c r="N3" s="505">
        <f>(N4+N30)/2</f>
        <v>0.24656944444444442</v>
      </c>
      <c r="O3" s="505"/>
      <c r="P3" s="512"/>
      <c r="Q3" s="512"/>
      <c r="R3" s="512"/>
      <c r="S3" s="512"/>
      <c r="T3" s="512"/>
      <c r="U3" s="512"/>
      <c r="V3" s="512"/>
      <c r="W3" s="512"/>
      <c r="X3" s="512"/>
      <c r="Y3" s="512"/>
      <c r="Z3" s="512"/>
      <c r="AA3" s="512"/>
      <c r="AB3" s="512"/>
      <c r="AC3" s="647">
        <f>(AC4+AC30)/2</f>
        <v>0.40277777777777779</v>
      </c>
      <c r="AD3" s="647">
        <f>(AD4+AD30)/2</f>
        <v>0.92347222222222225</v>
      </c>
      <c r="AE3" s="647">
        <f>(AE4+AE30)/2</f>
        <v>0.21041881682685667</v>
      </c>
      <c r="AF3" s="648">
        <f>+F4+F30</f>
        <v>0.13582500000000003</v>
      </c>
      <c r="AG3" s="648">
        <f>+H4+H30</f>
        <v>0.57532500000000009</v>
      </c>
      <c r="AH3" s="648">
        <f>+I4+I30</f>
        <v>6.0234788359788349E-2</v>
      </c>
      <c r="AI3" s="647">
        <f>(AI4+AI30)/2</f>
        <v>5.5588624338624326E-2</v>
      </c>
      <c r="AJ3" s="647">
        <v>0.36192553511303516</v>
      </c>
      <c r="AK3" s="647">
        <f>(AK4+AK30)/2</f>
        <v>0.42871773538961033</v>
      </c>
      <c r="AL3" s="648">
        <f>(AL4*E5+AL30*E30)</f>
        <v>3.0192916666666677E-2</v>
      </c>
      <c r="AM3" s="648">
        <f>(AM4*E4+AM30*E30)</f>
        <v>0.33027767045454548</v>
      </c>
      <c r="AN3" s="648">
        <f>(AN4*E4+AN30*E30)</f>
        <v>0.45566892329545455</v>
      </c>
      <c r="AO3" s="784"/>
      <c r="AP3" s="509"/>
      <c r="AQ3" s="509"/>
      <c r="AR3" s="509"/>
      <c r="AS3" s="509"/>
      <c r="AT3" s="509"/>
      <c r="AU3" s="509"/>
      <c r="AV3" s="511"/>
    </row>
    <row r="4" spans="1:125" ht="106.95" customHeight="1" thickBot="1" x14ac:dyDescent="0.45">
      <c r="A4" s="78"/>
      <c r="B4" s="1426" t="s">
        <v>1834</v>
      </c>
      <c r="C4" s="1427"/>
      <c r="D4" s="93"/>
      <c r="E4" s="94">
        <v>0.75</v>
      </c>
      <c r="F4" s="95">
        <f>+E4*AF4</f>
        <v>0.12300000000000003</v>
      </c>
      <c r="G4" s="79"/>
      <c r="H4" s="95">
        <f>+E4*AG4</f>
        <v>0.3922500000000001</v>
      </c>
      <c r="I4" s="95">
        <f>+E4*AI4</f>
        <v>4.8660714285714279E-2</v>
      </c>
      <c r="J4" s="81">
        <f>+(J5+J14+J22)/3</f>
        <v>0.28333333333333333</v>
      </c>
      <c r="K4" s="81">
        <f>+(K5+K14+K22)/3</f>
        <v>0.21841269841269842</v>
      </c>
      <c r="L4" s="81">
        <f>+(L5+L14+L22)/3</f>
        <v>0.38562169312169309</v>
      </c>
      <c r="M4" s="82">
        <f>+(M5+M14+M22)/3</f>
        <v>5.4833333333333345E-2</v>
      </c>
      <c r="N4" s="82">
        <f>+(N5+N14+N22)/3</f>
        <v>0.20013888888888887</v>
      </c>
      <c r="O4" s="82"/>
      <c r="P4" s="79"/>
      <c r="Q4" s="79"/>
      <c r="R4" s="79"/>
      <c r="S4" s="79"/>
      <c r="T4" s="79"/>
      <c r="U4" s="846"/>
      <c r="V4" s="79"/>
      <c r="W4" s="79"/>
      <c r="X4" s="79"/>
      <c r="Y4" s="79"/>
      <c r="Z4" s="79"/>
      <c r="AA4" s="79"/>
      <c r="AB4" s="79"/>
      <c r="AC4" s="81">
        <f>+(AC5+AC14+AC22)/3</f>
        <v>0.58333333333333337</v>
      </c>
      <c r="AD4" s="81">
        <f>+(AD5+AD14+AD22)/3</f>
        <v>0.9458333333333333</v>
      </c>
      <c r="AE4" s="81">
        <f>+(AE5+AE14+AE22)/3</f>
        <v>0.2663187940048159</v>
      </c>
      <c r="AF4" s="82">
        <f>+AF5+AF14+AF22</f>
        <v>0.16400000000000003</v>
      </c>
      <c r="AG4" s="82">
        <f>+AG5+AG14+AG22</f>
        <v>0.52300000000000013</v>
      </c>
      <c r="AH4" s="82">
        <f>+AH5+AH14+AH22</f>
        <v>0.34070462323679018</v>
      </c>
      <c r="AI4" s="81">
        <f>(AI5+AI14+AI22)/3</f>
        <v>6.4880952380952372E-2</v>
      </c>
      <c r="AJ4" s="81">
        <v>0.35168903318903322</v>
      </c>
      <c r="AK4" s="81">
        <f>(AK5+AK14+AK22)/3</f>
        <v>0.43088570226070222</v>
      </c>
      <c r="AL4" s="82">
        <f>(AL5+AL14+AL22)</f>
        <v>6.946666666666669E-2</v>
      </c>
      <c r="AM4" s="82">
        <f>(AM5*E5+AM14*E14+AM22*E22)</f>
        <v>0.32727939393939398</v>
      </c>
      <c r="AN4" s="82">
        <f>(AN5*E5+AN14*E14+AN22*E22)</f>
        <v>0.47491227272727277</v>
      </c>
      <c r="AO4" s="785"/>
      <c r="AP4" s="79"/>
      <c r="AQ4" s="79"/>
      <c r="AR4" s="79"/>
      <c r="AS4" s="79"/>
      <c r="AT4" s="79"/>
      <c r="AU4" s="79"/>
      <c r="AV4" s="997"/>
    </row>
    <row r="5" spans="1:125" ht="98.4" customHeight="1" thickBot="1" x14ac:dyDescent="0.45">
      <c r="A5" s="78"/>
      <c r="B5" s="1428" t="s">
        <v>1779</v>
      </c>
      <c r="C5" s="1427"/>
      <c r="D5" s="93"/>
      <c r="E5" s="68">
        <v>0.4</v>
      </c>
      <c r="F5" s="83"/>
      <c r="G5" s="79"/>
      <c r="H5" s="79"/>
      <c r="I5" s="79"/>
      <c r="J5" s="84">
        <f>+AVERAGE(J6:J13)</f>
        <v>0.19999999999999998</v>
      </c>
      <c r="K5" s="84">
        <f>+AVERAGE(K6:K13)</f>
        <v>0.22666666666666666</v>
      </c>
      <c r="L5" s="84">
        <f>+AVERAGE(L6:L13)</f>
        <v>0.45514285714285718</v>
      </c>
      <c r="M5" s="84">
        <f>+M6+M7+M8+M9+M10+M11+M12+M13</f>
        <v>8.7000000000000008E-2</v>
      </c>
      <c r="N5" s="84">
        <f>+N6+N7+N8+N9+N10+N11+N12+N13</f>
        <v>0.16666666666666663</v>
      </c>
      <c r="O5" s="84"/>
      <c r="P5" s="85"/>
      <c r="Q5" s="85"/>
      <c r="R5" s="85"/>
      <c r="S5" s="85"/>
      <c r="T5" s="85"/>
      <c r="U5" s="845"/>
      <c r="V5" s="85"/>
      <c r="W5" s="85"/>
      <c r="X5" s="85"/>
      <c r="Y5" s="85"/>
      <c r="Z5" s="85"/>
      <c r="AA5" s="85"/>
      <c r="AB5" s="85"/>
      <c r="AC5" s="514">
        <f>+AVERAGE(AC6:AC13)</f>
        <v>0.75</v>
      </c>
      <c r="AD5" s="514">
        <f>+AVERAGE(AD6:AD13)</f>
        <v>1</v>
      </c>
      <c r="AE5" s="514">
        <f>+AVERAGE(AE6:AE13)</f>
        <v>0.346691403834261</v>
      </c>
      <c r="AF5" s="514">
        <f>+(AF6+AF7+AF8+AF9+AF10+AF11+AF12+AF13)*E5</f>
        <v>0.14400000000000002</v>
      </c>
      <c r="AG5" s="514">
        <f>+(AG6+AG7+AG8+AG9+AG10+AG11+AG12+AG13)*E5</f>
        <v>0.22400000000000003</v>
      </c>
      <c r="AH5" s="514">
        <f>+(AH6+AH7+AH8+AH9+AH10+AH11+AH12+AH13)*E5</f>
        <v>0.14304415584415583</v>
      </c>
      <c r="AI5" s="84">
        <f>+AVERAGE(AI6:AI13)</f>
        <v>0.13749999999999998</v>
      </c>
      <c r="AJ5" s="84">
        <v>0.30019696969696968</v>
      </c>
      <c r="AK5" s="84">
        <f>+AVERAGE(AK6:AK13)</f>
        <v>0.43284469696969696</v>
      </c>
      <c r="AL5" s="84">
        <f>+(AL6+AL7+AL8+AL9+AL10+AL11+AL12+AL13)*E5</f>
        <v>6.1466666666666683E-2</v>
      </c>
      <c r="AM5" s="84">
        <f>+(AM6+AM7+AM8+AM9+AM10+AM11+AM12+AM13)</f>
        <v>0.29172121212121216</v>
      </c>
      <c r="AN5" s="84">
        <f>+(AN6+AN7+AN8+AN9+AN10+AN11+AN12+AN13)</f>
        <v>0.47677878787878791</v>
      </c>
      <c r="AO5" s="786"/>
      <c r="AP5" s="788" t="s">
        <v>1985</v>
      </c>
      <c r="AQ5" s="79"/>
      <c r="AR5" s="79"/>
      <c r="AS5" s="79"/>
      <c r="AT5" s="79"/>
      <c r="AU5" s="79"/>
      <c r="AV5" s="997"/>
    </row>
    <row r="6" spans="1:125" ht="148.94999999999999" customHeight="1" thickBot="1" x14ac:dyDescent="0.45">
      <c r="A6" s="78"/>
      <c r="B6" s="1148" t="s">
        <v>1066</v>
      </c>
      <c r="C6" s="1149" t="s">
        <v>1067</v>
      </c>
      <c r="D6" s="93" t="s">
        <v>1068</v>
      </c>
      <c r="E6" s="90">
        <v>0.2</v>
      </c>
      <c r="F6" s="86">
        <v>60</v>
      </c>
      <c r="G6" s="96">
        <v>0</v>
      </c>
      <c r="H6" s="96">
        <v>20</v>
      </c>
      <c r="I6" s="96">
        <v>15</v>
      </c>
      <c r="J6" s="87"/>
      <c r="K6" s="87">
        <f>+H6/F6</f>
        <v>0.33333333333333331</v>
      </c>
      <c r="L6" s="87">
        <f>+I6/F6</f>
        <v>0.25</v>
      </c>
      <c r="M6" s="87"/>
      <c r="N6" s="87">
        <f>+(H6/F6)*E6</f>
        <v>6.6666666666666666E-2</v>
      </c>
      <c r="O6" s="87"/>
      <c r="P6" s="513"/>
      <c r="Q6" s="1000">
        <v>4</v>
      </c>
      <c r="R6" s="1000">
        <v>7</v>
      </c>
      <c r="S6" s="1000">
        <v>4</v>
      </c>
      <c r="T6" s="1000">
        <v>14</v>
      </c>
      <c r="U6" s="1000">
        <v>1</v>
      </c>
      <c r="V6" s="513">
        <f>+Q6+R6+S6+T6+U6</f>
        <v>30</v>
      </c>
      <c r="W6" s="513">
        <f>+V6+P6+AB6</f>
        <v>37</v>
      </c>
      <c r="X6" s="1000">
        <v>4</v>
      </c>
      <c r="Y6" s="1000">
        <v>3</v>
      </c>
      <c r="Z6" s="513"/>
      <c r="AA6" s="513"/>
      <c r="AB6" s="513">
        <f>+X6+Y6+Z6+AA6</f>
        <v>7</v>
      </c>
      <c r="AC6" s="88"/>
      <c r="AD6" s="88">
        <v>1</v>
      </c>
      <c r="AE6" s="88">
        <f>+AB6/I6</f>
        <v>0.46666666666666667</v>
      </c>
      <c r="AF6" s="88"/>
      <c r="AG6" s="88">
        <f>+AD6*E6</f>
        <v>0.2</v>
      </c>
      <c r="AH6" s="88">
        <f>+AE6*E6</f>
        <v>9.3333333333333338E-2</v>
      </c>
      <c r="AI6" s="88"/>
      <c r="AJ6" s="88">
        <v>0.48333333333333334</v>
      </c>
      <c r="AK6" s="88">
        <f>+W6/F6</f>
        <v>0.6166666666666667</v>
      </c>
      <c r="AL6" s="87">
        <f>+AJ6*E6</f>
        <v>9.6666666666666679E-2</v>
      </c>
      <c r="AM6" s="87">
        <f t="shared" ref="AM6:AM13" si="0">+AJ6*E6</f>
        <v>9.6666666666666679E-2</v>
      </c>
      <c r="AN6" s="1421">
        <f>+AK6*E6</f>
        <v>0.12333333333333335</v>
      </c>
      <c r="AO6" s="541" t="s">
        <v>1844</v>
      </c>
      <c r="AP6" s="754" t="s">
        <v>1886</v>
      </c>
      <c r="AQ6" s="79"/>
      <c r="AR6" s="754" t="s">
        <v>2011</v>
      </c>
      <c r="AS6" s="754" t="s">
        <v>2107</v>
      </c>
      <c r="AT6" s="754" t="s">
        <v>2140</v>
      </c>
      <c r="AU6" s="789" t="s">
        <v>2172</v>
      </c>
      <c r="AV6" s="754" t="s">
        <v>1887</v>
      </c>
      <c r="AW6" s="754" t="s">
        <v>2294</v>
      </c>
    </row>
    <row r="7" spans="1:125" ht="142.19999999999999" customHeight="1" thickBot="1" x14ac:dyDescent="0.45">
      <c r="A7" s="78"/>
      <c r="B7" s="1148" t="s">
        <v>1069</v>
      </c>
      <c r="C7" s="1149" t="s">
        <v>1070</v>
      </c>
      <c r="D7" s="93" t="s">
        <v>1071</v>
      </c>
      <c r="E7" s="69">
        <v>0.2</v>
      </c>
      <c r="F7" s="86">
        <v>500</v>
      </c>
      <c r="G7" s="96">
        <v>50</v>
      </c>
      <c r="H7" s="96">
        <v>150</v>
      </c>
      <c r="I7" s="96">
        <v>168</v>
      </c>
      <c r="J7" s="87">
        <f t="shared" ref="J7:J13" si="1">+G7/F7</f>
        <v>0.1</v>
      </c>
      <c r="K7" s="87">
        <f t="shared" ref="K7:K29" si="2">+H7/F7</f>
        <v>0.3</v>
      </c>
      <c r="L7" s="87">
        <f t="shared" ref="L7:L29" si="3">+I7/F7</f>
        <v>0.33600000000000002</v>
      </c>
      <c r="M7" s="87">
        <f t="shared" ref="M7:M13" si="4">+(G7/F7)*E7</f>
        <v>2.0000000000000004E-2</v>
      </c>
      <c r="N7" s="87">
        <f>+(H7/F7)*E7</f>
        <v>0.06</v>
      </c>
      <c r="O7" s="87"/>
      <c r="P7" s="513">
        <v>50</v>
      </c>
      <c r="Q7" s="1000">
        <v>25</v>
      </c>
      <c r="R7" s="1000">
        <v>50</v>
      </c>
      <c r="S7" s="1000">
        <v>119</v>
      </c>
      <c r="T7" s="1000">
        <v>88</v>
      </c>
      <c r="U7" s="1000">
        <v>0</v>
      </c>
      <c r="V7" s="513">
        <f t="shared" ref="V7:V52" si="5">+Q7+R7+S7+T7+U7</f>
        <v>282</v>
      </c>
      <c r="W7" s="513">
        <f t="shared" ref="W7:W28" si="6">+V7+P7+AB7</f>
        <v>436</v>
      </c>
      <c r="X7" s="1000">
        <v>25</v>
      </c>
      <c r="Y7" s="1000">
        <v>79</v>
      </c>
      <c r="Z7" s="513"/>
      <c r="AA7" s="513"/>
      <c r="AB7" s="513">
        <f t="shared" ref="AB7:AB29" si="7">+X7+Y7+Z7+AA7</f>
        <v>104</v>
      </c>
      <c r="AC7" s="88">
        <f>+(P7/G7)</f>
        <v>1</v>
      </c>
      <c r="AD7" s="88">
        <v>1</v>
      </c>
      <c r="AE7" s="88">
        <f t="shared" ref="AE7:AE29" si="8">+AB7/I7</f>
        <v>0.61904761904761907</v>
      </c>
      <c r="AF7" s="88">
        <f>+AC7*E7</f>
        <v>0.2</v>
      </c>
      <c r="AG7" s="88">
        <f>+AD7*E7</f>
        <v>0.2</v>
      </c>
      <c r="AH7" s="88">
        <f t="shared" ref="AH7:AH13" si="9">+AE7*E7</f>
        <v>0.12380952380952381</v>
      </c>
      <c r="AI7" s="88">
        <f>+P7/F7</f>
        <v>0.1</v>
      </c>
      <c r="AJ7" s="88">
        <v>0.66400000000000003</v>
      </c>
      <c r="AK7" s="88">
        <f t="shared" ref="AK7:AK29" si="10">+W7/F7</f>
        <v>0.872</v>
      </c>
      <c r="AL7" s="87">
        <f>+AI7*E7</f>
        <v>2.0000000000000004E-2</v>
      </c>
      <c r="AM7" s="87">
        <f t="shared" si="0"/>
        <v>0.1328</v>
      </c>
      <c r="AN7" s="1421">
        <f t="shared" ref="AN7:AN29" si="11">+AK7*E7</f>
        <v>0.1744</v>
      </c>
      <c r="AO7" s="541" t="s">
        <v>1844</v>
      </c>
      <c r="AP7" s="754" t="s">
        <v>1886</v>
      </c>
      <c r="AQ7" s="79"/>
      <c r="AR7" s="754" t="s">
        <v>2011</v>
      </c>
      <c r="AS7" s="754" t="s">
        <v>2107</v>
      </c>
      <c r="AT7" s="754" t="s">
        <v>2140</v>
      </c>
      <c r="AU7" s="754" t="s">
        <v>2200</v>
      </c>
      <c r="AV7" s="789" t="s">
        <v>1859</v>
      </c>
      <c r="AW7" s="754" t="s">
        <v>2294</v>
      </c>
    </row>
    <row r="8" spans="1:125" ht="187.2" customHeight="1" thickBot="1" x14ac:dyDescent="0.45">
      <c r="A8" s="78"/>
      <c r="B8" s="1148" t="s">
        <v>1072</v>
      </c>
      <c r="C8" s="1149" t="s">
        <v>1073</v>
      </c>
      <c r="D8" s="93" t="s">
        <v>1071</v>
      </c>
      <c r="E8" s="69">
        <v>0.1</v>
      </c>
      <c r="F8" s="86">
        <v>1</v>
      </c>
      <c r="G8" s="96">
        <v>0.25</v>
      </c>
      <c r="H8" s="96">
        <v>0.25</v>
      </c>
      <c r="I8" s="96">
        <v>0.25</v>
      </c>
      <c r="J8" s="87">
        <f t="shared" si="1"/>
        <v>0.25</v>
      </c>
      <c r="K8" s="87">
        <f t="shared" si="2"/>
        <v>0.25</v>
      </c>
      <c r="L8" s="87">
        <f t="shared" si="3"/>
        <v>0.25</v>
      </c>
      <c r="M8" s="87">
        <f t="shared" si="4"/>
        <v>2.5000000000000001E-2</v>
      </c>
      <c r="N8" s="87">
        <f>+(H8/F8)*E8</f>
        <v>2.5000000000000001E-2</v>
      </c>
      <c r="O8" s="87"/>
      <c r="P8" s="513">
        <v>0.25</v>
      </c>
      <c r="Q8" s="1000">
        <v>0</v>
      </c>
      <c r="R8" s="1000">
        <v>0.12</v>
      </c>
      <c r="S8" s="1000">
        <v>7.0000000000000007E-2</v>
      </c>
      <c r="T8" s="1000">
        <v>0.06</v>
      </c>
      <c r="U8" s="1000">
        <v>0.14000000000000001</v>
      </c>
      <c r="V8" s="513">
        <f t="shared" si="5"/>
        <v>0.39</v>
      </c>
      <c r="W8" s="513">
        <f t="shared" si="6"/>
        <v>0.76500000000000001</v>
      </c>
      <c r="X8" s="1000">
        <v>0</v>
      </c>
      <c r="Y8" s="1000">
        <v>0.125</v>
      </c>
      <c r="Z8" s="513"/>
      <c r="AA8" s="513"/>
      <c r="AB8" s="513">
        <f t="shared" si="7"/>
        <v>0.125</v>
      </c>
      <c r="AC8" s="88">
        <f>+(P8/G8)</f>
        <v>1</v>
      </c>
      <c r="AD8" s="88">
        <v>1</v>
      </c>
      <c r="AE8" s="88">
        <f t="shared" si="8"/>
        <v>0.5</v>
      </c>
      <c r="AF8" s="88">
        <f>+AC8*E8</f>
        <v>0.1</v>
      </c>
      <c r="AG8" s="88">
        <f>+AD8*E8</f>
        <v>0.1</v>
      </c>
      <c r="AH8" s="88">
        <f t="shared" si="9"/>
        <v>0.05</v>
      </c>
      <c r="AI8" s="88">
        <f>+P8/F8</f>
        <v>0.25</v>
      </c>
      <c r="AJ8" s="88">
        <v>0.5</v>
      </c>
      <c r="AK8" s="88">
        <f t="shared" si="10"/>
        <v>0.76500000000000001</v>
      </c>
      <c r="AL8" s="87">
        <f>+AI8*E8</f>
        <v>2.5000000000000001E-2</v>
      </c>
      <c r="AM8" s="87">
        <f t="shared" si="0"/>
        <v>0.05</v>
      </c>
      <c r="AN8" s="1421">
        <f t="shared" si="11"/>
        <v>7.6500000000000012E-2</v>
      </c>
      <c r="AO8" s="541" t="s">
        <v>1844</v>
      </c>
      <c r="AP8" s="754" t="s">
        <v>1886</v>
      </c>
      <c r="AQ8" s="79"/>
      <c r="AR8" s="754" t="s">
        <v>2011</v>
      </c>
      <c r="AS8" s="754" t="s">
        <v>2107</v>
      </c>
      <c r="AT8" s="754" t="s">
        <v>2140</v>
      </c>
      <c r="AU8" s="789" t="s">
        <v>2172</v>
      </c>
      <c r="AV8" s="754" t="s">
        <v>1887</v>
      </c>
      <c r="AW8" s="754" t="s">
        <v>2294</v>
      </c>
    </row>
    <row r="9" spans="1:125" ht="174.6" customHeight="1" thickBot="1" x14ac:dyDescent="0.45">
      <c r="A9" s="78"/>
      <c r="B9" s="1148" t="s">
        <v>1074</v>
      </c>
      <c r="C9" s="1149" t="s">
        <v>1075</v>
      </c>
      <c r="D9" s="93" t="s">
        <v>1071</v>
      </c>
      <c r="E9" s="69">
        <v>0.1</v>
      </c>
      <c r="F9" s="86">
        <v>1</v>
      </c>
      <c r="G9" s="96">
        <v>0</v>
      </c>
      <c r="H9" s="96">
        <v>1</v>
      </c>
      <c r="I9" s="96">
        <v>1</v>
      </c>
      <c r="J9" s="87"/>
      <c r="K9" s="87"/>
      <c r="L9" s="87">
        <f t="shared" si="3"/>
        <v>1</v>
      </c>
      <c r="M9" s="87"/>
      <c r="N9" s="87"/>
      <c r="O9" s="87"/>
      <c r="P9" s="513"/>
      <c r="Q9" s="1000"/>
      <c r="R9" s="1000"/>
      <c r="S9" s="1000"/>
      <c r="T9" s="1000"/>
      <c r="U9" s="1001"/>
      <c r="V9" s="513">
        <f t="shared" si="5"/>
        <v>0</v>
      </c>
      <c r="W9" s="513">
        <f t="shared" si="6"/>
        <v>0.5</v>
      </c>
      <c r="X9" s="1000">
        <v>0</v>
      </c>
      <c r="Y9" s="1000">
        <v>0.5</v>
      </c>
      <c r="Z9" s="513"/>
      <c r="AA9" s="513"/>
      <c r="AB9" s="513">
        <f t="shared" si="7"/>
        <v>0.5</v>
      </c>
      <c r="AC9" s="88"/>
      <c r="AD9" s="88"/>
      <c r="AE9" s="88">
        <f>+AB9/I9</f>
        <v>0.5</v>
      </c>
      <c r="AF9" s="88"/>
      <c r="AG9" s="88"/>
      <c r="AH9" s="88">
        <f t="shared" si="9"/>
        <v>0.05</v>
      </c>
      <c r="AI9" s="88"/>
      <c r="AJ9" s="88"/>
      <c r="AK9" s="88">
        <f t="shared" si="10"/>
        <v>0.5</v>
      </c>
      <c r="AL9" s="87">
        <v>0</v>
      </c>
      <c r="AM9" s="87">
        <f t="shared" si="0"/>
        <v>0</v>
      </c>
      <c r="AN9" s="1421">
        <f t="shared" si="11"/>
        <v>0.05</v>
      </c>
      <c r="AO9" s="541" t="s">
        <v>1844</v>
      </c>
      <c r="AP9" s="754" t="s">
        <v>1886</v>
      </c>
      <c r="AQ9" s="79"/>
      <c r="AR9" s="754" t="s">
        <v>2011</v>
      </c>
      <c r="AS9" s="754" t="s">
        <v>2107</v>
      </c>
      <c r="AT9" s="754" t="s">
        <v>2140</v>
      </c>
      <c r="AU9" s="754" t="s">
        <v>2200</v>
      </c>
      <c r="AV9" s="754" t="s">
        <v>1887</v>
      </c>
      <c r="AW9" s="754" t="s">
        <v>2294</v>
      </c>
    </row>
    <row r="10" spans="1:125" ht="150" customHeight="1" thickBot="1" x14ac:dyDescent="0.45">
      <c r="A10" s="78"/>
      <c r="B10" s="1148" t="s">
        <v>1076</v>
      </c>
      <c r="C10" s="1149" t="s">
        <v>1077</v>
      </c>
      <c r="D10" s="93" t="s">
        <v>1071</v>
      </c>
      <c r="E10" s="69">
        <v>0.1</v>
      </c>
      <c r="F10" s="86">
        <v>1</v>
      </c>
      <c r="G10" s="96">
        <v>0</v>
      </c>
      <c r="H10" s="96">
        <v>0</v>
      </c>
      <c r="I10" s="96"/>
      <c r="J10" s="87"/>
      <c r="K10" s="87"/>
      <c r="L10" s="87"/>
      <c r="M10" s="87"/>
      <c r="N10" s="87"/>
      <c r="O10" s="87"/>
      <c r="P10" s="513"/>
      <c r="Q10" s="1000"/>
      <c r="R10" s="1000"/>
      <c r="S10" s="1000"/>
      <c r="T10" s="1000"/>
      <c r="U10" s="1001"/>
      <c r="V10" s="513">
        <f t="shared" si="5"/>
        <v>0</v>
      </c>
      <c r="W10" s="513">
        <f t="shared" si="6"/>
        <v>0</v>
      </c>
      <c r="X10" s="1000"/>
      <c r="Y10" s="1000">
        <v>0</v>
      </c>
      <c r="Z10" s="513"/>
      <c r="AA10" s="513"/>
      <c r="AB10" s="513">
        <f t="shared" si="7"/>
        <v>0</v>
      </c>
      <c r="AC10" s="88"/>
      <c r="AD10" s="88"/>
      <c r="AE10" s="88"/>
      <c r="AF10" s="88"/>
      <c r="AG10" s="88"/>
      <c r="AH10" s="88"/>
      <c r="AI10" s="88"/>
      <c r="AJ10" s="88"/>
      <c r="AK10" s="88">
        <f t="shared" si="10"/>
        <v>0</v>
      </c>
      <c r="AL10" s="87">
        <v>0</v>
      </c>
      <c r="AM10" s="87">
        <f t="shared" si="0"/>
        <v>0</v>
      </c>
      <c r="AN10" s="1421">
        <f t="shared" si="11"/>
        <v>0</v>
      </c>
      <c r="AO10" s="541" t="s">
        <v>1844</v>
      </c>
      <c r="AP10" s="754" t="s">
        <v>1886</v>
      </c>
      <c r="AQ10" s="79"/>
      <c r="AR10" s="789" t="s">
        <v>2037</v>
      </c>
      <c r="AS10" s="754" t="s">
        <v>2107</v>
      </c>
      <c r="AT10" s="754" t="s">
        <v>2140</v>
      </c>
      <c r="AU10" s="754" t="s">
        <v>2200</v>
      </c>
      <c r="AV10" s="754" t="s">
        <v>1887</v>
      </c>
      <c r="AW10" s="754" t="s">
        <v>2294</v>
      </c>
    </row>
    <row r="11" spans="1:125" ht="136.94999999999999" customHeight="1" thickBot="1" x14ac:dyDescent="0.45">
      <c r="A11" s="78"/>
      <c r="B11" s="1148" t="s">
        <v>1078</v>
      </c>
      <c r="C11" s="1149" t="s">
        <v>1079</v>
      </c>
      <c r="D11" s="93" t="s">
        <v>1071</v>
      </c>
      <c r="E11" s="69">
        <v>0.12</v>
      </c>
      <c r="F11" s="86">
        <v>4</v>
      </c>
      <c r="G11" s="96">
        <v>1</v>
      </c>
      <c r="H11" s="96">
        <v>0</v>
      </c>
      <c r="I11" s="96">
        <v>2</v>
      </c>
      <c r="J11" s="87">
        <f t="shared" si="1"/>
        <v>0.25</v>
      </c>
      <c r="K11" s="87"/>
      <c r="L11" s="87">
        <f t="shared" si="3"/>
        <v>0.5</v>
      </c>
      <c r="M11" s="87">
        <f t="shared" si="4"/>
        <v>0.03</v>
      </c>
      <c r="N11" s="87"/>
      <c r="O11" s="87"/>
      <c r="P11" s="513">
        <v>0</v>
      </c>
      <c r="Q11" s="1000"/>
      <c r="R11" s="1000"/>
      <c r="S11" s="1000"/>
      <c r="T11" s="1000"/>
      <c r="U11" s="1001"/>
      <c r="V11" s="513">
        <f t="shared" si="5"/>
        <v>0</v>
      </c>
      <c r="W11" s="513">
        <f t="shared" si="6"/>
        <v>0</v>
      </c>
      <c r="X11" s="1000">
        <v>0</v>
      </c>
      <c r="Y11" s="1000">
        <v>0</v>
      </c>
      <c r="Z11" s="513"/>
      <c r="AA11" s="513"/>
      <c r="AB11" s="513">
        <f t="shared" si="7"/>
        <v>0</v>
      </c>
      <c r="AC11" s="88">
        <f>+(P11/G11)</f>
        <v>0</v>
      </c>
      <c r="AD11" s="88"/>
      <c r="AE11" s="88">
        <f t="shared" si="8"/>
        <v>0</v>
      </c>
      <c r="AF11" s="88">
        <f>+AC11*E11</f>
        <v>0</v>
      </c>
      <c r="AG11" s="88"/>
      <c r="AH11" s="88">
        <f t="shared" si="9"/>
        <v>0</v>
      </c>
      <c r="AI11" s="88">
        <f>+P11/F11</f>
        <v>0</v>
      </c>
      <c r="AJ11" s="88">
        <v>0</v>
      </c>
      <c r="AK11" s="88">
        <f t="shared" si="10"/>
        <v>0</v>
      </c>
      <c r="AL11" s="87">
        <f>+AI11*E11</f>
        <v>0</v>
      </c>
      <c r="AM11" s="87">
        <f t="shared" si="0"/>
        <v>0</v>
      </c>
      <c r="AN11" s="1421">
        <f t="shared" si="11"/>
        <v>0</v>
      </c>
      <c r="AO11" s="541" t="s">
        <v>1844</v>
      </c>
      <c r="AP11" s="754" t="s">
        <v>1886</v>
      </c>
      <c r="AQ11" s="79"/>
      <c r="AR11" s="754" t="s">
        <v>2011</v>
      </c>
      <c r="AS11" s="754" t="s">
        <v>2107</v>
      </c>
      <c r="AT11" s="754" t="s">
        <v>2140</v>
      </c>
      <c r="AU11" s="754" t="s">
        <v>2200</v>
      </c>
      <c r="AV11" s="754" t="s">
        <v>1887</v>
      </c>
      <c r="AW11" s="754" t="s">
        <v>2294</v>
      </c>
    </row>
    <row r="12" spans="1:125" ht="136.94999999999999" customHeight="1" thickBot="1" x14ac:dyDescent="0.45">
      <c r="A12" s="78"/>
      <c r="B12" s="1148" t="s">
        <v>1080</v>
      </c>
      <c r="C12" s="1149" t="s">
        <v>1081</v>
      </c>
      <c r="D12" s="93" t="s">
        <v>1071</v>
      </c>
      <c r="E12" s="69">
        <v>0.12</v>
      </c>
      <c r="F12" s="86">
        <v>6</v>
      </c>
      <c r="G12" s="96">
        <v>0</v>
      </c>
      <c r="H12" s="96">
        <v>0</v>
      </c>
      <c r="I12" s="96">
        <v>3</v>
      </c>
      <c r="J12" s="87"/>
      <c r="K12" s="87">
        <f t="shared" si="2"/>
        <v>0</v>
      </c>
      <c r="L12" s="87">
        <f t="shared" si="3"/>
        <v>0.5</v>
      </c>
      <c r="M12" s="87"/>
      <c r="N12" s="87">
        <f t="shared" ref="N12:N29" si="12">+(H12/F12)*E12</f>
        <v>0</v>
      </c>
      <c r="O12" s="87"/>
      <c r="P12" s="513"/>
      <c r="Q12" s="1000"/>
      <c r="R12" s="1000"/>
      <c r="S12" s="1000"/>
      <c r="T12" s="1000"/>
      <c r="U12" s="1001"/>
      <c r="V12" s="513">
        <f t="shared" si="5"/>
        <v>0</v>
      </c>
      <c r="W12" s="513">
        <f t="shared" si="6"/>
        <v>1</v>
      </c>
      <c r="X12" s="1000">
        <v>0</v>
      </c>
      <c r="Y12" s="1000">
        <v>1</v>
      </c>
      <c r="Z12" s="513"/>
      <c r="AA12" s="513"/>
      <c r="AB12" s="513">
        <f t="shared" si="7"/>
        <v>1</v>
      </c>
      <c r="AC12" s="87"/>
      <c r="AD12" s="87"/>
      <c r="AE12" s="88">
        <f t="shared" si="8"/>
        <v>0.33333333333333331</v>
      </c>
      <c r="AF12" s="87"/>
      <c r="AG12" s="87"/>
      <c r="AH12" s="88">
        <f t="shared" si="9"/>
        <v>3.9999999999999994E-2</v>
      </c>
      <c r="AI12" s="87"/>
      <c r="AJ12" s="87"/>
      <c r="AK12" s="88">
        <f t="shared" si="10"/>
        <v>0.16666666666666666</v>
      </c>
      <c r="AL12" s="87"/>
      <c r="AM12" s="87">
        <f t="shared" si="0"/>
        <v>0</v>
      </c>
      <c r="AN12" s="1421">
        <f t="shared" si="11"/>
        <v>1.9999999999999997E-2</v>
      </c>
      <c r="AO12" s="541" t="s">
        <v>1844</v>
      </c>
      <c r="AP12" s="754" t="s">
        <v>1886</v>
      </c>
      <c r="AQ12" s="79"/>
      <c r="AR12" s="754" t="s">
        <v>2011</v>
      </c>
      <c r="AS12" s="754" t="s">
        <v>2107</v>
      </c>
      <c r="AT12" s="754" t="s">
        <v>2140</v>
      </c>
      <c r="AU12" s="754" t="s">
        <v>2200</v>
      </c>
      <c r="AV12" s="754" t="s">
        <v>1887</v>
      </c>
      <c r="AW12" s="754" t="s">
        <v>2294</v>
      </c>
    </row>
    <row r="13" spans="1:125" ht="184.95" customHeight="1" thickBot="1" x14ac:dyDescent="0.45">
      <c r="A13" s="78"/>
      <c r="B13" s="1148" t="s">
        <v>1082</v>
      </c>
      <c r="C13" s="1149" t="s">
        <v>1083</v>
      </c>
      <c r="D13" s="93" t="s">
        <v>1071</v>
      </c>
      <c r="E13" s="69">
        <v>0.06</v>
      </c>
      <c r="F13" s="86">
        <v>33</v>
      </c>
      <c r="G13" s="96">
        <v>6.6</v>
      </c>
      <c r="H13" s="96">
        <v>8.25</v>
      </c>
      <c r="I13" s="96">
        <f>0.35*33</f>
        <v>11.549999999999999</v>
      </c>
      <c r="J13" s="87">
        <f t="shared" si="1"/>
        <v>0.19999999999999998</v>
      </c>
      <c r="K13" s="87">
        <f t="shared" si="2"/>
        <v>0.25</v>
      </c>
      <c r="L13" s="87">
        <f t="shared" si="3"/>
        <v>0.35</v>
      </c>
      <c r="M13" s="87">
        <f t="shared" si="4"/>
        <v>1.1999999999999999E-2</v>
      </c>
      <c r="N13" s="87">
        <f t="shared" si="12"/>
        <v>1.4999999999999999E-2</v>
      </c>
      <c r="O13" s="87"/>
      <c r="P13" s="513">
        <v>6.6</v>
      </c>
      <c r="Q13" s="1000">
        <v>0</v>
      </c>
      <c r="R13" s="1002">
        <v>0.1</v>
      </c>
      <c r="S13" s="1000">
        <v>0.04</v>
      </c>
      <c r="T13" s="1048">
        <v>11.07</v>
      </c>
      <c r="U13" s="1001"/>
      <c r="V13" s="513">
        <f t="shared" si="5"/>
        <v>11.21</v>
      </c>
      <c r="W13" s="513">
        <f t="shared" si="6"/>
        <v>17.900000000000002</v>
      </c>
      <c r="X13" s="1000">
        <v>0</v>
      </c>
      <c r="Y13" s="1000">
        <v>0.09</v>
      </c>
      <c r="Z13" s="513"/>
      <c r="AA13" s="513"/>
      <c r="AB13" s="513">
        <f t="shared" si="7"/>
        <v>0.09</v>
      </c>
      <c r="AC13" s="87">
        <f>+(P13/G13)</f>
        <v>1</v>
      </c>
      <c r="AD13" s="87">
        <v>1</v>
      </c>
      <c r="AE13" s="88">
        <f t="shared" si="8"/>
        <v>7.7922077922077931E-3</v>
      </c>
      <c r="AF13" s="87">
        <f>+AC13*E13</f>
        <v>0.06</v>
      </c>
      <c r="AG13" s="87">
        <f>+AD13*E13</f>
        <v>0.06</v>
      </c>
      <c r="AH13" s="88">
        <f t="shared" si="9"/>
        <v>4.6753246753246754E-4</v>
      </c>
      <c r="AI13" s="87">
        <f>+P13/F13</f>
        <v>0.19999999999999998</v>
      </c>
      <c r="AJ13" s="87">
        <v>0.20424242424242423</v>
      </c>
      <c r="AK13" s="88">
        <f t="shared" si="10"/>
        <v>0.54242424242424248</v>
      </c>
      <c r="AL13" s="87">
        <f>+AI13*E13</f>
        <v>1.1999999999999999E-2</v>
      </c>
      <c r="AM13" s="87">
        <f t="shared" si="0"/>
        <v>1.2254545454545454E-2</v>
      </c>
      <c r="AN13" s="1421">
        <f t="shared" si="11"/>
        <v>3.2545454545454544E-2</v>
      </c>
      <c r="AO13" s="541" t="s">
        <v>1844</v>
      </c>
      <c r="AP13" s="789" t="s">
        <v>1910</v>
      </c>
      <c r="AQ13" s="79"/>
      <c r="AR13" s="789" t="s">
        <v>2038</v>
      </c>
      <c r="AS13" s="789" t="s">
        <v>2038</v>
      </c>
      <c r="AT13" s="789" t="s">
        <v>1969</v>
      </c>
      <c r="AU13" s="789" t="s">
        <v>2172</v>
      </c>
      <c r="AV13" s="754" t="s">
        <v>1887</v>
      </c>
    </row>
    <row r="14" spans="1:125" ht="84" customHeight="1" thickBot="1" x14ac:dyDescent="0.45">
      <c r="A14" s="78"/>
      <c r="B14" s="1428" t="s">
        <v>1780</v>
      </c>
      <c r="C14" s="1427"/>
      <c r="D14" s="93"/>
      <c r="E14" s="68">
        <v>0.4</v>
      </c>
      <c r="F14" s="86"/>
      <c r="G14" s="96"/>
      <c r="H14" s="96"/>
      <c r="I14" s="96"/>
      <c r="J14" s="84">
        <f>+AVERAGE(J15:J21)</f>
        <v>0.25</v>
      </c>
      <c r="K14" s="84">
        <f>+AVERAGE(K15:K21)</f>
        <v>9.6428571428571433E-2</v>
      </c>
      <c r="L14" s="84">
        <f>+AVERAGE(L15:L21)</f>
        <v>0.24922222222222218</v>
      </c>
      <c r="M14" s="84">
        <f>+M15+M16+M17+M18+M19+M20+M21</f>
        <v>3.7500000000000006E-2</v>
      </c>
      <c r="N14" s="84">
        <f>+N15+N16+N17+N18+N19+N20+N21</f>
        <v>0.1075</v>
      </c>
      <c r="O14" s="84"/>
      <c r="P14" s="85"/>
      <c r="Q14" s="85"/>
      <c r="R14" s="85"/>
      <c r="S14" s="85"/>
      <c r="T14" s="85"/>
      <c r="U14" s="845"/>
      <c r="V14" s="85"/>
      <c r="W14" s="513">
        <f t="shared" si="6"/>
        <v>0</v>
      </c>
      <c r="X14" s="85"/>
      <c r="Y14" s="85"/>
      <c r="Z14" s="85"/>
      <c r="AA14" s="85"/>
      <c r="AB14" s="85"/>
      <c r="AC14" s="514">
        <f>+AVERAGE(AC15:AC21)</f>
        <v>0</v>
      </c>
      <c r="AD14" s="514">
        <f>+AVERAGE(AD15:AD21)</f>
        <v>1</v>
      </c>
      <c r="AE14" s="514">
        <f>+AVERAGE(AE15:AE21)</f>
        <v>0.23726497818018677</v>
      </c>
      <c r="AF14" s="514">
        <f>+(AF15+AF16+AF17+AF18+AF19+AF20+AF21)*E14</f>
        <v>0</v>
      </c>
      <c r="AG14" s="514">
        <f>+(AG15+AG16+AG17+AG18+AG19+AG20+AG21)*E14</f>
        <v>0.22000000000000003</v>
      </c>
      <c r="AH14" s="514">
        <f>+(AH15+AH16+AH17+AH18+AH19+AH20+AH21)*E14</f>
        <v>0.1746604673926343</v>
      </c>
      <c r="AI14" s="84">
        <f>+AVERAGE(AI15:AI21)</f>
        <v>0</v>
      </c>
      <c r="AJ14" s="84">
        <v>0.40487012987012988</v>
      </c>
      <c r="AK14" s="84">
        <f>+AVERAGE(AK15:AK21)</f>
        <v>0.47052669552669552</v>
      </c>
      <c r="AL14" s="84">
        <f>+(AL15+AL16+AL17+AL18+AL19+AL20+AL21)*E14</f>
        <v>0</v>
      </c>
      <c r="AM14" s="84">
        <f>+(AM15+AM16+AM17+AM18+AM19+AM20+AM21)</f>
        <v>0.25522727272727275</v>
      </c>
      <c r="AN14" s="84">
        <f>+(AN15+AN16+AN17+AN18+AN19+AN20+AN21)</f>
        <v>0.42643939393939395</v>
      </c>
      <c r="AO14" s="786"/>
      <c r="AP14" s="79"/>
      <c r="AQ14" s="79"/>
      <c r="AR14" s="79"/>
      <c r="AS14" s="79"/>
      <c r="AT14" s="79"/>
      <c r="AU14" s="79"/>
      <c r="AV14" s="997"/>
    </row>
    <row r="15" spans="1:125" ht="116.4" customHeight="1" thickBot="1" x14ac:dyDescent="0.45">
      <c r="A15" s="78"/>
      <c r="B15" s="1148" t="s">
        <v>1084</v>
      </c>
      <c r="C15" s="1149" t="s">
        <v>1085</v>
      </c>
      <c r="D15" s="685" t="s">
        <v>162</v>
      </c>
      <c r="E15" s="91">
        <v>0.05</v>
      </c>
      <c r="F15" s="86">
        <v>4</v>
      </c>
      <c r="G15" s="96">
        <v>0</v>
      </c>
      <c r="H15" s="96"/>
      <c r="I15" s="96">
        <v>0</v>
      </c>
      <c r="J15" s="87"/>
      <c r="K15" s="87">
        <f t="shared" si="2"/>
        <v>0</v>
      </c>
      <c r="L15" s="87"/>
      <c r="M15" s="87"/>
      <c r="N15" s="87">
        <f t="shared" si="12"/>
        <v>0</v>
      </c>
      <c r="O15" s="87"/>
      <c r="P15" s="513"/>
      <c r="Q15" s="1000"/>
      <c r="R15" s="1000"/>
      <c r="S15" s="1000"/>
      <c r="T15" s="1000"/>
      <c r="U15" s="1000"/>
      <c r="V15" s="513">
        <f t="shared" si="5"/>
        <v>0</v>
      </c>
      <c r="W15" s="513">
        <v>4</v>
      </c>
      <c r="X15" s="1000"/>
      <c r="Y15" s="1000"/>
      <c r="Z15" s="513"/>
      <c r="AA15" s="513"/>
      <c r="AB15" s="513"/>
      <c r="AC15" s="87"/>
      <c r="AD15" s="87"/>
      <c r="AE15" s="87"/>
      <c r="AF15" s="87"/>
      <c r="AG15" s="87">
        <f t="shared" ref="AG15:AG21" si="13">+AD15*E15</f>
        <v>0</v>
      </c>
      <c r="AH15" s="87">
        <f t="shared" ref="AH15:AH21" si="14">+AE15*E15</f>
        <v>0</v>
      </c>
      <c r="AI15" s="87"/>
      <c r="AJ15" s="87">
        <v>1</v>
      </c>
      <c r="AK15" s="87">
        <f t="shared" si="10"/>
        <v>1</v>
      </c>
      <c r="AL15" s="87"/>
      <c r="AM15" s="87">
        <f t="shared" ref="AM15:AM21" si="15">+AJ15*E15</f>
        <v>0.05</v>
      </c>
      <c r="AN15" s="996">
        <f t="shared" si="11"/>
        <v>0.05</v>
      </c>
      <c r="AO15" s="787" t="s">
        <v>1857</v>
      </c>
      <c r="AP15" s="789" t="s">
        <v>1859</v>
      </c>
      <c r="AQ15" s="789" t="s">
        <v>1859</v>
      </c>
      <c r="AR15" s="754" t="s">
        <v>2047</v>
      </c>
      <c r="AS15" s="754" t="s">
        <v>2047</v>
      </c>
      <c r="AT15" s="754" t="s">
        <v>2047</v>
      </c>
      <c r="AU15" s="754" t="s">
        <v>2200</v>
      </c>
      <c r="AV15" s="754" t="s">
        <v>1887</v>
      </c>
      <c r="AW15" s="754" t="s">
        <v>2294</v>
      </c>
    </row>
    <row r="16" spans="1:125" ht="133.19999999999999" customHeight="1" thickBot="1" x14ac:dyDescent="0.45">
      <c r="A16" s="78"/>
      <c r="B16" s="1148" t="s">
        <v>1086</v>
      </c>
      <c r="C16" s="1149" t="s">
        <v>1087</v>
      </c>
      <c r="D16" s="685" t="s">
        <v>162</v>
      </c>
      <c r="E16" s="91">
        <v>0.05</v>
      </c>
      <c r="F16" s="86">
        <v>1</v>
      </c>
      <c r="G16" s="96">
        <v>0</v>
      </c>
      <c r="H16" s="96"/>
      <c r="I16" s="96"/>
      <c r="J16" s="87"/>
      <c r="K16" s="87">
        <f t="shared" si="2"/>
        <v>0</v>
      </c>
      <c r="L16" s="87">
        <f t="shared" si="3"/>
        <v>0</v>
      </c>
      <c r="M16" s="87"/>
      <c r="N16" s="87">
        <f t="shared" si="12"/>
        <v>0</v>
      </c>
      <c r="O16" s="87"/>
      <c r="P16" s="513"/>
      <c r="Q16" s="1000"/>
      <c r="R16" s="513"/>
      <c r="S16" s="513"/>
      <c r="T16" s="513"/>
      <c r="U16" s="1001"/>
      <c r="V16" s="513">
        <f t="shared" si="5"/>
        <v>0</v>
      </c>
      <c r="W16" s="513">
        <f t="shared" si="6"/>
        <v>0</v>
      </c>
      <c r="X16" s="513"/>
      <c r="Y16" s="513"/>
      <c r="Z16" s="513"/>
      <c r="AA16" s="513"/>
      <c r="AB16" s="513">
        <f t="shared" si="7"/>
        <v>0</v>
      </c>
      <c r="AC16" s="87"/>
      <c r="AD16" s="87"/>
      <c r="AE16" s="87"/>
      <c r="AF16" s="87"/>
      <c r="AG16" s="87">
        <f t="shared" si="13"/>
        <v>0</v>
      </c>
      <c r="AH16" s="87">
        <f t="shared" si="14"/>
        <v>0</v>
      </c>
      <c r="AI16" s="87"/>
      <c r="AJ16" s="87">
        <v>0</v>
      </c>
      <c r="AK16" s="87">
        <f t="shared" si="10"/>
        <v>0</v>
      </c>
      <c r="AL16" s="87"/>
      <c r="AM16" s="87">
        <f t="shared" si="15"/>
        <v>0</v>
      </c>
      <c r="AN16" s="996">
        <f t="shared" si="11"/>
        <v>0</v>
      </c>
      <c r="AO16" s="787" t="s">
        <v>1857</v>
      </c>
      <c r="AP16" s="789" t="s">
        <v>1859</v>
      </c>
      <c r="AQ16" s="79"/>
      <c r="AR16" s="789" t="s">
        <v>2041</v>
      </c>
      <c r="AS16" s="789" t="s">
        <v>2041</v>
      </c>
      <c r="AT16" s="789" t="s">
        <v>2041</v>
      </c>
      <c r="AU16" s="79"/>
      <c r="AV16" s="997"/>
    </row>
    <row r="17" spans="1:49" ht="109.95" customHeight="1" thickBot="1" x14ac:dyDescent="0.45">
      <c r="A17" s="78"/>
      <c r="B17" s="1148" t="s">
        <v>1088</v>
      </c>
      <c r="C17" s="1149" t="s">
        <v>1089</v>
      </c>
      <c r="D17" s="93" t="s">
        <v>620</v>
      </c>
      <c r="E17" s="69">
        <v>0.05</v>
      </c>
      <c r="F17" s="86">
        <v>4</v>
      </c>
      <c r="G17" s="96">
        <v>1</v>
      </c>
      <c r="H17" s="96">
        <v>1</v>
      </c>
      <c r="I17" s="96">
        <v>1</v>
      </c>
      <c r="J17" s="87">
        <f>+G17/F17</f>
        <v>0.25</v>
      </c>
      <c r="K17" s="87">
        <f t="shared" si="2"/>
        <v>0.25</v>
      </c>
      <c r="L17" s="87">
        <f t="shared" si="3"/>
        <v>0.25</v>
      </c>
      <c r="M17" s="87">
        <f>+(G17/F17)*E17</f>
        <v>1.2500000000000001E-2</v>
      </c>
      <c r="N17" s="87">
        <f t="shared" si="12"/>
        <v>1.2500000000000001E-2</v>
      </c>
      <c r="O17" s="87"/>
      <c r="P17" s="513">
        <v>0</v>
      </c>
      <c r="Q17" s="1000">
        <v>0</v>
      </c>
      <c r="R17" s="1000">
        <v>1</v>
      </c>
      <c r="S17" s="1000">
        <v>0</v>
      </c>
      <c r="T17" s="1000">
        <v>0</v>
      </c>
      <c r="U17" s="1000">
        <v>0</v>
      </c>
      <c r="V17" s="513">
        <f t="shared" si="5"/>
        <v>1</v>
      </c>
      <c r="W17" s="513">
        <f t="shared" si="6"/>
        <v>1</v>
      </c>
      <c r="X17" s="1000">
        <v>0</v>
      </c>
      <c r="Y17" s="1000">
        <v>0</v>
      </c>
      <c r="Z17" s="513"/>
      <c r="AA17" s="513"/>
      <c r="AB17" s="513">
        <f t="shared" si="7"/>
        <v>0</v>
      </c>
      <c r="AC17" s="87">
        <f>+(P17/G17)</f>
        <v>0</v>
      </c>
      <c r="AD17" s="87">
        <f>+V17/H17</f>
        <v>1</v>
      </c>
      <c r="AE17" s="87">
        <f t="shared" si="8"/>
        <v>0</v>
      </c>
      <c r="AF17" s="87">
        <f>+AC17*E17</f>
        <v>0</v>
      </c>
      <c r="AG17" s="87">
        <f t="shared" si="13"/>
        <v>0.05</v>
      </c>
      <c r="AH17" s="87">
        <f t="shared" si="14"/>
        <v>0</v>
      </c>
      <c r="AI17" s="87">
        <f>+P17/F17</f>
        <v>0</v>
      </c>
      <c r="AJ17" s="87">
        <v>0.25</v>
      </c>
      <c r="AK17" s="87">
        <f t="shared" si="10"/>
        <v>0.25</v>
      </c>
      <c r="AL17" s="87">
        <f>+AI17*E17</f>
        <v>0</v>
      </c>
      <c r="AM17" s="87">
        <f t="shared" si="15"/>
        <v>1.2500000000000001E-2</v>
      </c>
      <c r="AN17" s="1421">
        <f t="shared" si="11"/>
        <v>1.2500000000000001E-2</v>
      </c>
      <c r="AO17" s="541" t="s">
        <v>1844</v>
      </c>
      <c r="AP17" s="754" t="s">
        <v>1886</v>
      </c>
      <c r="AQ17" s="754" t="s">
        <v>1992</v>
      </c>
      <c r="AR17" s="754" t="s">
        <v>2011</v>
      </c>
      <c r="AS17" s="754" t="s">
        <v>2107</v>
      </c>
      <c r="AT17" s="754" t="s">
        <v>2139</v>
      </c>
      <c r="AU17" s="754" t="s">
        <v>2196</v>
      </c>
      <c r="AV17" s="754" t="s">
        <v>1887</v>
      </c>
      <c r="AW17" s="754" t="s">
        <v>2294</v>
      </c>
    </row>
    <row r="18" spans="1:49" ht="133.19999999999999" customHeight="1" thickBot="1" x14ac:dyDescent="0.45">
      <c r="A18" s="78"/>
      <c r="B18" s="1148" t="s">
        <v>1090</v>
      </c>
      <c r="C18" s="1149" t="s">
        <v>1091</v>
      </c>
      <c r="D18" s="93" t="s">
        <v>620</v>
      </c>
      <c r="E18" s="69">
        <v>0.1</v>
      </c>
      <c r="F18" s="86">
        <v>4</v>
      </c>
      <c r="G18" s="96">
        <v>1</v>
      </c>
      <c r="H18" s="96">
        <v>1</v>
      </c>
      <c r="I18" s="96">
        <v>1</v>
      </c>
      <c r="J18" s="87">
        <f>+G18/F18</f>
        <v>0.25</v>
      </c>
      <c r="K18" s="87">
        <f t="shared" si="2"/>
        <v>0.25</v>
      </c>
      <c r="L18" s="87">
        <f t="shared" si="3"/>
        <v>0.25</v>
      </c>
      <c r="M18" s="87">
        <f>+(G18/F18)*E18</f>
        <v>2.5000000000000001E-2</v>
      </c>
      <c r="N18" s="87">
        <f t="shared" si="12"/>
        <v>2.5000000000000001E-2</v>
      </c>
      <c r="O18" s="87"/>
      <c r="P18" s="513">
        <v>0</v>
      </c>
      <c r="Q18" s="1000">
        <v>0</v>
      </c>
      <c r="R18" s="1000">
        <v>0</v>
      </c>
      <c r="S18" s="1000">
        <v>0</v>
      </c>
      <c r="T18" s="1000">
        <v>1</v>
      </c>
      <c r="U18" s="1000">
        <v>0</v>
      </c>
      <c r="V18" s="513">
        <f t="shared" si="5"/>
        <v>1</v>
      </c>
      <c r="W18" s="513">
        <f t="shared" si="6"/>
        <v>1</v>
      </c>
      <c r="X18" s="1000">
        <v>0</v>
      </c>
      <c r="Y18" s="1000">
        <v>0</v>
      </c>
      <c r="Z18" s="513"/>
      <c r="AA18" s="513"/>
      <c r="AB18" s="513">
        <f t="shared" si="7"/>
        <v>0</v>
      </c>
      <c r="AC18" s="87">
        <f>+(P18/G18)</f>
        <v>0</v>
      </c>
      <c r="AD18" s="87">
        <f>+V18/H18</f>
        <v>1</v>
      </c>
      <c r="AE18" s="87">
        <f t="shared" si="8"/>
        <v>0</v>
      </c>
      <c r="AF18" s="87">
        <f>+AC18*E18</f>
        <v>0</v>
      </c>
      <c r="AG18" s="87">
        <f t="shared" si="13"/>
        <v>0.1</v>
      </c>
      <c r="AH18" s="87">
        <f t="shared" si="14"/>
        <v>0</v>
      </c>
      <c r="AI18" s="87">
        <f>+P18/F18</f>
        <v>0</v>
      </c>
      <c r="AJ18" s="87">
        <v>0.25</v>
      </c>
      <c r="AK18" s="87">
        <f t="shared" si="10"/>
        <v>0.25</v>
      </c>
      <c r="AL18" s="87">
        <f>+AI18*E18</f>
        <v>0</v>
      </c>
      <c r="AM18" s="87">
        <f t="shared" si="15"/>
        <v>2.5000000000000001E-2</v>
      </c>
      <c r="AN18" s="1421">
        <f t="shared" si="11"/>
        <v>2.5000000000000001E-2</v>
      </c>
      <c r="AO18" s="541" t="s">
        <v>1844</v>
      </c>
      <c r="AP18" s="754" t="s">
        <v>1886</v>
      </c>
      <c r="AQ18" s="754" t="s">
        <v>1992</v>
      </c>
      <c r="AR18" s="754" t="s">
        <v>2011</v>
      </c>
      <c r="AS18" s="754" t="s">
        <v>2107</v>
      </c>
      <c r="AT18" s="754" t="s">
        <v>2139</v>
      </c>
      <c r="AU18" s="754" t="s">
        <v>2196</v>
      </c>
      <c r="AV18" s="754" t="s">
        <v>1887</v>
      </c>
      <c r="AW18" s="754" t="s">
        <v>2294</v>
      </c>
    </row>
    <row r="19" spans="1:49" ht="175.2" customHeight="1" thickBot="1" x14ac:dyDescent="0.45">
      <c r="A19" s="78"/>
      <c r="B19" s="1148" t="s">
        <v>1092</v>
      </c>
      <c r="C19" s="1149" t="s">
        <v>1093</v>
      </c>
      <c r="D19" s="93" t="s">
        <v>707</v>
      </c>
      <c r="E19" s="69">
        <v>0.05</v>
      </c>
      <c r="F19" s="86">
        <v>1</v>
      </c>
      <c r="G19" s="96">
        <v>0</v>
      </c>
      <c r="H19" s="96">
        <v>0</v>
      </c>
      <c r="I19" s="96">
        <v>0.35</v>
      </c>
      <c r="J19" s="87"/>
      <c r="K19" s="87">
        <f t="shared" si="2"/>
        <v>0</v>
      </c>
      <c r="L19" s="87"/>
      <c r="M19" s="87"/>
      <c r="N19" s="87">
        <f t="shared" si="12"/>
        <v>0</v>
      </c>
      <c r="O19" s="87"/>
      <c r="P19" s="513"/>
      <c r="Q19" s="1000"/>
      <c r="R19" s="1000"/>
      <c r="S19" s="1000"/>
      <c r="T19" s="1000"/>
      <c r="U19" s="1000">
        <v>1</v>
      </c>
      <c r="V19" s="513">
        <f t="shared" si="5"/>
        <v>1</v>
      </c>
      <c r="W19" s="513">
        <f t="shared" si="6"/>
        <v>1</v>
      </c>
      <c r="X19" s="1000">
        <v>0</v>
      </c>
      <c r="Y19" s="1000">
        <v>0</v>
      </c>
      <c r="Z19" s="513"/>
      <c r="AA19" s="513"/>
      <c r="AB19" s="513">
        <f t="shared" si="7"/>
        <v>0</v>
      </c>
      <c r="AC19" s="87"/>
      <c r="AD19" s="87"/>
      <c r="AE19" s="87">
        <f t="shared" si="8"/>
        <v>0</v>
      </c>
      <c r="AF19" s="87"/>
      <c r="AG19" s="88">
        <f t="shared" si="13"/>
        <v>0</v>
      </c>
      <c r="AH19" s="88">
        <f t="shared" si="14"/>
        <v>0</v>
      </c>
      <c r="AI19" s="88"/>
      <c r="AJ19" s="88">
        <v>1</v>
      </c>
      <c r="AK19" s="88">
        <f t="shared" si="10"/>
        <v>1</v>
      </c>
      <c r="AL19" s="88"/>
      <c r="AM19" s="88">
        <f t="shared" si="15"/>
        <v>0.05</v>
      </c>
      <c r="AN19" s="1422">
        <f t="shared" si="11"/>
        <v>0.05</v>
      </c>
      <c r="AO19" s="541" t="s">
        <v>1844</v>
      </c>
      <c r="AP19" s="789" t="s">
        <v>1907</v>
      </c>
      <c r="AQ19" s="79"/>
      <c r="AR19" s="790" t="s">
        <v>2023</v>
      </c>
      <c r="AS19" s="754" t="s">
        <v>2107</v>
      </c>
      <c r="AT19" s="754" t="s">
        <v>2139</v>
      </c>
      <c r="AU19" s="754" t="s">
        <v>2196</v>
      </c>
      <c r="AV19" s="754" t="s">
        <v>1887</v>
      </c>
      <c r="AW19" s="754" t="s">
        <v>2294</v>
      </c>
    </row>
    <row r="20" spans="1:49" ht="137.4" customHeight="1" thickBot="1" x14ac:dyDescent="0.45">
      <c r="A20" s="78"/>
      <c r="B20" s="1148" t="s">
        <v>1094</v>
      </c>
      <c r="C20" s="1149" t="s">
        <v>1095</v>
      </c>
      <c r="D20" s="93" t="s">
        <v>707</v>
      </c>
      <c r="E20" s="69">
        <v>0.3</v>
      </c>
      <c r="F20" s="86">
        <v>396</v>
      </c>
      <c r="G20" s="96">
        <v>0</v>
      </c>
      <c r="H20" s="96">
        <v>0</v>
      </c>
      <c r="I20" s="96">
        <v>132</v>
      </c>
      <c r="J20" s="87"/>
      <c r="K20" s="87">
        <f t="shared" si="2"/>
        <v>0</v>
      </c>
      <c r="L20" s="87">
        <f t="shared" si="3"/>
        <v>0.33333333333333331</v>
      </c>
      <c r="M20" s="87"/>
      <c r="N20" s="87">
        <f t="shared" si="12"/>
        <v>0</v>
      </c>
      <c r="O20" s="87"/>
      <c r="P20" s="513"/>
      <c r="Q20" s="1000"/>
      <c r="R20" s="1000"/>
      <c r="S20" s="1000"/>
      <c r="T20" s="1000">
        <v>63</v>
      </c>
      <c r="U20" s="1000"/>
      <c r="V20" s="513">
        <f t="shared" si="5"/>
        <v>63</v>
      </c>
      <c r="W20" s="513">
        <f t="shared" si="6"/>
        <v>113</v>
      </c>
      <c r="X20" s="1000">
        <v>50</v>
      </c>
      <c r="Y20" s="1000">
        <v>0</v>
      </c>
      <c r="Z20" s="513"/>
      <c r="AA20" s="513"/>
      <c r="AB20" s="513">
        <f t="shared" si="7"/>
        <v>50</v>
      </c>
      <c r="AC20" s="87"/>
      <c r="AD20" s="87"/>
      <c r="AE20" s="87">
        <f t="shared" si="8"/>
        <v>0.37878787878787878</v>
      </c>
      <c r="AF20" s="87"/>
      <c r="AG20" s="88">
        <f t="shared" si="13"/>
        <v>0</v>
      </c>
      <c r="AH20" s="88">
        <f t="shared" si="14"/>
        <v>0.11363636363636363</v>
      </c>
      <c r="AI20" s="88"/>
      <c r="AJ20" s="88">
        <v>0.15909090909090909</v>
      </c>
      <c r="AK20" s="88">
        <f t="shared" si="10"/>
        <v>0.28535353535353536</v>
      </c>
      <c r="AL20" s="88"/>
      <c r="AM20" s="88">
        <f t="shared" si="15"/>
        <v>4.7727272727272722E-2</v>
      </c>
      <c r="AN20" s="1422">
        <f t="shared" si="11"/>
        <v>8.5606060606060602E-2</v>
      </c>
      <c r="AO20" s="541" t="s">
        <v>1844</v>
      </c>
      <c r="AP20" s="789" t="s">
        <v>1907</v>
      </c>
      <c r="AQ20" s="79"/>
      <c r="AR20" s="790" t="s">
        <v>2023</v>
      </c>
      <c r="AS20" s="754" t="s">
        <v>2107</v>
      </c>
      <c r="AT20" s="754" t="s">
        <v>2139</v>
      </c>
      <c r="AU20" s="754" t="s">
        <v>2196</v>
      </c>
      <c r="AV20" s="754" t="s">
        <v>1887</v>
      </c>
      <c r="AW20" s="754" t="s">
        <v>2294</v>
      </c>
    </row>
    <row r="21" spans="1:49" ht="118.2" customHeight="1" thickBot="1" x14ac:dyDescent="0.45">
      <c r="A21" s="78"/>
      <c r="B21" s="1148" t="s">
        <v>1096</v>
      </c>
      <c r="C21" s="1149" t="s">
        <v>1097</v>
      </c>
      <c r="D21" s="93" t="s">
        <v>551</v>
      </c>
      <c r="E21" s="69">
        <v>0.4</v>
      </c>
      <c r="F21" s="86">
        <f>450*4</f>
        <v>1800</v>
      </c>
      <c r="G21" s="96">
        <v>0</v>
      </c>
      <c r="H21" s="96">
        <v>315</v>
      </c>
      <c r="I21" s="96">
        <v>743</v>
      </c>
      <c r="J21" s="87"/>
      <c r="K21" s="87">
        <f t="shared" si="2"/>
        <v>0.17499999999999999</v>
      </c>
      <c r="L21" s="87">
        <f t="shared" si="3"/>
        <v>0.4127777777777778</v>
      </c>
      <c r="M21" s="87"/>
      <c r="N21" s="87">
        <f t="shared" si="12"/>
        <v>6.9999999999999993E-2</v>
      </c>
      <c r="O21" s="87"/>
      <c r="P21" s="513"/>
      <c r="Q21" s="1000"/>
      <c r="R21" s="1000">
        <v>275</v>
      </c>
      <c r="S21" s="1000">
        <v>40</v>
      </c>
      <c r="T21" s="1000">
        <v>0</v>
      </c>
      <c r="U21" s="1000">
        <v>0</v>
      </c>
      <c r="V21" s="513">
        <f t="shared" si="5"/>
        <v>315</v>
      </c>
      <c r="W21" s="513">
        <f t="shared" si="6"/>
        <v>915</v>
      </c>
      <c r="X21" s="1000">
        <v>0</v>
      </c>
      <c r="Y21" s="1000">
        <v>600</v>
      </c>
      <c r="Z21" s="513"/>
      <c r="AA21" s="513"/>
      <c r="AB21" s="513">
        <f t="shared" si="7"/>
        <v>600</v>
      </c>
      <c r="AC21" s="87"/>
      <c r="AD21" s="88">
        <f>+V21/H21</f>
        <v>1</v>
      </c>
      <c r="AE21" s="88">
        <f t="shared" si="8"/>
        <v>0.80753701211305517</v>
      </c>
      <c r="AF21" s="87"/>
      <c r="AG21" s="87">
        <f t="shared" si="13"/>
        <v>0.4</v>
      </c>
      <c r="AH21" s="87">
        <f t="shared" si="14"/>
        <v>0.3230148048452221</v>
      </c>
      <c r="AI21" s="87"/>
      <c r="AJ21" s="88">
        <v>0.17499999999999999</v>
      </c>
      <c r="AK21" s="88">
        <f t="shared" si="10"/>
        <v>0.5083333333333333</v>
      </c>
      <c r="AL21" s="87"/>
      <c r="AM21" s="87">
        <f t="shared" si="15"/>
        <v>6.9999999999999993E-2</v>
      </c>
      <c r="AN21" s="996">
        <f t="shared" si="11"/>
        <v>0.20333333333333334</v>
      </c>
      <c r="AO21" s="547" t="s">
        <v>1579</v>
      </c>
      <c r="AP21" s="789" t="s">
        <v>1913</v>
      </c>
      <c r="AQ21" s="754" t="s">
        <v>1992</v>
      </c>
      <c r="AR21" s="754" t="s">
        <v>2011</v>
      </c>
      <c r="AS21" s="754" t="s">
        <v>2064</v>
      </c>
      <c r="AT21" s="754" t="s">
        <v>2139</v>
      </c>
      <c r="AU21" s="754" t="s">
        <v>2196</v>
      </c>
      <c r="AV21" s="754" t="s">
        <v>1887</v>
      </c>
      <c r="AW21" s="754" t="s">
        <v>2294</v>
      </c>
    </row>
    <row r="22" spans="1:49" ht="75" customHeight="1" thickBot="1" x14ac:dyDescent="0.45">
      <c r="A22" s="78"/>
      <c r="B22" s="1428" t="s">
        <v>1781</v>
      </c>
      <c r="C22" s="1427"/>
      <c r="D22" s="93"/>
      <c r="E22" s="68">
        <v>0.2</v>
      </c>
      <c r="F22" s="86"/>
      <c r="G22" s="96"/>
      <c r="H22" s="96"/>
      <c r="I22" s="96"/>
      <c r="J22" s="84">
        <f>+AVERAGE(J23:J29)</f>
        <v>0.4</v>
      </c>
      <c r="K22" s="84">
        <f>+AVERAGE(K23:K29)</f>
        <v>0.33214285714285718</v>
      </c>
      <c r="L22" s="84">
        <f>+AVERAGE(L23:L29)</f>
        <v>0.45250000000000001</v>
      </c>
      <c r="M22" s="84">
        <f>+M23+M24+M25+M26+M27+M28+M29</f>
        <v>4.0000000000000008E-2</v>
      </c>
      <c r="N22" s="84">
        <f>+N23+N24+N25+N26+N27+N28+N29</f>
        <v>0.32625000000000004</v>
      </c>
      <c r="O22" s="84"/>
      <c r="P22" s="85"/>
      <c r="Q22" s="85"/>
      <c r="R22" s="85"/>
      <c r="S22" s="85"/>
      <c r="T22" s="85"/>
      <c r="U22" s="845"/>
      <c r="V22" s="85"/>
      <c r="W22" s="513">
        <f t="shared" si="6"/>
        <v>0</v>
      </c>
      <c r="X22" s="85"/>
      <c r="Y22" s="85"/>
      <c r="Z22" s="85"/>
      <c r="AA22" s="85"/>
      <c r="AB22" s="85"/>
      <c r="AC22" s="514">
        <f>+AVERAGE(AC23:AC29)</f>
        <v>1</v>
      </c>
      <c r="AD22" s="514">
        <f>+AVERAGE(AD23:AD29)</f>
        <v>0.83750000000000002</v>
      </c>
      <c r="AE22" s="514">
        <f>+AVERAGE(AE23:AE29)</f>
        <v>0.215</v>
      </c>
      <c r="AF22" s="514">
        <f>+(AF23+AF24+AF25+AF26+AF27+AF28+AF29)*E22</f>
        <v>2.0000000000000004E-2</v>
      </c>
      <c r="AG22" s="514">
        <f>+(AG23+AG24+AG25+AG26+AG27+AG28+AG29)*E22</f>
        <v>7.9000000000000015E-2</v>
      </c>
      <c r="AH22" s="514">
        <f>+(AH23+AH24+AH25+AH26+AH27+AH28+AH29)*E22</f>
        <v>2.3000000000000003E-2</v>
      </c>
      <c r="AI22" s="84">
        <f>+AVERAGE(AI23:AI29)*(1/7)</f>
        <v>5.7142857142857141E-2</v>
      </c>
      <c r="AJ22" s="84">
        <v>0.35</v>
      </c>
      <c r="AK22" s="84">
        <f>+AJ22+((AK23-AJ23)/7)+((AK25-AJ25)/7)+((AK26-AJ26)/7)</f>
        <v>0.38928571428571429</v>
      </c>
      <c r="AL22" s="84">
        <f>+(AL23+AL24+AL25+AL26+AL27+AL28+AL29)*E22</f>
        <v>8.0000000000000019E-3</v>
      </c>
      <c r="AM22" s="84">
        <f>+(AM23+AM24+AM25+AM26+AM27+AM28+AM29)</f>
        <v>0.54249999999999998</v>
      </c>
      <c r="AN22" s="84">
        <f>+(AN23+AN24+AN25+AN26+AN27+AN28+AN29)</f>
        <v>0.56812499999999999</v>
      </c>
      <c r="AO22" s="786"/>
      <c r="AP22" s="79"/>
      <c r="AQ22" s="79"/>
      <c r="AR22" s="79"/>
      <c r="AS22" s="79"/>
      <c r="AT22" s="79"/>
      <c r="AU22" s="79"/>
      <c r="AV22" s="997"/>
    </row>
    <row r="23" spans="1:49" ht="139.94999999999999" customHeight="1" thickBot="1" x14ac:dyDescent="0.45">
      <c r="A23" s="78"/>
      <c r="B23" s="1148" t="s">
        <v>1098</v>
      </c>
      <c r="C23" s="1149" t="s">
        <v>1099</v>
      </c>
      <c r="D23" s="93" t="s">
        <v>560</v>
      </c>
      <c r="E23" s="69">
        <v>0.1</v>
      </c>
      <c r="F23" s="86">
        <v>5</v>
      </c>
      <c r="G23" s="96">
        <v>2</v>
      </c>
      <c r="H23" s="96">
        <v>1</v>
      </c>
      <c r="I23" s="96">
        <v>1</v>
      </c>
      <c r="J23" s="87">
        <f>+G23/F23</f>
        <v>0.4</v>
      </c>
      <c r="K23" s="87">
        <f t="shared" si="2"/>
        <v>0.2</v>
      </c>
      <c r="L23" s="87">
        <f t="shared" si="3"/>
        <v>0.2</v>
      </c>
      <c r="M23" s="87">
        <f>+(G23/F23)*E23</f>
        <v>4.0000000000000008E-2</v>
      </c>
      <c r="N23" s="87">
        <f t="shared" si="12"/>
        <v>2.0000000000000004E-2</v>
      </c>
      <c r="O23" s="87"/>
      <c r="P23" s="513">
        <v>2</v>
      </c>
      <c r="Q23" s="1000">
        <v>0</v>
      </c>
      <c r="R23" s="1000">
        <v>1</v>
      </c>
      <c r="S23" s="1000">
        <v>0</v>
      </c>
      <c r="T23" s="1000"/>
      <c r="U23" s="1000"/>
      <c r="V23" s="513">
        <f t="shared" si="5"/>
        <v>1</v>
      </c>
      <c r="W23" s="513">
        <f t="shared" si="6"/>
        <v>4</v>
      </c>
      <c r="X23" s="1000">
        <v>0</v>
      </c>
      <c r="Y23" s="1000">
        <v>1</v>
      </c>
      <c r="Z23" s="513"/>
      <c r="AA23" s="513"/>
      <c r="AB23" s="513">
        <f t="shared" si="7"/>
        <v>1</v>
      </c>
      <c r="AC23" s="87">
        <f>+(P23/G23)</f>
        <v>1</v>
      </c>
      <c r="AD23" s="87">
        <f>+V23/H23</f>
        <v>1</v>
      </c>
      <c r="AE23" s="87">
        <f t="shared" si="8"/>
        <v>1</v>
      </c>
      <c r="AF23" s="87">
        <f>+AC23*E23</f>
        <v>0.1</v>
      </c>
      <c r="AG23" s="87">
        <f>+AD23*E23</f>
        <v>0.1</v>
      </c>
      <c r="AH23" s="87">
        <f t="shared" ref="AH23:AH29" si="16">+AE23*E23</f>
        <v>0.1</v>
      </c>
      <c r="AI23" s="87">
        <f>+P23/F23</f>
        <v>0.4</v>
      </c>
      <c r="AJ23" s="87">
        <v>0.6</v>
      </c>
      <c r="AK23" s="87">
        <f t="shared" si="10"/>
        <v>0.8</v>
      </c>
      <c r="AL23" s="87">
        <f>+AI23*E23</f>
        <v>4.0000000000000008E-2</v>
      </c>
      <c r="AM23" s="87">
        <f t="shared" ref="AM23:AM29" si="17">+AJ23*E23</f>
        <v>0.06</v>
      </c>
      <c r="AN23" s="1422">
        <f t="shared" si="11"/>
        <v>8.0000000000000016E-2</v>
      </c>
      <c r="AO23" s="541" t="s">
        <v>1844</v>
      </c>
      <c r="AP23" s="790" t="s">
        <v>1886</v>
      </c>
      <c r="AQ23" s="79"/>
      <c r="AR23" s="754" t="s">
        <v>2011</v>
      </c>
      <c r="AS23" s="754" t="s">
        <v>2107</v>
      </c>
      <c r="AT23" s="754" t="s">
        <v>2140</v>
      </c>
      <c r="AU23" s="754" t="s">
        <v>2200</v>
      </c>
      <c r="AV23" s="754" t="s">
        <v>1887</v>
      </c>
      <c r="AW23" s="754" t="s">
        <v>2294</v>
      </c>
    </row>
    <row r="24" spans="1:49" ht="139.94999999999999" customHeight="1" thickBot="1" x14ac:dyDescent="0.45">
      <c r="A24" s="78"/>
      <c r="B24" s="1148" t="s">
        <v>1100</v>
      </c>
      <c r="C24" s="1149" t="s">
        <v>1101</v>
      </c>
      <c r="D24" s="741" t="s">
        <v>790</v>
      </c>
      <c r="E24" s="69">
        <v>0.15</v>
      </c>
      <c r="F24" s="86">
        <v>1</v>
      </c>
      <c r="G24" s="96">
        <v>0</v>
      </c>
      <c r="H24" s="96"/>
      <c r="I24" s="96"/>
      <c r="J24" s="87"/>
      <c r="K24" s="87">
        <f t="shared" si="2"/>
        <v>0</v>
      </c>
      <c r="L24" s="87">
        <f t="shared" si="3"/>
        <v>0</v>
      </c>
      <c r="M24" s="87"/>
      <c r="N24" s="87">
        <f t="shared" si="12"/>
        <v>0</v>
      </c>
      <c r="O24" s="87"/>
      <c r="P24" s="513"/>
      <c r="Q24" s="1000"/>
      <c r="R24" s="513"/>
      <c r="S24" s="513"/>
      <c r="T24" s="513"/>
      <c r="U24" s="1001"/>
      <c r="V24" s="513">
        <f t="shared" si="5"/>
        <v>0</v>
      </c>
      <c r="W24" s="513">
        <f t="shared" si="6"/>
        <v>0</v>
      </c>
      <c r="X24" s="513"/>
      <c r="Y24" s="513"/>
      <c r="Z24" s="513"/>
      <c r="AA24" s="513"/>
      <c r="AB24" s="513">
        <f t="shared" si="7"/>
        <v>0</v>
      </c>
      <c r="AC24" s="87"/>
      <c r="AD24" s="87"/>
      <c r="AE24" s="87"/>
      <c r="AF24" s="87"/>
      <c r="AG24" s="87"/>
      <c r="AH24" s="87">
        <f t="shared" si="16"/>
        <v>0</v>
      </c>
      <c r="AI24" s="87"/>
      <c r="AJ24" s="87"/>
      <c r="AK24" s="87">
        <f t="shared" si="10"/>
        <v>0</v>
      </c>
      <c r="AL24" s="87"/>
      <c r="AM24" s="87">
        <f t="shared" si="17"/>
        <v>0</v>
      </c>
      <c r="AN24" s="1423">
        <f t="shared" si="11"/>
        <v>0</v>
      </c>
      <c r="AO24" s="547" t="s">
        <v>1574</v>
      </c>
      <c r="AP24" s="789" t="s">
        <v>1859</v>
      </c>
      <c r="AQ24" s="754" t="s">
        <v>1992</v>
      </c>
      <c r="AR24" s="789" t="s">
        <v>1859</v>
      </c>
      <c r="AS24" s="789" t="s">
        <v>1859</v>
      </c>
      <c r="AT24" s="789" t="s">
        <v>1859</v>
      </c>
      <c r="AU24" s="789" t="s">
        <v>1859</v>
      </c>
      <c r="AV24" s="789" t="s">
        <v>1859</v>
      </c>
    </row>
    <row r="25" spans="1:49" ht="139.94999999999999" customHeight="1" thickBot="1" x14ac:dyDescent="0.45">
      <c r="A25" s="78"/>
      <c r="B25" s="1148" t="s">
        <v>1102</v>
      </c>
      <c r="C25" s="1149" t="s">
        <v>1103</v>
      </c>
      <c r="D25" s="93" t="s">
        <v>565</v>
      </c>
      <c r="E25" s="69">
        <v>0.2</v>
      </c>
      <c r="F25" s="86">
        <v>1</v>
      </c>
      <c r="G25" s="96">
        <v>0</v>
      </c>
      <c r="H25" s="96">
        <v>1</v>
      </c>
      <c r="I25" s="96">
        <v>1</v>
      </c>
      <c r="J25" s="87"/>
      <c r="K25" s="87">
        <f t="shared" si="2"/>
        <v>1</v>
      </c>
      <c r="L25" s="87">
        <f t="shared" si="3"/>
        <v>1</v>
      </c>
      <c r="M25" s="87"/>
      <c r="N25" s="87">
        <f t="shared" si="12"/>
        <v>0.2</v>
      </c>
      <c r="O25" s="87"/>
      <c r="P25" s="513"/>
      <c r="Q25" s="1000">
        <v>0</v>
      </c>
      <c r="R25" s="1000">
        <v>0.05</v>
      </c>
      <c r="S25" s="1000">
        <v>0.45</v>
      </c>
      <c r="T25" s="1000">
        <v>0.35</v>
      </c>
      <c r="U25" s="1000">
        <v>0</v>
      </c>
      <c r="V25" s="513">
        <f t="shared" si="5"/>
        <v>0.85</v>
      </c>
      <c r="W25" s="513">
        <f t="shared" si="6"/>
        <v>0.92499999999999993</v>
      </c>
      <c r="X25" s="1000">
        <v>0</v>
      </c>
      <c r="Y25" s="1000">
        <v>7.4999999999999997E-2</v>
      </c>
      <c r="Z25" s="513"/>
      <c r="AA25" s="513"/>
      <c r="AB25" s="513">
        <f t="shared" si="7"/>
        <v>7.4999999999999997E-2</v>
      </c>
      <c r="AC25" s="87"/>
      <c r="AD25" s="88">
        <f>+V25/H25</f>
        <v>0.85</v>
      </c>
      <c r="AE25" s="88">
        <f t="shared" si="8"/>
        <v>7.4999999999999997E-2</v>
      </c>
      <c r="AF25" s="88"/>
      <c r="AG25" s="88">
        <f>+AD25*E25</f>
        <v>0.17</v>
      </c>
      <c r="AH25" s="88">
        <f t="shared" si="16"/>
        <v>1.4999999999999999E-2</v>
      </c>
      <c r="AI25" s="88"/>
      <c r="AJ25" s="88">
        <v>0.85</v>
      </c>
      <c r="AK25" s="88">
        <f t="shared" si="10"/>
        <v>0.92499999999999993</v>
      </c>
      <c r="AL25" s="88"/>
      <c r="AM25" s="88">
        <f t="shared" si="17"/>
        <v>0.17</v>
      </c>
      <c r="AN25" s="1422">
        <f t="shared" si="11"/>
        <v>0.185</v>
      </c>
      <c r="AO25" s="541" t="s">
        <v>1844</v>
      </c>
      <c r="AP25" s="789" t="s">
        <v>1913</v>
      </c>
      <c r="AQ25" s="791" t="s">
        <v>1992</v>
      </c>
      <c r="AR25" s="754" t="s">
        <v>2011</v>
      </c>
      <c r="AS25" s="754" t="s">
        <v>2107</v>
      </c>
      <c r="AT25" s="754" t="s">
        <v>2139</v>
      </c>
      <c r="AU25" s="754" t="s">
        <v>2200</v>
      </c>
      <c r="AV25" s="754" t="s">
        <v>1887</v>
      </c>
      <c r="AW25" s="754" t="s">
        <v>2294</v>
      </c>
    </row>
    <row r="26" spans="1:49" ht="139.94999999999999" customHeight="1" thickBot="1" x14ac:dyDescent="0.45">
      <c r="A26" s="78"/>
      <c r="B26" s="1148" t="s">
        <v>1104</v>
      </c>
      <c r="C26" s="1149" t="s">
        <v>1105</v>
      </c>
      <c r="D26" s="93" t="s">
        <v>907</v>
      </c>
      <c r="E26" s="69">
        <v>0.1</v>
      </c>
      <c r="F26" s="86">
        <v>1</v>
      </c>
      <c r="G26" s="96">
        <v>0</v>
      </c>
      <c r="H26" s="96">
        <v>1</v>
      </c>
      <c r="I26" s="96">
        <v>1</v>
      </c>
      <c r="J26" s="87"/>
      <c r="K26" s="87">
        <f t="shared" si="2"/>
        <v>1</v>
      </c>
      <c r="L26" s="87"/>
      <c r="M26" s="87"/>
      <c r="N26" s="87">
        <f t="shared" si="12"/>
        <v>0.1</v>
      </c>
      <c r="O26" s="87"/>
      <c r="P26" s="513"/>
      <c r="Q26" s="1000">
        <v>0</v>
      </c>
      <c r="R26" s="1000">
        <v>1</v>
      </c>
      <c r="S26" s="513"/>
      <c r="T26" s="513"/>
      <c r="U26" s="1001"/>
      <c r="V26" s="513">
        <f t="shared" si="5"/>
        <v>1</v>
      </c>
      <c r="W26" s="513">
        <f t="shared" si="6"/>
        <v>1</v>
      </c>
      <c r="X26" s="1000">
        <v>0</v>
      </c>
      <c r="Y26" s="513"/>
      <c r="Z26" s="513"/>
      <c r="AA26" s="513"/>
      <c r="AB26" s="513">
        <f t="shared" si="7"/>
        <v>0</v>
      </c>
      <c r="AC26" s="87"/>
      <c r="AD26" s="87">
        <f>+V26/H26</f>
        <v>1</v>
      </c>
      <c r="AE26" s="87">
        <f t="shared" si="8"/>
        <v>0</v>
      </c>
      <c r="AF26" s="87"/>
      <c r="AG26" s="87">
        <f>+AD26*E26</f>
        <v>0.1</v>
      </c>
      <c r="AH26" s="87">
        <f t="shared" si="16"/>
        <v>0</v>
      </c>
      <c r="AI26" s="87"/>
      <c r="AJ26" s="87">
        <v>1</v>
      </c>
      <c r="AK26" s="87">
        <f t="shared" si="10"/>
        <v>1</v>
      </c>
      <c r="AL26" s="87"/>
      <c r="AM26" s="87">
        <f t="shared" si="17"/>
        <v>0.1</v>
      </c>
      <c r="AN26" s="1423">
        <f t="shared" si="11"/>
        <v>0.1</v>
      </c>
      <c r="AO26" s="547" t="s">
        <v>1580</v>
      </c>
      <c r="AP26" s="789" t="s">
        <v>1913</v>
      </c>
      <c r="AQ26" s="79"/>
      <c r="AR26" s="754" t="s">
        <v>1588</v>
      </c>
      <c r="AS26" s="79"/>
      <c r="AT26" s="79"/>
      <c r="AU26" s="789" t="s">
        <v>1859</v>
      </c>
      <c r="AV26" s="754" t="s">
        <v>1887</v>
      </c>
    </row>
    <row r="27" spans="1:49" ht="139.94999999999999" customHeight="1" thickBot="1" x14ac:dyDescent="0.45">
      <c r="A27" s="78"/>
      <c r="B27" s="1148" t="s">
        <v>1106</v>
      </c>
      <c r="C27" s="1149" t="s">
        <v>1107</v>
      </c>
      <c r="D27" s="97" t="s">
        <v>1108</v>
      </c>
      <c r="E27" s="69">
        <v>0.2</v>
      </c>
      <c r="F27" s="86">
        <v>1</v>
      </c>
      <c r="G27" s="96">
        <v>0</v>
      </c>
      <c r="H27" s="96">
        <v>0</v>
      </c>
      <c r="I27" s="96">
        <v>0</v>
      </c>
      <c r="J27" s="87"/>
      <c r="K27" s="87">
        <f t="shared" si="2"/>
        <v>0</v>
      </c>
      <c r="L27" s="87"/>
      <c r="M27" s="87"/>
      <c r="N27" s="87">
        <f t="shared" si="12"/>
        <v>0</v>
      </c>
      <c r="O27" s="87"/>
      <c r="P27" s="513"/>
      <c r="Q27" s="1000"/>
      <c r="R27" s="1000"/>
      <c r="S27" s="1000"/>
      <c r="T27" s="1000">
        <v>1</v>
      </c>
      <c r="U27" s="1000"/>
      <c r="V27" s="513">
        <f t="shared" si="5"/>
        <v>1</v>
      </c>
      <c r="W27" s="513">
        <f t="shared" si="6"/>
        <v>1</v>
      </c>
      <c r="X27" s="1000">
        <v>0</v>
      </c>
      <c r="Y27" s="513"/>
      <c r="Z27" s="513"/>
      <c r="AA27" s="513"/>
      <c r="AB27" s="513">
        <f>+X27+Y27+Z27+AA27</f>
        <v>0</v>
      </c>
      <c r="AC27" s="87"/>
      <c r="AD27" s="87"/>
      <c r="AE27" s="87"/>
      <c r="AF27" s="87"/>
      <c r="AG27" s="88">
        <f>+AD27*E27</f>
        <v>0</v>
      </c>
      <c r="AH27" s="88"/>
      <c r="AI27" s="88"/>
      <c r="AJ27" s="88">
        <v>1</v>
      </c>
      <c r="AK27" s="88">
        <f t="shared" si="10"/>
        <v>1</v>
      </c>
      <c r="AL27" s="88"/>
      <c r="AM27" s="88">
        <f t="shared" si="17"/>
        <v>0.2</v>
      </c>
      <c r="AN27" s="1423">
        <f t="shared" si="11"/>
        <v>0.2</v>
      </c>
      <c r="AO27" s="547" t="s">
        <v>1581</v>
      </c>
      <c r="AP27" s="789" t="s">
        <v>1859</v>
      </c>
      <c r="AQ27" s="79"/>
      <c r="AR27" s="789" t="s">
        <v>1859</v>
      </c>
      <c r="AS27" s="79"/>
      <c r="AT27" s="754" t="s">
        <v>2140</v>
      </c>
      <c r="AU27" s="754" t="s">
        <v>2199</v>
      </c>
      <c r="AV27" s="754" t="s">
        <v>1887</v>
      </c>
      <c r="AW27" s="754" t="s">
        <v>2294</v>
      </c>
    </row>
    <row r="28" spans="1:49" ht="139.94999999999999" customHeight="1" thickBot="1" x14ac:dyDescent="0.45">
      <c r="A28" s="78"/>
      <c r="B28" s="1148" t="s">
        <v>1109</v>
      </c>
      <c r="C28" s="1149" t="s">
        <v>1110</v>
      </c>
      <c r="D28" s="98" t="s">
        <v>1111</v>
      </c>
      <c r="E28" s="69">
        <v>0.2</v>
      </c>
      <c r="F28" s="86">
        <v>1</v>
      </c>
      <c r="G28" s="96">
        <v>0</v>
      </c>
      <c r="H28" s="96"/>
      <c r="I28" s="96">
        <v>1</v>
      </c>
      <c r="J28" s="87"/>
      <c r="K28" s="87">
        <f t="shared" si="2"/>
        <v>0</v>
      </c>
      <c r="L28" s="87">
        <f>+I28/F28</f>
        <v>1</v>
      </c>
      <c r="M28" s="87"/>
      <c r="N28" s="87">
        <f t="shared" si="12"/>
        <v>0</v>
      </c>
      <c r="O28" s="87"/>
      <c r="P28" s="513"/>
      <c r="Q28" s="1000"/>
      <c r="R28" s="513"/>
      <c r="S28" s="513"/>
      <c r="T28" s="513"/>
      <c r="U28" s="1001"/>
      <c r="V28" s="513">
        <f t="shared" si="5"/>
        <v>0</v>
      </c>
      <c r="W28" s="513">
        <f t="shared" si="6"/>
        <v>0</v>
      </c>
      <c r="X28" s="1000">
        <v>0</v>
      </c>
      <c r="Y28" s="1000">
        <v>0</v>
      </c>
      <c r="Z28" s="513"/>
      <c r="AA28" s="513"/>
      <c r="AB28" s="513">
        <f t="shared" si="7"/>
        <v>0</v>
      </c>
      <c r="AC28" s="87"/>
      <c r="AD28" s="87"/>
      <c r="AE28" s="87">
        <f t="shared" si="8"/>
        <v>0</v>
      </c>
      <c r="AF28" s="87"/>
      <c r="AG28" s="87">
        <f>+AD28*E28</f>
        <v>0</v>
      </c>
      <c r="AH28" s="87">
        <f t="shared" si="16"/>
        <v>0</v>
      </c>
      <c r="AI28" s="87"/>
      <c r="AJ28" s="87"/>
      <c r="AK28" s="87">
        <f t="shared" si="10"/>
        <v>0</v>
      </c>
      <c r="AL28" s="87"/>
      <c r="AM28" s="87">
        <f t="shared" si="17"/>
        <v>0</v>
      </c>
      <c r="AN28" s="1423">
        <f t="shared" si="11"/>
        <v>0</v>
      </c>
      <c r="AO28" s="547" t="s">
        <v>1578</v>
      </c>
      <c r="AP28" s="789" t="s">
        <v>1859</v>
      </c>
      <c r="AQ28" s="79"/>
      <c r="AR28" s="789" t="s">
        <v>1859</v>
      </c>
      <c r="AS28" s="79"/>
      <c r="AT28" s="79"/>
      <c r="AU28" s="791" t="s">
        <v>2199</v>
      </c>
      <c r="AV28" s="754" t="s">
        <v>1887</v>
      </c>
      <c r="AW28" s="754" t="s">
        <v>2294</v>
      </c>
    </row>
    <row r="29" spans="1:49" ht="139.94999999999999" customHeight="1" thickBot="1" x14ac:dyDescent="0.45">
      <c r="A29" s="78"/>
      <c r="B29" s="1148" t="s">
        <v>1112</v>
      </c>
      <c r="C29" s="1149" t="s">
        <v>1113</v>
      </c>
      <c r="D29" s="99" t="s">
        <v>560</v>
      </c>
      <c r="E29" s="69">
        <v>0.05</v>
      </c>
      <c r="F29" s="86">
        <v>16</v>
      </c>
      <c r="G29" s="96">
        <v>0</v>
      </c>
      <c r="H29" s="96">
        <v>2</v>
      </c>
      <c r="I29" s="96">
        <v>1</v>
      </c>
      <c r="J29" s="87"/>
      <c r="K29" s="87">
        <f t="shared" si="2"/>
        <v>0.125</v>
      </c>
      <c r="L29" s="87">
        <f t="shared" si="3"/>
        <v>6.25E-2</v>
      </c>
      <c r="M29" s="87"/>
      <c r="N29" s="87">
        <f t="shared" si="12"/>
        <v>6.2500000000000003E-3</v>
      </c>
      <c r="O29" s="87"/>
      <c r="P29" s="513"/>
      <c r="Q29" s="1000">
        <v>0</v>
      </c>
      <c r="R29" s="1000">
        <v>0</v>
      </c>
      <c r="S29" s="1000">
        <v>0</v>
      </c>
      <c r="T29" s="1000"/>
      <c r="U29" s="1000">
        <v>1</v>
      </c>
      <c r="V29" s="513">
        <f t="shared" si="5"/>
        <v>1</v>
      </c>
      <c r="W29" s="513">
        <f>+V29+P29+AB29</f>
        <v>1</v>
      </c>
      <c r="X29" s="1000">
        <v>0</v>
      </c>
      <c r="Y29" s="1000"/>
      <c r="Z29" s="513"/>
      <c r="AA29" s="513"/>
      <c r="AB29" s="513">
        <f t="shared" si="7"/>
        <v>0</v>
      </c>
      <c r="AC29" s="87"/>
      <c r="AD29" s="87">
        <f>+V29/H29</f>
        <v>0.5</v>
      </c>
      <c r="AE29" s="87">
        <f t="shared" si="8"/>
        <v>0</v>
      </c>
      <c r="AF29" s="87"/>
      <c r="AG29" s="87">
        <f>+AD29*E29</f>
        <v>2.5000000000000001E-2</v>
      </c>
      <c r="AH29" s="87">
        <f t="shared" si="16"/>
        <v>0</v>
      </c>
      <c r="AI29" s="87"/>
      <c r="AJ29" s="87">
        <v>0.25</v>
      </c>
      <c r="AK29" s="87">
        <f t="shared" si="10"/>
        <v>6.25E-2</v>
      </c>
      <c r="AL29" s="87"/>
      <c r="AM29" s="87">
        <f t="shared" si="17"/>
        <v>1.2500000000000001E-2</v>
      </c>
      <c r="AN29" s="1422">
        <f t="shared" si="11"/>
        <v>3.1250000000000002E-3</v>
      </c>
      <c r="AO29" s="541" t="s">
        <v>1844</v>
      </c>
      <c r="AP29" s="789" t="s">
        <v>1913</v>
      </c>
      <c r="AQ29" s="754" t="s">
        <v>1992</v>
      </c>
      <c r="AR29" s="754" t="s">
        <v>2011</v>
      </c>
      <c r="AS29" s="754" t="s">
        <v>2107</v>
      </c>
      <c r="AT29" s="754" t="s">
        <v>2140</v>
      </c>
      <c r="AU29" s="789" t="s">
        <v>2209</v>
      </c>
      <c r="AV29" s="754" t="s">
        <v>1887</v>
      </c>
      <c r="AW29" s="754" t="s">
        <v>2294</v>
      </c>
    </row>
    <row r="30" spans="1:49" ht="71.25" customHeight="1" thickBot="1" x14ac:dyDescent="0.45">
      <c r="A30" s="78"/>
      <c r="B30" s="1426" t="s">
        <v>1835</v>
      </c>
      <c r="C30" s="1427"/>
      <c r="D30" s="93"/>
      <c r="E30" s="80">
        <v>0.25</v>
      </c>
      <c r="F30" s="95">
        <f>+E30*AF30</f>
        <v>1.2824999999999998E-2</v>
      </c>
      <c r="G30" s="79"/>
      <c r="H30" s="95">
        <f>+E30*AG30</f>
        <v>0.18307499999999999</v>
      </c>
      <c r="I30" s="95">
        <f>+E30*AI30</f>
        <v>1.1574074074074072E-2</v>
      </c>
      <c r="J30" s="81">
        <f>+(J31+J40+J47)/3</f>
        <v>0.22685185185185186</v>
      </c>
      <c r="K30" s="81">
        <f>+(K31+K40+K47)/3</f>
        <v>0.30802469135802468</v>
      </c>
      <c r="L30" s="81">
        <f>+(L31+L40+L47)/3</f>
        <v>0.41539506172839508</v>
      </c>
      <c r="M30" s="82">
        <f>+(M31+M40+M47)/3</f>
        <v>8.3611111111111122E-2</v>
      </c>
      <c r="N30" s="82">
        <f>+(N31+N40+N47)/3</f>
        <v>0.29299999999999998</v>
      </c>
      <c r="O30" s="82"/>
      <c r="P30" s="79"/>
      <c r="Q30" s="79"/>
      <c r="R30" s="79"/>
      <c r="S30" s="79"/>
      <c r="T30" s="79"/>
      <c r="U30" s="846"/>
      <c r="V30" s="79"/>
      <c r="W30" s="79"/>
      <c r="X30" s="79"/>
      <c r="Y30" s="79"/>
      <c r="Z30" s="79"/>
      <c r="AA30" s="79"/>
      <c r="AB30" s="79"/>
      <c r="AC30" s="81">
        <f>+(AC31+AC40+AC47)/3</f>
        <v>0.22222222222222221</v>
      </c>
      <c r="AD30" s="81">
        <f>+(AD31+AD40+AD47)/3</f>
        <v>0.90111111111111108</v>
      </c>
      <c r="AE30" s="81">
        <f>+(AE31+AE40+AE47)/3</f>
        <v>0.15451883964889745</v>
      </c>
      <c r="AF30" s="82">
        <f>+AF31+AF40+AF47</f>
        <v>5.1299999999999991E-2</v>
      </c>
      <c r="AG30" s="82">
        <f>+AG31+AG40+AG47</f>
        <v>0.73229999999999995</v>
      </c>
      <c r="AH30" s="82">
        <f>+AH31+AH40+AH47</f>
        <v>0.16591977360308283</v>
      </c>
      <c r="AI30" s="81">
        <f>(AI31+AI40+AI47)/3</f>
        <v>4.6296296296296287E-2</v>
      </c>
      <c r="AJ30" s="81">
        <v>0.37216203703703704</v>
      </c>
      <c r="AK30" s="81">
        <f>(AK31+AK40+AK47)/3</f>
        <v>0.4265497685185185</v>
      </c>
      <c r="AL30" s="82">
        <f>(AL31+AL40+AL47)</f>
        <v>9.6249999999999999E-3</v>
      </c>
      <c r="AM30" s="82">
        <f>(AM31*E31+AM40*E40+AM47*E47)</f>
        <v>0.33927250000000003</v>
      </c>
      <c r="AN30" s="82">
        <f>(AN31*E31+AN40*E40+AN47*E47)</f>
        <v>0.39793887499999997</v>
      </c>
      <c r="AO30" s="785"/>
      <c r="AP30" s="79"/>
      <c r="AQ30" s="79"/>
      <c r="AR30" s="79"/>
      <c r="AS30" s="79"/>
      <c r="AT30" s="79"/>
      <c r="AU30" s="79"/>
      <c r="AV30" s="997"/>
    </row>
    <row r="31" spans="1:49" ht="63" customHeight="1" thickBot="1" x14ac:dyDescent="0.45">
      <c r="A31" s="78"/>
      <c r="B31" s="1428" t="s">
        <v>1836</v>
      </c>
      <c r="C31" s="1427"/>
      <c r="D31" s="93"/>
      <c r="E31" s="68">
        <v>0.3</v>
      </c>
      <c r="F31" s="86"/>
      <c r="G31" s="79"/>
      <c r="H31" s="79"/>
      <c r="I31" s="79"/>
      <c r="J31" s="84">
        <f>+AVERAGE(J32:J39)</f>
        <v>0.30555555555555552</v>
      </c>
      <c r="K31" s="84">
        <f>+AVERAGE(K32:K39)</f>
        <v>0.33462962962962967</v>
      </c>
      <c r="L31" s="84">
        <f>+AVERAGE(L32:L39)</f>
        <v>0.45351851851851849</v>
      </c>
      <c r="M31" s="84">
        <f>+M32+M33+M34+M35+M36+M37+M38+M39</f>
        <v>0.18208333333333335</v>
      </c>
      <c r="N31" s="84">
        <f>+N32+N33+N34+N35+N36+N37+N38+N39</f>
        <v>0.29941666666666666</v>
      </c>
      <c r="O31" s="84"/>
      <c r="P31" s="85"/>
      <c r="Q31" s="85"/>
      <c r="R31" s="85"/>
      <c r="S31" s="85"/>
      <c r="T31" s="85"/>
      <c r="U31" s="845"/>
      <c r="V31" s="85"/>
      <c r="W31" s="85"/>
      <c r="X31" s="85"/>
      <c r="Y31" s="85"/>
      <c r="Z31" s="85"/>
      <c r="AA31" s="85"/>
      <c r="AB31" s="85"/>
      <c r="AC31" s="514">
        <f>+AVERAGE(AC32:AC39)</f>
        <v>0.66666666666666663</v>
      </c>
      <c r="AD31" s="514">
        <f>+AVERAGE(AD32:AD39)</f>
        <v>0.83333333333333337</v>
      </c>
      <c r="AE31" s="514">
        <f>+AVERAGE(AE32:AE39)</f>
        <v>4.3055555555555548E-2</v>
      </c>
      <c r="AF31" s="514">
        <f>+(AF32+AF33+AF34+AF35+AF36+AF37+AF38+AF39)*E31</f>
        <v>5.1299999999999991E-2</v>
      </c>
      <c r="AG31" s="514">
        <f>+(AG32+AG33+AG34+AG35+AG36+AG37+AG38+AG39)*E31</f>
        <v>0.15180000000000002</v>
      </c>
      <c r="AH31" s="514">
        <f>+(AH32+AH33+AH34+AH35+AH36+AH37+AH38+AH39)*E31</f>
        <v>3.5874999999999991E-3</v>
      </c>
      <c r="AI31" s="84">
        <f>+AVERAGE(AI32:AI39)</f>
        <v>0.13888888888888887</v>
      </c>
      <c r="AJ31" s="84">
        <v>0.31381944444444443</v>
      </c>
      <c r="AK31" s="84">
        <f>+((AK32-AJ32)/8)+((AK33-AJ33)/8)+((AK34-AJ34)/8)+((AK35-AJ35)/8)+((AK36-AJ36)/8)+((AK37-AJ37)/8)+((AK38-AJ38)/8)+((AK39-AJ39)/8)+AJ31</f>
        <v>0.34178819444444442</v>
      </c>
      <c r="AL31" s="84">
        <f>+(AL32+AL33+AL34+AL35+AL36+AL37+AL38+AL39)*E31</f>
        <v>9.6249999999999999E-3</v>
      </c>
      <c r="AM31" s="84">
        <f>+(AM32+AM33+AM34+AM35+AM36+AM37+AM38+AM39)</f>
        <v>0.17684166666666667</v>
      </c>
      <c r="AN31" s="84">
        <f>+(AN32+AN33+AN34+AN35+AN36+AN37+AN38+AN39)</f>
        <v>0.18674625</v>
      </c>
      <c r="AO31" s="786"/>
      <c r="AP31" s="788" t="s">
        <v>1985</v>
      </c>
      <c r="AQ31" s="79"/>
      <c r="AR31" s="79"/>
      <c r="AS31" s="79"/>
      <c r="AT31" s="79"/>
      <c r="AU31" s="79"/>
      <c r="AV31" s="997"/>
    </row>
    <row r="32" spans="1:49" ht="133.94999999999999" customHeight="1" thickBot="1" x14ac:dyDescent="0.45">
      <c r="A32" s="78"/>
      <c r="B32" s="1148" t="s">
        <v>1114</v>
      </c>
      <c r="C32" s="1149" t="s">
        <v>1115</v>
      </c>
      <c r="D32" s="100" t="s">
        <v>12</v>
      </c>
      <c r="E32" s="69">
        <v>0.15</v>
      </c>
      <c r="F32" s="86">
        <v>5</v>
      </c>
      <c r="G32" s="96">
        <v>0</v>
      </c>
      <c r="H32" s="96">
        <v>0</v>
      </c>
      <c r="I32" s="96">
        <v>0</v>
      </c>
      <c r="J32" s="87"/>
      <c r="K32" s="87"/>
      <c r="L32" s="87"/>
      <c r="M32" s="87"/>
      <c r="N32" s="87"/>
      <c r="O32" s="87"/>
      <c r="P32" s="513"/>
      <c r="Q32" s="1000"/>
      <c r="R32" s="1000"/>
      <c r="S32" s="1000"/>
      <c r="T32" s="1000"/>
      <c r="U32" s="1000"/>
      <c r="V32" s="513">
        <f t="shared" si="5"/>
        <v>0</v>
      </c>
      <c r="W32" s="513">
        <f>+V32+P32+AB32</f>
        <v>0</v>
      </c>
      <c r="X32" s="1000">
        <v>0</v>
      </c>
      <c r="Y32" s="1000">
        <v>0</v>
      </c>
      <c r="Z32" s="513"/>
      <c r="AA32" s="513"/>
      <c r="AB32" s="513">
        <f t="shared" ref="AB32:AB52" si="18">+X32+Y32+Z32+AA32</f>
        <v>0</v>
      </c>
      <c r="AC32" s="88"/>
      <c r="AD32" s="88"/>
      <c r="AE32" s="88"/>
      <c r="AF32" s="88"/>
      <c r="AG32" s="88"/>
      <c r="AH32" s="88"/>
      <c r="AI32" s="88"/>
      <c r="AJ32" s="88"/>
      <c r="AK32" s="88">
        <f t="shared" ref="AK32:AK39" si="19">+W32/F32</f>
        <v>0</v>
      </c>
      <c r="AL32" s="88">
        <v>0</v>
      </c>
      <c r="AM32" s="88">
        <f t="shared" ref="AM32:AM39" si="20">+AJ32*E32</f>
        <v>0</v>
      </c>
      <c r="AN32" s="88">
        <f t="shared" ref="AN32:AN39" si="21">+AK32*E32</f>
        <v>0</v>
      </c>
      <c r="AO32" s="541" t="s">
        <v>1844</v>
      </c>
      <c r="AP32" s="790" t="s">
        <v>1886</v>
      </c>
      <c r="AQ32" s="790" t="s">
        <v>1992</v>
      </c>
      <c r="AR32" s="754" t="s">
        <v>2011</v>
      </c>
      <c r="AS32" s="754" t="s">
        <v>2107</v>
      </c>
      <c r="AT32" s="754" t="s">
        <v>2139</v>
      </c>
      <c r="AU32" s="754" t="s">
        <v>2196</v>
      </c>
      <c r="AV32" s="754" t="s">
        <v>1887</v>
      </c>
      <c r="AW32" s="754" t="s">
        <v>2294</v>
      </c>
    </row>
    <row r="33" spans="1:49" ht="72" customHeight="1" thickBot="1" x14ac:dyDescent="0.45">
      <c r="A33" s="78"/>
      <c r="B33" s="1148" t="s">
        <v>1116</v>
      </c>
      <c r="C33" s="1149" t="s">
        <v>1117</v>
      </c>
      <c r="D33" s="100" t="s">
        <v>12</v>
      </c>
      <c r="E33" s="69">
        <v>0.3</v>
      </c>
      <c r="F33" s="86">
        <v>1</v>
      </c>
      <c r="G33" s="96">
        <v>0.5</v>
      </c>
      <c r="H33" s="96">
        <v>0.5</v>
      </c>
      <c r="I33" s="96">
        <v>1</v>
      </c>
      <c r="J33" s="87">
        <f t="shared" ref="J33:J39" si="22">+G33/F33</f>
        <v>0.5</v>
      </c>
      <c r="K33" s="87">
        <f t="shared" ref="K33:K39" si="23">+H33/F33</f>
        <v>0.5</v>
      </c>
      <c r="L33" s="87">
        <f t="shared" ref="L33:L52" si="24">+I33/F33</f>
        <v>1</v>
      </c>
      <c r="M33" s="87">
        <f t="shared" ref="M33:M39" si="25">+(G33/F33)*E33</f>
        <v>0.15</v>
      </c>
      <c r="N33" s="87">
        <f t="shared" ref="N33:N39" si="26">+(H33/F33)*E33</f>
        <v>0.15</v>
      </c>
      <c r="O33" s="87"/>
      <c r="P33" s="513">
        <v>0</v>
      </c>
      <c r="Q33" s="1000">
        <v>0</v>
      </c>
      <c r="R33" s="1000">
        <v>0</v>
      </c>
      <c r="S33" s="1000">
        <v>0</v>
      </c>
      <c r="T33" s="1000">
        <v>0</v>
      </c>
      <c r="U33" s="1000">
        <v>0</v>
      </c>
      <c r="V33" s="513">
        <f t="shared" si="5"/>
        <v>0</v>
      </c>
      <c r="W33" s="513">
        <f t="shared" ref="W33:W52" si="27">+V33+P33+AB33</f>
        <v>0</v>
      </c>
      <c r="X33" s="1000">
        <v>0</v>
      </c>
      <c r="Y33" s="1000">
        <v>0</v>
      </c>
      <c r="Z33" s="513"/>
      <c r="AA33" s="513"/>
      <c r="AB33" s="513">
        <f t="shared" si="18"/>
        <v>0</v>
      </c>
      <c r="AC33" s="88">
        <f>+(P33/G33)</f>
        <v>0</v>
      </c>
      <c r="AD33" s="88">
        <f>+V33/H33</f>
        <v>0</v>
      </c>
      <c r="AE33" s="88">
        <f t="shared" ref="AE33:AE39" si="28">+AB33/I33</f>
        <v>0</v>
      </c>
      <c r="AF33" s="88">
        <f>+AC33*E33</f>
        <v>0</v>
      </c>
      <c r="AG33" s="88">
        <f>+AD33*E33</f>
        <v>0</v>
      </c>
      <c r="AH33" s="88">
        <f t="shared" ref="AH33:AH39" si="29">+AE33*E33</f>
        <v>0</v>
      </c>
      <c r="AI33" s="88">
        <f>+P33/F33</f>
        <v>0</v>
      </c>
      <c r="AJ33" s="88">
        <v>0</v>
      </c>
      <c r="AK33" s="88">
        <f t="shared" si="19"/>
        <v>0</v>
      </c>
      <c r="AL33" s="88">
        <f>+AI33*E33</f>
        <v>0</v>
      </c>
      <c r="AM33" s="88">
        <f t="shared" si="20"/>
        <v>0</v>
      </c>
      <c r="AN33" s="88">
        <f t="shared" si="21"/>
        <v>0</v>
      </c>
      <c r="AO33" s="541" t="s">
        <v>1844</v>
      </c>
      <c r="AP33" s="790" t="s">
        <v>1886</v>
      </c>
      <c r="AQ33" s="790" t="s">
        <v>1992</v>
      </c>
      <c r="AR33" s="754" t="s">
        <v>2011</v>
      </c>
      <c r="AS33" s="754" t="s">
        <v>2107</v>
      </c>
      <c r="AT33" s="754" t="s">
        <v>2139</v>
      </c>
      <c r="AU33" s="754" t="s">
        <v>2196</v>
      </c>
      <c r="AV33" s="754" t="s">
        <v>1887</v>
      </c>
      <c r="AW33" s="754" t="s">
        <v>2294</v>
      </c>
    </row>
    <row r="34" spans="1:49" ht="148.94999999999999" customHeight="1" thickBot="1" x14ac:dyDescent="0.45">
      <c r="A34" s="78"/>
      <c r="B34" s="1148" t="s">
        <v>1118</v>
      </c>
      <c r="C34" s="1149" t="s">
        <v>1119</v>
      </c>
      <c r="D34" s="93" t="s">
        <v>551</v>
      </c>
      <c r="E34" s="69">
        <v>0.15</v>
      </c>
      <c r="F34" s="86">
        <v>450</v>
      </c>
      <c r="G34" s="96">
        <v>0</v>
      </c>
      <c r="H34" s="96">
        <v>86</v>
      </c>
      <c r="I34" s="96">
        <v>182</v>
      </c>
      <c r="J34" s="87"/>
      <c r="K34" s="87">
        <f t="shared" si="23"/>
        <v>0.19111111111111112</v>
      </c>
      <c r="L34" s="87">
        <f t="shared" si="24"/>
        <v>0.40444444444444444</v>
      </c>
      <c r="M34" s="87"/>
      <c r="N34" s="87">
        <f t="shared" si="26"/>
        <v>2.8666666666666667E-2</v>
      </c>
      <c r="O34" s="87"/>
      <c r="P34" s="513"/>
      <c r="Q34" s="1000">
        <v>0</v>
      </c>
      <c r="R34" s="1000">
        <v>0</v>
      </c>
      <c r="S34" s="1000">
        <v>86</v>
      </c>
      <c r="T34" s="1000">
        <v>0</v>
      </c>
      <c r="U34" s="1000">
        <v>0</v>
      </c>
      <c r="V34" s="513">
        <f t="shared" si="5"/>
        <v>86</v>
      </c>
      <c r="W34" s="513">
        <f t="shared" si="27"/>
        <v>86</v>
      </c>
      <c r="X34" s="1000">
        <v>0</v>
      </c>
      <c r="Y34" s="1000">
        <v>0</v>
      </c>
      <c r="Z34" s="513"/>
      <c r="AA34" s="513"/>
      <c r="AB34" s="513">
        <f t="shared" si="18"/>
        <v>0</v>
      </c>
      <c r="AC34" s="88"/>
      <c r="AD34" s="88">
        <f>+V34/H34</f>
        <v>1</v>
      </c>
      <c r="AE34" s="88">
        <f>+AB34/I34</f>
        <v>0</v>
      </c>
      <c r="AF34" s="88"/>
      <c r="AG34" s="88">
        <f>+AD34*E34</f>
        <v>0.15</v>
      </c>
      <c r="AH34" s="88">
        <f t="shared" si="29"/>
        <v>0</v>
      </c>
      <c r="AI34" s="88"/>
      <c r="AJ34" s="88">
        <v>0.19111111111111112</v>
      </c>
      <c r="AK34" s="88">
        <f t="shared" si="19"/>
        <v>0.19111111111111112</v>
      </c>
      <c r="AL34" s="88"/>
      <c r="AM34" s="88">
        <f t="shared" si="20"/>
        <v>2.8666666666666667E-2</v>
      </c>
      <c r="AN34" s="88">
        <f t="shared" si="21"/>
        <v>2.8666666666666667E-2</v>
      </c>
      <c r="AO34" s="547" t="s">
        <v>1582</v>
      </c>
      <c r="AP34" s="789" t="s">
        <v>1913</v>
      </c>
      <c r="AQ34" s="790" t="s">
        <v>1992</v>
      </c>
      <c r="AR34" s="754" t="s">
        <v>2011</v>
      </c>
      <c r="AS34" s="754" t="s">
        <v>2065</v>
      </c>
      <c r="AT34" s="754" t="s">
        <v>2139</v>
      </c>
      <c r="AU34" s="754" t="s">
        <v>2196</v>
      </c>
      <c r="AV34" s="754" t="s">
        <v>1887</v>
      </c>
      <c r="AW34" s="754" t="s">
        <v>2294</v>
      </c>
    </row>
    <row r="35" spans="1:49" ht="81" customHeight="1" thickBot="1" x14ac:dyDescent="0.45">
      <c r="A35" s="78"/>
      <c r="B35" s="1148" t="s">
        <v>1120</v>
      </c>
      <c r="C35" s="1149" t="s">
        <v>1121</v>
      </c>
      <c r="D35" s="100" t="s">
        <v>12</v>
      </c>
      <c r="E35" s="69">
        <v>0.128</v>
      </c>
      <c r="F35" s="86">
        <v>6</v>
      </c>
      <c r="G35" s="96">
        <v>1</v>
      </c>
      <c r="H35" s="96">
        <v>2</v>
      </c>
      <c r="I35" s="96">
        <v>2</v>
      </c>
      <c r="J35" s="87">
        <f t="shared" si="22"/>
        <v>0.16666666666666666</v>
      </c>
      <c r="K35" s="87">
        <f t="shared" si="23"/>
        <v>0.33333333333333331</v>
      </c>
      <c r="L35" s="87">
        <f t="shared" si="24"/>
        <v>0.33333333333333331</v>
      </c>
      <c r="M35" s="87">
        <f t="shared" si="25"/>
        <v>2.1333333333333333E-2</v>
      </c>
      <c r="N35" s="87">
        <f t="shared" si="26"/>
        <v>4.2666666666666665E-2</v>
      </c>
      <c r="O35" s="87"/>
      <c r="P35" s="513">
        <v>1</v>
      </c>
      <c r="Q35" s="1000">
        <v>0</v>
      </c>
      <c r="R35" s="1000">
        <v>0</v>
      </c>
      <c r="S35" s="1000">
        <v>2</v>
      </c>
      <c r="T35" s="1000">
        <v>0</v>
      </c>
      <c r="U35" s="1000">
        <v>0</v>
      </c>
      <c r="V35" s="513">
        <f t="shared" si="5"/>
        <v>2</v>
      </c>
      <c r="W35" s="513">
        <f t="shared" si="27"/>
        <v>3.02</v>
      </c>
      <c r="X35" s="1000">
        <v>0</v>
      </c>
      <c r="Y35" s="1000">
        <v>0.02</v>
      </c>
      <c r="Z35" s="513"/>
      <c r="AA35" s="513"/>
      <c r="AB35" s="513">
        <f t="shared" si="18"/>
        <v>0.02</v>
      </c>
      <c r="AC35" s="88">
        <f>+(P35/G35)</f>
        <v>1</v>
      </c>
      <c r="AD35" s="88">
        <f>+V35/H35</f>
        <v>1</v>
      </c>
      <c r="AE35" s="88">
        <f t="shared" si="28"/>
        <v>0.01</v>
      </c>
      <c r="AF35" s="88">
        <f>+AC35*E35</f>
        <v>0.128</v>
      </c>
      <c r="AG35" s="88">
        <f>+AD35*E35</f>
        <v>0.128</v>
      </c>
      <c r="AH35" s="88">
        <f t="shared" si="29"/>
        <v>1.2800000000000001E-3</v>
      </c>
      <c r="AI35" s="88">
        <f>+P35/F35</f>
        <v>0.16666666666666666</v>
      </c>
      <c r="AJ35" s="88">
        <v>0.5</v>
      </c>
      <c r="AK35" s="88">
        <f t="shared" si="19"/>
        <v>0.5033333333333333</v>
      </c>
      <c r="AL35" s="88">
        <f>+AI35*E35</f>
        <v>2.1333333333333333E-2</v>
      </c>
      <c r="AM35" s="88">
        <f t="shared" si="20"/>
        <v>6.4000000000000001E-2</v>
      </c>
      <c r="AN35" s="88">
        <f t="shared" si="21"/>
        <v>6.442666666666666E-2</v>
      </c>
      <c r="AO35" s="541" t="s">
        <v>1844</v>
      </c>
      <c r="AP35" s="790" t="s">
        <v>1886</v>
      </c>
      <c r="AQ35" s="790" t="s">
        <v>1992</v>
      </c>
      <c r="AR35" s="754" t="s">
        <v>2011</v>
      </c>
      <c r="AS35" s="754" t="s">
        <v>2107</v>
      </c>
      <c r="AT35" s="754" t="s">
        <v>2139</v>
      </c>
      <c r="AU35" s="754" t="s">
        <v>2200</v>
      </c>
      <c r="AV35" s="754" t="s">
        <v>1887</v>
      </c>
      <c r="AW35" s="754" t="s">
        <v>2294</v>
      </c>
    </row>
    <row r="36" spans="1:49" ht="107.4" customHeight="1" thickBot="1" x14ac:dyDescent="0.45">
      <c r="A36" s="78"/>
      <c r="B36" s="1148" t="s">
        <v>1122</v>
      </c>
      <c r="C36" s="1149" t="s">
        <v>1123</v>
      </c>
      <c r="D36" s="100" t="s">
        <v>12</v>
      </c>
      <c r="E36" s="69">
        <v>8.500000000000002E-2</v>
      </c>
      <c r="F36" s="86">
        <v>5</v>
      </c>
      <c r="G36" s="96">
        <v>0</v>
      </c>
      <c r="H36" s="96">
        <v>2</v>
      </c>
      <c r="I36" s="96">
        <v>2</v>
      </c>
      <c r="J36" s="87"/>
      <c r="K36" s="87">
        <f t="shared" si="23"/>
        <v>0.4</v>
      </c>
      <c r="L36" s="87">
        <f t="shared" si="24"/>
        <v>0.4</v>
      </c>
      <c r="M36" s="87"/>
      <c r="N36" s="87">
        <f t="shared" si="26"/>
        <v>3.4000000000000009E-2</v>
      </c>
      <c r="O36" s="87"/>
      <c r="P36" s="513"/>
      <c r="Q36" s="1000">
        <v>0</v>
      </c>
      <c r="R36" s="1000">
        <v>0</v>
      </c>
      <c r="S36" s="1000">
        <v>0</v>
      </c>
      <c r="T36" s="1000">
        <v>2</v>
      </c>
      <c r="U36" s="1000">
        <v>0</v>
      </c>
      <c r="V36" s="513">
        <f t="shared" si="5"/>
        <v>2</v>
      </c>
      <c r="W36" s="513">
        <f t="shared" si="27"/>
        <v>2</v>
      </c>
      <c r="X36" s="1000">
        <v>0</v>
      </c>
      <c r="Y36" s="1000">
        <v>0</v>
      </c>
      <c r="Z36" s="513"/>
      <c r="AA36" s="513"/>
      <c r="AB36" s="513">
        <f t="shared" si="18"/>
        <v>0</v>
      </c>
      <c r="AC36" s="88"/>
      <c r="AD36" s="88">
        <f>+V36/H36</f>
        <v>1</v>
      </c>
      <c r="AE36" s="88">
        <f t="shared" si="28"/>
        <v>0</v>
      </c>
      <c r="AF36" s="88"/>
      <c r="AG36" s="88">
        <f>+AD36*E36</f>
        <v>8.500000000000002E-2</v>
      </c>
      <c r="AH36" s="88">
        <f t="shared" si="29"/>
        <v>0</v>
      </c>
      <c r="AI36" s="88"/>
      <c r="AJ36" s="88">
        <v>0.4</v>
      </c>
      <c r="AK36" s="88">
        <f t="shared" si="19"/>
        <v>0.4</v>
      </c>
      <c r="AL36" s="88">
        <f>+AI36*E36</f>
        <v>0</v>
      </c>
      <c r="AM36" s="88">
        <f t="shared" si="20"/>
        <v>3.4000000000000009E-2</v>
      </c>
      <c r="AN36" s="88">
        <f t="shared" si="21"/>
        <v>3.4000000000000009E-2</v>
      </c>
      <c r="AO36" s="541" t="s">
        <v>1844</v>
      </c>
      <c r="AP36" s="790" t="s">
        <v>1886</v>
      </c>
      <c r="AQ36" s="790" t="s">
        <v>1992</v>
      </c>
      <c r="AR36" s="754" t="s">
        <v>2011</v>
      </c>
      <c r="AS36" s="754" t="s">
        <v>2107</v>
      </c>
      <c r="AT36" s="754" t="s">
        <v>2139</v>
      </c>
      <c r="AU36" s="754" t="s">
        <v>2200</v>
      </c>
      <c r="AV36" s="754" t="s">
        <v>1887</v>
      </c>
      <c r="AW36" s="754" t="s">
        <v>2294</v>
      </c>
    </row>
    <row r="37" spans="1:49" ht="123.6" customHeight="1" thickBot="1" x14ac:dyDescent="0.45">
      <c r="A37" s="78"/>
      <c r="B37" s="1148" t="s">
        <v>1124</v>
      </c>
      <c r="C37" s="1149" t="s">
        <v>1125</v>
      </c>
      <c r="D37" s="100" t="s">
        <v>12</v>
      </c>
      <c r="E37" s="69">
        <v>0.1</v>
      </c>
      <c r="F37" s="86">
        <v>6</v>
      </c>
      <c r="G37" s="96">
        <v>0</v>
      </c>
      <c r="H37" s="96">
        <v>2</v>
      </c>
      <c r="I37" s="96">
        <v>2</v>
      </c>
      <c r="J37" s="87"/>
      <c r="K37" s="87">
        <f t="shared" si="23"/>
        <v>0.33333333333333331</v>
      </c>
      <c r="L37" s="87">
        <f t="shared" si="24"/>
        <v>0.33333333333333331</v>
      </c>
      <c r="M37" s="87"/>
      <c r="N37" s="87">
        <f t="shared" si="26"/>
        <v>3.3333333333333333E-2</v>
      </c>
      <c r="O37" s="87"/>
      <c r="P37" s="513"/>
      <c r="Q37" s="1000">
        <v>0</v>
      </c>
      <c r="R37" s="1000">
        <v>0</v>
      </c>
      <c r="S37" s="1000">
        <v>0</v>
      </c>
      <c r="T37" s="1000">
        <v>2</v>
      </c>
      <c r="U37" s="1000">
        <v>0</v>
      </c>
      <c r="V37" s="513">
        <f t="shared" si="5"/>
        <v>2</v>
      </c>
      <c r="W37" s="513">
        <f t="shared" si="27"/>
        <v>2</v>
      </c>
      <c r="X37" s="1000">
        <v>0</v>
      </c>
      <c r="Y37" s="1000">
        <v>0</v>
      </c>
      <c r="Z37" s="513"/>
      <c r="AA37" s="513"/>
      <c r="AB37" s="513">
        <f t="shared" si="18"/>
        <v>0</v>
      </c>
      <c r="AC37" s="88"/>
      <c r="AD37" s="88">
        <f>+V37/H37</f>
        <v>1</v>
      </c>
      <c r="AE37" s="88">
        <f t="shared" si="28"/>
        <v>0</v>
      </c>
      <c r="AF37" s="88"/>
      <c r="AG37" s="88">
        <f>+AD37*E37</f>
        <v>0.1</v>
      </c>
      <c r="AH37" s="88">
        <f t="shared" si="29"/>
        <v>0</v>
      </c>
      <c r="AI37" s="88"/>
      <c r="AJ37" s="88">
        <v>0.33333333333333331</v>
      </c>
      <c r="AK37" s="88">
        <f t="shared" si="19"/>
        <v>0.33333333333333331</v>
      </c>
      <c r="AL37" s="88">
        <f>+AI37*E37</f>
        <v>0</v>
      </c>
      <c r="AM37" s="88">
        <f t="shared" si="20"/>
        <v>3.3333333333333333E-2</v>
      </c>
      <c r="AN37" s="88">
        <f t="shared" si="21"/>
        <v>3.3333333333333333E-2</v>
      </c>
      <c r="AO37" s="541" t="s">
        <v>1844</v>
      </c>
      <c r="AP37" s="790" t="s">
        <v>1886</v>
      </c>
      <c r="AQ37" s="790" t="s">
        <v>1992</v>
      </c>
      <c r="AR37" s="754" t="s">
        <v>2011</v>
      </c>
      <c r="AS37" s="754" t="s">
        <v>2107</v>
      </c>
      <c r="AT37" s="754" t="s">
        <v>2139</v>
      </c>
      <c r="AU37" s="754" t="s">
        <v>2200</v>
      </c>
      <c r="AV37" s="754" t="s">
        <v>1887</v>
      </c>
      <c r="AW37" s="754" t="s">
        <v>2294</v>
      </c>
    </row>
    <row r="38" spans="1:49" ht="118.95" customHeight="1" thickBot="1" x14ac:dyDescent="0.45">
      <c r="A38" s="78"/>
      <c r="B38" s="1148" t="s">
        <v>1126</v>
      </c>
      <c r="C38" s="1149" t="s">
        <v>1127</v>
      </c>
      <c r="D38" s="100" t="s">
        <v>12</v>
      </c>
      <c r="E38" s="69">
        <v>4.250000000000001E-2</v>
      </c>
      <c r="F38" s="86">
        <v>1</v>
      </c>
      <c r="G38" s="96">
        <v>0</v>
      </c>
      <c r="H38" s="96">
        <v>0</v>
      </c>
      <c r="I38" s="96">
        <v>0</v>
      </c>
      <c r="J38" s="87"/>
      <c r="K38" s="87"/>
      <c r="L38" s="87"/>
      <c r="M38" s="87"/>
      <c r="N38" s="87"/>
      <c r="O38" s="87"/>
      <c r="P38" s="513"/>
      <c r="Q38" s="1000"/>
      <c r="R38" s="1000"/>
      <c r="S38" s="1000"/>
      <c r="T38" s="1000"/>
      <c r="U38" s="1000"/>
      <c r="V38" s="513">
        <f t="shared" si="5"/>
        <v>0</v>
      </c>
      <c r="W38" s="513">
        <f t="shared" si="27"/>
        <v>0</v>
      </c>
      <c r="X38" s="1000">
        <v>0</v>
      </c>
      <c r="Y38" s="1000">
        <v>0</v>
      </c>
      <c r="Z38" s="513"/>
      <c r="AA38" s="513"/>
      <c r="AB38" s="513">
        <f t="shared" si="18"/>
        <v>0</v>
      </c>
      <c r="AC38" s="88"/>
      <c r="AD38" s="88"/>
      <c r="AE38" s="88"/>
      <c r="AF38" s="88"/>
      <c r="AG38" s="88"/>
      <c r="AH38" s="88"/>
      <c r="AI38" s="88"/>
      <c r="AJ38" s="88"/>
      <c r="AK38" s="88">
        <f t="shared" si="19"/>
        <v>0</v>
      </c>
      <c r="AL38" s="88">
        <v>0</v>
      </c>
      <c r="AM38" s="88">
        <f t="shared" si="20"/>
        <v>0</v>
      </c>
      <c r="AN38" s="88">
        <f t="shared" si="21"/>
        <v>0</v>
      </c>
      <c r="AO38" s="541" t="s">
        <v>1844</v>
      </c>
      <c r="AP38" s="790" t="s">
        <v>1886</v>
      </c>
      <c r="AQ38" s="790" t="s">
        <v>1992</v>
      </c>
      <c r="AR38" s="754" t="s">
        <v>2011</v>
      </c>
      <c r="AS38" s="754" t="s">
        <v>2107</v>
      </c>
      <c r="AT38" s="754" t="s">
        <v>2139</v>
      </c>
      <c r="AU38" s="754" t="s">
        <v>2200</v>
      </c>
      <c r="AV38" s="754" t="s">
        <v>1887</v>
      </c>
      <c r="AW38" s="754" t="s">
        <v>2294</v>
      </c>
    </row>
    <row r="39" spans="1:49" ht="120.6" customHeight="1" thickBot="1" x14ac:dyDescent="0.45">
      <c r="A39" s="78"/>
      <c r="B39" s="1148" t="s">
        <v>1128</v>
      </c>
      <c r="C39" s="1149" t="s">
        <v>1129</v>
      </c>
      <c r="D39" s="100" t="s">
        <v>12</v>
      </c>
      <c r="E39" s="69">
        <v>4.2999999999999997E-2</v>
      </c>
      <c r="F39" s="86">
        <v>6</v>
      </c>
      <c r="G39" s="96">
        <v>1.5</v>
      </c>
      <c r="H39" s="96">
        <f>0.25*6</f>
        <v>1.5</v>
      </c>
      <c r="I39" s="96">
        <v>1.5</v>
      </c>
      <c r="J39" s="87">
        <f t="shared" si="22"/>
        <v>0.25</v>
      </c>
      <c r="K39" s="87">
        <f t="shared" si="23"/>
        <v>0.25</v>
      </c>
      <c r="L39" s="87">
        <f t="shared" si="24"/>
        <v>0.25</v>
      </c>
      <c r="M39" s="87">
        <f t="shared" si="25"/>
        <v>1.0749999999999999E-2</v>
      </c>
      <c r="N39" s="87">
        <f t="shared" si="26"/>
        <v>1.0749999999999999E-2</v>
      </c>
      <c r="O39" s="87"/>
      <c r="P39" s="513">
        <v>1.5</v>
      </c>
      <c r="Q39" s="1000">
        <v>0</v>
      </c>
      <c r="R39" s="1000">
        <f>0.4*H39</f>
        <v>0.60000000000000009</v>
      </c>
      <c r="S39" s="1000">
        <v>0.25</v>
      </c>
      <c r="T39" s="1000">
        <v>0.95</v>
      </c>
      <c r="U39" s="1000"/>
      <c r="V39" s="513">
        <f t="shared" si="5"/>
        <v>1.8</v>
      </c>
      <c r="W39" s="513">
        <f>+V39+P39+AB39</f>
        <v>3.6724999999999999</v>
      </c>
      <c r="X39" s="1000">
        <f>1.25*0.25</f>
        <v>0.3125</v>
      </c>
      <c r="Y39" s="513">
        <v>0.06</v>
      </c>
      <c r="Z39" s="513"/>
      <c r="AA39" s="513"/>
      <c r="AB39" s="513">
        <f t="shared" si="18"/>
        <v>0.3725</v>
      </c>
      <c r="AC39" s="88">
        <f>+(P39/G39)</f>
        <v>1</v>
      </c>
      <c r="AD39" s="88">
        <v>1</v>
      </c>
      <c r="AE39" s="88">
        <f t="shared" si="28"/>
        <v>0.24833333333333332</v>
      </c>
      <c r="AF39" s="88">
        <f>+AC39*E39</f>
        <v>4.2999999999999997E-2</v>
      </c>
      <c r="AG39" s="88">
        <f>+AD39*E39</f>
        <v>4.2999999999999997E-2</v>
      </c>
      <c r="AH39" s="88">
        <f t="shared" si="29"/>
        <v>1.0678333333333331E-2</v>
      </c>
      <c r="AI39" s="88">
        <f>+P39/F39</f>
        <v>0.25</v>
      </c>
      <c r="AJ39" s="88">
        <v>0.39166666666666666</v>
      </c>
      <c r="AK39" s="88">
        <f t="shared" si="19"/>
        <v>0.61208333333333331</v>
      </c>
      <c r="AL39" s="88">
        <f>+AI39*E39</f>
        <v>1.0749999999999999E-2</v>
      </c>
      <c r="AM39" s="88">
        <f t="shared" si="20"/>
        <v>1.6841666666666665E-2</v>
      </c>
      <c r="AN39" s="88">
        <f t="shared" si="21"/>
        <v>2.631958333333333E-2</v>
      </c>
      <c r="AO39" s="541" t="s">
        <v>1844</v>
      </c>
      <c r="AP39" s="789" t="s">
        <v>1910</v>
      </c>
      <c r="AQ39" s="790" t="s">
        <v>1992</v>
      </c>
      <c r="AR39" s="754" t="s">
        <v>2011</v>
      </c>
      <c r="AS39" s="754" t="s">
        <v>2107</v>
      </c>
      <c r="AT39" s="789" t="s">
        <v>1969</v>
      </c>
      <c r="AU39" s="789" t="s">
        <v>1969</v>
      </c>
      <c r="AV39" s="754" t="s">
        <v>1887</v>
      </c>
      <c r="AW39" s="754" t="s">
        <v>2294</v>
      </c>
    </row>
    <row r="40" spans="1:49" ht="57" customHeight="1" thickBot="1" x14ac:dyDescent="0.45">
      <c r="A40" s="78"/>
      <c r="B40" s="1428" t="s">
        <v>1837</v>
      </c>
      <c r="C40" s="1427"/>
      <c r="D40" s="93"/>
      <c r="E40" s="68">
        <v>0.3</v>
      </c>
      <c r="F40" s="86"/>
      <c r="G40" s="96"/>
      <c r="H40" s="96"/>
      <c r="I40" s="96"/>
      <c r="J40" s="84">
        <f>+AVERAGE(J41:J46)</f>
        <v>0.25</v>
      </c>
      <c r="K40" s="84">
        <f>+AVERAGE(K41:K46)</f>
        <v>0.32777777777777778</v>
      </c>
      <c r="L40" s="84">
        <f>+AVERAGE(L41:L46)</f>
        <v>0.4326666666666667</v>
      </c>
      <c r="M40" s="84">
        <f>+M41+M42+M43+M44+M45+M46</f>
        <v>3.7499999999999999E-2</v>
      </c>
      <c r="N40" s="84">
        <f>+N41+N42+N43+N44+N45+N46</f>
        <v>0.28416666666666668</v>
      </c>
      <c r="O40" s="84"/>
      <c r="P40" s="85"/>
      <c r="Q40" s="85"/>
      <c r="R40" s="85"/>
      <c r="S40" s="85"/>
      <c r="T40" s="85"/>
      <c r="U40" s="85"/>
      <c r="V40" s="85"/>
      <c r="W40" s="513"/>
      <c r="X40" s="85"/>
      <c r="Y40" s="85"/>
      <c r="Z40" s="85"/>
      <c r="AA40" s="85"/>
      <c r="AB40" s="85"/>
      <c r="AC40" s="514">
        <f>+AVERAGE(AC41:AC46)</f>
        <v>0</v>
      </c>
      <c r="AD40" s="514">
        <f>+AVERAGE(AD41:AD46)</f>
        <v>0.86999999999999988</v>
      </c>
      <c r="AE40" s="514">
        <f>+AVERAGE(AE41:AE46)</f>
        <v>0.27466763005780342</v>
      </c>
      <c r="AF40" s="514">
        <f>+(AF41+AF42+AF43+AF44+AF45+AF46)*E40</f>
        <v>0</v>
      </c>
      <c r="AG40" s="514">
        <f>+(AG41+AG42+AG43+AG44+AG45+AG46)*E40</f>
        <v>0.2205</v>
      </c>
      <c r="AH40" s="514">
        <f>+(AH41+AH42+AH43+AH44+AH45+AH46)*E40</f>
        <v>0.11266560693641617</v>
      </c>
      <c r="AI40" s="84">
        <f>+AVERAGE(AI41:AI46)</f>
        <v>0</v>
      </c>
      <c r="AJ40" s="84">
        <v>0.33566666666666661</v>
      </c>
      <c r="AK40" s="84">
        <f>+AVERAGE(AK41:AK46)</f>
        <v>0.43286111111111114</v>
      </c>
      <c r="AL40" s="84">
        <f>+(AL41+AL42+AL43+AL44+AL45+AL46)*E40</f>
        <v>0</v>
      </c>
      <c r="AM40" s="84">
        <f>+(AM41+AM42+AM43+AM44+AM45+AM46)</f>
        <v>0.31906666666666667</v>
      </c>
      <c r="AN40" s="84">
        <f>+(AN41+AN42+AN43+AN44+AN45+AN46)</f>
        <v>0.45004999999999995</v>
      </c>
      <c r="AO40" s="786"/>
      <c r="AP40" s="79"/>
      <c r="AQ40" s="79"/>
      <c r="AR40" s="79"/>
      <c r="AS40" s="79"/>
      <c r="AT40" s="79"/>
      <c r="AU40" s="79"/>
      <c r="AV40" s="997"/>
    </row>
    <row r="41" spans="1:49" ht="93" customHeight="1" thickBot="1" x14ac:dyDescent="0.45">
      <c r="A41" s="78"/>
      <c r="B41" s="1148" t="s">
        <v>1130</v>
      </c>
      <c r="C41" s="1149" t="s">
        <v>1131</v>
      </c>
      <c r="D41" s="93" t="s">
        <v>162</v>
      </c>
      <c r="E41" s="69">
        <v>0.1</v>
      </c>
      <c r="F41" s="86">
        <v>6</v>
      </c>
      <c r="G41" s="96">
        <v>0</v>
      </c>
      <c r="H41" s="96">
        <v>1</v>
      </c>
      <c r="I41" s="96">
        <v>1</v>
      </c>
      <c r="J41" s="87"/>
      <c r="K41" s="87">
        <f t="shared" ref="K41:K46" si="30">+H41/F41</f>
        <v>0.16666666666666666</v>
      </c>
      <c r="L41" s="87">
        <f t="shared" si="24"/>
        <v>0.16666666666666666</v>
      </c>
      <c r="M41" s="87"/>
      <c r="N41" s="87">
        <f t="shared" ref="N41:N46" si="31">+(H41/F41)*E41</f>
        <v>1.6666666666666666E-2</v>
      </c>
      <c r="O41" s="87"/>
      <c r="P41" s="513"/>
      <c r="Q41" s="1000">
        <v>0</v>
      </c>
      <c r="R41" s="1000">
        <v>0</v>
      </c>
      <c r="S41" s="1000"/>
      <c r="T41" s="1000">
        <v>0.5</v>
      </c>
      <c r="U41" s="1000"/>
      <c r="V41" s="513">
        <f t="shared" si="5"/>
        <v>0.5</v>
      </c>
      <c r="W41" s="513">
        <f t="shared" si="27"/>
        <v>0.5</v>
      </c>
      <c r="X41" s="1000">
        <v>0</v>
      </c>
      <c r="Y41" s="1000">
        <v>0</v>
      </c>
      <c r="Z41" s="513"/>
      <c r="AA41" s="513"/>
      <c r="AB41" s="1000">
        <f t="shared" si="18"/>
        <v>0</v>
      </c>
      <c r="AC41" s="87"/>
      <c r="AD41" s="87">
        <f>+V41/H41</f>
        <v>0.5</v>
      </c>
      <c r="AE41" s="87">
        <f t="shared" ref="AE41:AE46" si="32">+AB41/I41</f>
        <v>0</v>
      </c>
      <c r="AF41" s="87"/>
      <c r="AG41" s="87">
        <f t="shared" ref="AG41:AG46" si="33">+AD41*E41</f>
        <v>0.05</v>
      </c>
      <c r="AH41" s="87">
        <f t="shared" ref="AH41:AH46" si="34">+AE41*E41</f>
        <v>0</v>
      </c>
      <c r="AI41" s="87"/>
      <c r="AJ41" s="87">
        <v>8.3333333333333329E-2</v>
      </c>
      <c r="AK41" s="88">
        <f t="shared" ref="AK41:AK46" si="35">+W41/F41</f>
        <v>8.3333333333333329E-2</v>
      </c>
      <c r="AL41" s="87"/>
      <c r="AM41" s="87">
        <f t="shared" ref="AM41:AM46" si="36">+AJ41*E41</f>
        <v>8.3333333333333332E-3</v>
      </c>
      <c r="AN41" s="87">
        <f t="shared" ref="AN41:AN46" si="37">+AK41*E41</f>
        <v>8.3333333333333332E-3</v>
      </c>
      <c r="AO41" s="547" t="s">
        <v>1558</v>
      </c>
      <c r="AP41" s="789" t="s">
        <v>1907</v>
      </c>
      <c r="AQ41" s="754" t="s">
        <v>1992</v>
      </c>
      <c r="AR41" s="790" t="s">
        <v>2011</v>
      </c>
      <c r="AS41" s="79"/>
      <c r="AT41" s="791" t="s">
        <v>2139</v>
      </c>
      <c r="AU41" s="754" t="s">
        <v>2200</v>
      </c>
      <c r="AV41" s="754" t="s">
        <v>1887</v>
      </c>
      <c r="AW41" s="754" t="s">
        <v>2294</v>
      </c>
    </row>
    <row r="42" spans="1:49" ht="97.95" customHeight="1" thickBot="1" x14ac:dyDescent="0.45">
      <c r="A42" s="78"/>
      <c r="B42" s="1148" t="s">
        <v>1132</v>
      </c>
      <c r="C42" s="1149" t="s">
        <v>1133</v>
      </c>
      <c r="D42" s="93" t="s">
        <v>162</v>
      </c>
      <c r="E42" s="69">
        <v>0.1</v>
      </c>
      <c r="F42" s="86">
        <v>4</v>
      </c>
      <c r="G42" s="96">
        <v>0</v>
      </c>
      <c r="H42" s="96">
        <v>1</v>
      </c>
      <c r="I42" s="96">
        <v>1</v>
      </c>
      <c r="J42" s="87"/>
      <c r="K42" s="87">
        <f t="shared" si="30"/>
        <v>0.25</v>
      </c>
      <c r="L42" s="87">
        <f t="shared" si="24"/>
        <v>0.25</v>
      </c>
      <c r="M42" s="87"/>
      <c r="N42" s="87">
        <f t="shared" si="31"/>
        <v>2.5000000000000001E-2</v>
      </c>
      <c r="O42" s="87"/>
      <c r="P42" s="513"/>
      <c r="Q42" s="1000">
        <v>0</v>
      </c>
      <c r="R42" s="1000">
        <v>0</v>
      </c>
      <c r="S42" s="1000"/>
      <c r="T42" s="1000">
        <v>1</v>
      </c>
      <c r="U42" s="1000"/>
      <c r="V42" s="513">
        <f t="shared" si="5"/>
        <v>1</v>
      </c>
      <c r="W42" s="513">
        <f t="shared" si="27"/>
        <v>1.41</v>
      </c>
      <c r="X42" s="1000">
        <v>0</v>
      </c>
      <c r="Y42" s="1000">
        <v>0.41</v>
      </c>
      <c r="Z42" s="513"/>
      <c r="AA42" s="513"/>
      <c r="AB42" s="1000">
        <f t="shared" si="18"/>
        <v>0.41</v>
      </c>
      <c r="AC42" s="87"/>
      <c r="AD42" s="87">
        <f>+V42/H42</f>
        <v>1</v>
      </c>
      <c r="AE42" s="87">
        <f t="shared" si="32"/>
        <v>0.41</v>
      </c>
      <c r="AF42" s="87"/>
      <c r="AG42" s="87">
        <f t="shared" si="33"/>
        <v>0.1</v>
      </c>
      <c r="AH42" s="87">
        <f t="shared" si="34"/>
        <v>4.1000000000000002E-2</v>
      </c>
      <c r="AI42" s="87"/>
      <c r="AJ42" s="87">
        <v>0.25</v>
      </c>
      <c r="AK42" s="88">
        <f t="shared" si="35"/>
        <v>0.35249999999999998</v>
      </c>
      <c r="AL42" s="87"/>
      <c r="AM42" s="87">
        <f t="shared" si="36"/>
        <v>2.5000000000000001E-2</v>
      </c>
      <c r="AN42" s="87">
        <f t="shared" si="37"/>
        <v>3.5249999999999997E-2</v>
      </c>
      <c r="AO42" s="547" t="s">
        <v>1564</v>
      </c>
      <c r="AP42" s="789" t="s">
        <v>1907</v>
      </c>
      <c r="AQ42" s="754" t="s">
        <v>1992</v>
      </c>
      <c r="AR42" s="789" t="s">
        <v>2048</v>
      </c>
      <c r="AS42" s="79"/>
      <c r="AT42" s="791" t="s">
        <v>2139</v>
      </c>
      <c r="AU42" s="754" t="s">
        <v>2200</v>
      </c>
      <c r="AV42" s="754" t="s">
        <v>1887</v>
      </c>
      <c r="AW42" s="754" t="s">
        <v>2294</v>
      </c>
    </row>
    <row r="43" spans="1:49" ht="153" customHeight="1" thickBot="1" x14ac:dyDescent="0.45">
      <c r="A43" s="78"/>
      <c r="B43" s="1148" t="s">
        <v>1134</v>
      </c>
      <c r="C43" s="1149" t="s">
        <v>1135</v>
      </c>
      <c r="D43" s="93" t="s">
        <v>58</v>
      </c>
      <c r="E43" s="69">
        <v>0.35</v>
      </c>
      <c r="F43" s="86">
        <v>500</v>
      </c>
      <c r="G43" s="96">
        <v>0</v>
      </c>
      <c r="H43" s="96">
        <v>150</v>
      </c>
      <c r="I43" s="96">
        <v>173</v>
      </c>
      <c r="J43" s="87"/>
      <c r="K43" s="87">
        <f t="shared" si="30"/>
        <v>0.3</v>
      </c>
      <c r="L43" s="87">
        <f t="shared" si="24"/>
        <v>0.34599999999999997</v>
      </c>
      <c r="M43" s="87"/>
      <c r="N43" s="87">
        <f t="shared" si="31"/>
        <v>0.105</v>
      </c>
      <c r="O43" s="87"/>
      <c r="P43" s="513"/>
      <c r="Q43" s="1000">
        <v>0</v>
      </c>
      <c r="R43" s="1000">
        <v>109</v>
      </c>
      <c r="S43" s="1000">
        <v>48</v>
      </c>
      <c r="T43" s="1000">
        <v>0</v>
      </c>
      <c r="U43" s="1000">
        <v>0</v>
      </c>
      <c r="V43" s="513">
        <f t="shared" si="5"/>
        <v>157</v>
      </c>
      <c r="W43" s="513">
        <f t="shared" si="27"/>
        <v>289</v>
      </c>
      <c r="X43" s="1000">
        <v>0</v>
      </c>
      <c r="Y43" s="1000">
        <v>132</v>
      </c>
      <c r="Z43" s="513"/>
      <c r="AA43" s="513"/>
      <c r="AB43" s="513">
        <f t="shared" si="18"/>
        <v>132</v>
      </c>
      <c r="AC43" s="87"/>
      <c r="AD43" s="88">
        <v>1</v>
      </c>
      <c r="AE43" s="88">
        <f t="shared" si="32"/>
        <v>0.76300578034682076</v>
      </c>
      <c r="AF43" s="88"/>
      <c r="AG43" s="88">
        <f t="shared" si="33"/>
        <v>0.35</v>
      </c>
      <c r="AH43" s="88">
        <f t="shared" si="34"/>
        <v>0.26705202312138726</v>
      </c>
      <c r="AI43" s="88"/>
      <c r="AJ43" s="88">
        <v>0.314</v>
      </c>
      <c r="AK43" s="88">
        <f t="shared" si="35"/>
        <v>0.57799999999999996</v>
      </c>
      <c r="AL43" s="87"/>
      <c r="AM43" s="87">
        <f t="shared" si="36"/>
        <v>0.1099</v>
      </c>
      <c r="AN43" s="87">
        <f t="shared" si="37"/>
        <v>0.20229999999999998</v>
      </c>
      <c r="AO43" s="541" t="s">
        <v>1844</v>
      </c>
      <c r="AP43" s="789" t="s">
        <v>1913</v>
      </c>
      <c r="AQ43" s="790" t="s">
        <v>1992</v>
      </c>
      <c r="AR43" s="790" t="s">
        <v>2011</v>
      </c>
      <c r="AS43" s="791" t="s">
        <v>2107</v>
      </c>
      <c r="AT43" s="791" t="s">
        <v>2139</v>
      </c>
      <c r="AU43" s="754" t="s">
        <v>2200</v>
      </c>
      <c r="AV43" s="754" t="s">
        <v>1887</v>
      </c>
      <c r="AW43" s="754" t="s">
        <v>2294</v>
      </c>
    </row>
    <row r="44" spans="1:49" ht="93" customHeight="1" thickBot="1" x14ac:dyDescent="0.45">
      <c r="A44" s="78"/>
      <c r="B44" s="1148" t="s">
        <v>1136</v>
      </c>
      <c r="C44" s="1149" t="s">
        <v>1137</v>
      </c>
      <c r="D44" s="93" t="s">
        <v>620</v>
      </c>
      <c r="E44" s="69">
        <v>0.15</v>
      </c>
      <c r="F44" s="86">
        <v>4</v>
      </c>
      <c r="G44" s="96">
        <v>1</v>
      </c>
      <c r="H44" s="96">
        <v>1</v>
      </c>
      <c r="I44" s="96">
        <v>2</v>
      </c>
      <c r="J44" s="87">
        <f>+G44/F44</f>
        <v>0.25</v>
      </c>
      <c r="K44" s="87">
        <f t="shared" si="30"/>
        <v>0.25</v>
      </c>
      <c r="L44" s="87">
        <f t="shared" si="24"/>
        <v>0.5</v>
      </c>
      <c r="M44" s="87">
        <f>+(G44/F44)*E44</f>
        <v>3.7499999999999999E-2</v>
      </c>
      <c r="N44" s="87">
        <f t="shared" si="31"/>
        <v>3.7499999999999999E-2</v>
      </c>
      <c r="O44" s="87"/>
      <c r="P44" s="513">
        <v>0</v>
      </c>
      <c r="Q44" s="1000">
        <v>0</v>
      </c>
      <c r="R44" s="1000">
        <v>1</v>
      </c>
      <c r="S44" s="1000">
        <v>0</v>
      </c>
      <c r="T44" s="1000">
        <v>0</v>
      </c>
      <c r="U44" s="1000">
        <v>0</v>
      </c>
      <c r="V44" s="513">
        <f t="shared" si="5"/>
        <v>1</v>
      </c>
      <c r="W44" s="513">
        <f t="shared" si="27"/>
        <v>1</v>
      </c>
      <c r="X44" s="1000">
        <v>0</v>
      </c>
      <c r="Y44" s="1000">
        <v>0</v>
      </c>
      <c r="Z44" s="513"/>
      <c r="AA44" s="513"/>
      <c r="AB44" s="513">
        <f t="shared" si="18"/>
        <v>0</v>
      </c>
      <c r="AC44" s="87">
        <f>+(P44/G44)</f>
        <v>0</v>
      </c>
      <c r="AD44" s="87">
        <f>+V44/H44</f>
        <v>1</v>
      </c>
      <c r="AE44" s="87">
        <f t="shared" si="32"/>
        <v>0</v>
      </c>
      <c r="AF44" s="87">
        <f>+AC44*E44</f>
        <v>0</v>
      </c>
      <c r="AG44" s="87">
        <f t="shared" si="33"/>
        <v>0.15</v>
      </c>
      <c r="AH44" s="87">
        <f t="shared" si="34"/>
        <v>0</v>
      </c>
      <c r="AI44" s="87">
        <f>+P44/F44</f>
        <v>0</v>
      </c>
      <c r="AJ44" s="87">
        <v>0.25</v>
      </c>
      <c r="AK44" s="87">
        <f t="shared" si="35"/>
        <v>0.25</v>
      </c>
      <c r="AL44" s="87">
        <f>+AI44*E44</f>
        <v>0</v>
      </c>
      <c r="AM44" s="87">
        <f t="shared" si="36"/>
        <v>3.7499999999999999E-2</v>
      </c>
      <c r="AN44" s="87">
        <f t="shared" si="37"/>
        <v>3.7499999999999999E-2</v>
      </c>
      <c r="AO44" s="541" t="s">
        <v>1844</v>
      </c>
      <c r="AP44" s="790" t="s">
        <v>1886</v>
      </c>
      <c r="AQ44" s="754" t="s">
        <v>1992</v>
      </c>
      <c r="AR44" s="790" t="s">
        <v>2011</v>
      </c>
      <c r="AS44" s="754" t="s">
        <v>2107</v>
      </c>
      <c r="AT44" s="789" t="s">
        <v>2173</v>
      </c>
      <c r="AU44" s="754" t="s">
        <v>2196</v>
      </c>
      <c r="AV44" s="754" t="s">
        <v>1887</v>
      </c>
      <c r="AW44" s="754" t="s">
        <v>2294</v>
      </c>
    </row>
    <row r="45" spans="1:49" ht="141" customHeight="1" thickBot="1" x14ac:dyDescent="0.45">
      <c r="A45" s="78"/>
      <c r="B45" s="1148" t="s">
        <v>1138</v>
      </c>
      <c r="C45" s="1149" t="s">
        <v>1139</v>
      </c>
      <c r="D45" s="93" t="s">
        <v>565</v>
      </c>
      <c r="E45" s="69">
        <v>0.1</v>
      </c>
      <c r="F45" s="86">
        <v>1</v>
      </c>
      <c r="G45" s="96">
        <v>0</v>
      </c>
      <c r="H45" s="96">
        <v>1</v>
      </c>
      <c r="I45" s="96">
        <v>1</v>
      </c>
      <c r="J45" s="87"/>
      <c r="K45" s="87">
        <f t="shared" si="30"/>
        <v>1</v>
      </c>
      <c r="L45" s="87">
        <f t="shared" si="24"/>
        <v>1</v>
      </c>
      <c r="M45" s="87"/>
      <c r="N45" s="87">
        <f t="shared" si="31"/>
        <v>0.1</v>
      </c>
      <c r="O45" s="87"/>
      <c r="P45" s="513"/>
      <c r="Q45" s="1000">
        <v>0</v>
      </c>
      <c r="R45" s="1000">
        <v>0.05</v>
      </c>
      <c r="S45" s="1000">
        <v>0.45</v>
      </c>
      <c r="T45" s="1000">
        <v>0.35</v>
      </c>
      <c r="U45" s="1000">
        <v>0</v>
      </c>
      <c r="V45" s="513">
        <f t="shared" si="5"/>
        <v>0.85</v>
      </c>
      <c r="W45" s="513">
        <f t="shared" si="27"/>
        <v>1.125</v>
      </c>
      <c r="X45" s="1000">
        <v>0.17499999999999999</v>
      </c>
      <c r="Y45" s="1000">
        <v>0.1</v>
      </c>
      <c r="Z45" s="513"/>
      <c r="AA45" s="513"/>
      <c r="AB45" s="513">
        <f t="shared" si="18"/>
        <v>0.27500000000000002</v>
      </c>
      <c r="AC45" s="87"/>
      <c r="AD45" s="88">
        <f>+V45/H45</f>
        <v>0.85</v>
      </c>
      <c r="AE45" s="88">
        <f t="shared" si="32"/>
        <v>0.27500000000000002</v>
      </c>
      <c r="AF45" s="88"/>
      <c r="AG45" s="88">
        <f t="shared" si="33"/>
        <v>8.5000000000000006E-2</v>
      </c>
      <c r="AH45" s="88">
        <f t="shared" si="34"/>
        <v>2.7500000000000004E-2</v>
      </c>
      <c r="AI45" s="88"/>
      <c r="AJ45" s="88">
        <v>0.85</v>
      </c>
      <c r="AK45" s="88">
        <v>1</v>
      </c>
      <c r="AL45" s="88"/>
      <c r="AM45" s="88">
        <f t="shared" si="36"/>
        <v>8.5000000000000006E-2</v>
      </c>
      <c r="AN45" s="88">
        <f t="shared" si="37"/>
        <v>0.1</v>
      </c>
      <c r="AO45" s="541" t="s">
        <v>1844</v>
      </c>
      <c r="AP45" s="789" t="s">
        <v>1913</v>
      </c>
      <c r="AQ45" s="791" t="s">
        <v>1992</v>
      </c>
      <c r="AR45" s="790" t="s">
        <v>2011</v>
      </c>
      <c r="AS45" s="754" t="s">
        <v>2107</v>
      </c>
      <c r="AT45" s="754" t="s">
        <v>2139</v>
      </c>
      <c r="AU45" s="754" t="s">
        <v>2200</v>
      </c>
      <c r="AV45" s="754" t="s">
        <v>1887</v>
      </c>
      <c r="AW45" s="754" t="s">
        <v>2294</v>
      </c>
    </row>
    <row r="46" spans="1:49" ht="93" customHeight="1" thickBot="1" x14ac:dyDescent="0.45">
      <c r="A46" s="78"/>
      <c r="B46" s="1148" t="s">
        <v>1140</v>
      </c>
      <c r="C46" s="1149" t="s">
        <v>1141</v>
      </c>
      <c r="D46" s="101" t="s">
        <v>707</v>
      </c>
      <c r="E46" s="69">
        <v>0.2</v>
      </c>
      <c r="F46" s="86">
        <v>60</v>
      </c>
      <c r="G46" s="96">
        <v>0</v>
      </c>
      <c r="H46" s="96">
        <v>0</v>
      </c>
      <c r="I46" s="96">
        <v>20</v>
      </c>
      <c r="J46" s="87"/>
      <c r="K46" s="87">
        <f t="shared" si="30"/>
        <v>0</v>
      </c>
      <c r="L46" s="87">
        <f t="shared" si="24"/>
        <v>0.33333333333333331</v>
      </c>
      <c r="M46" s="87"/>
      <c r="N46" s="87">
        <f t="shared" si="31"/>
        <v>0</v>
      </c>
      <c r="O46" s="87"/>
      <c r="P46" s="513"/>
      <c r="Q46" s="1000"/>
      <c r="R46" s="1000"/>
      <c r="S46" s="1000"/>
      <c r="T46" s="1000">
        <v>16</v>
      </c>
      <c r="U46" s="1000"/>
      <c r="V46" s="513">
        <f t="shared" si="5"/>
        <v>16</v>
      </c>
      <c r="W46" s="513">
        <f t="shared" si="27"/>
        <v>20</v>
      </c>
      <c r="X46" s="1000">
        <v>4</v>
      </c>
      <c r="Y46" s="1000">
        <v>0</v>
      </c>
      <c r="Z46" s="513"/>
      <c r="AA46" s="513"/>
      <c r="AB46" s="513">
        <f t="shared" si="18"/>
        <v>4</v>
      </c>
      <c r="AC46" s="87"/>
      <c r="AD46" s="87"/>
      <c r="AE46" s="87">
        <f t="shared" si="32"/>
        <v>0.2</v>
      </c>
      <c r="AF46" s="87"/>
      <c r="AG46" s="88">
        <f t="shared" si="33"/>
        <v>0</v>
      </c>
      <c r="AH46" s="88">
        <f t="shared" si="34"/>
        <v>4.0000000000000008E-2</v>
      </c>
      <c r="AI46" s="88"/>
      <c r="AJ46" s="88">
        <v>0.26666666666666666</v>
      </c>
      <c r="AK46" s="88">
        <f t="shared" si="35"/>
        <v>0.33333333333333331</v>
      </c>
      <c r="AL46" s="88"/>
      <c r="AM46" s="88">
        <f t="shared" si="36"/>
        <v>5.3333333333333337E-2</v>
      </c>
      <c r="AN46" s="88">
        <f t="shared" si="37"/>
        <v>6.6666666666666666E-2</v>
      </c>
      <c r="AO46" s="541" t="s">
        <v>1844</v>
      </c>
      <c r="AP46" s="789" t="s">
        <v>1907</v>
      </c>
      <c r="AQ46" s="79"/>
      <c r="AR46" s="790" t="s">
        <v>2023</v>
      </c>
      <c r="AS46" s="791" t="s">
        <v>2107</v>
      </c>
      <c r="AT46" s="754" t="s">
        <v>2139</v>
      </c>
      <c r="AU46" s="754" t="s">
        <v>2196</v>
      </c>
      <c r="AV46" s="754" t="s">
        <v>1887</v>
      </c>
      <c r="AW46" s="754" t="s">
        <v>2294</v>
      </c>
    </row>
    <row r="47" spans="1:49" ht="57" customHeight="1" thickBot="1" x14ac:dyDescent="0.45">
      <c r="A47" s="78"/>
      <c r="B47" s="1428" t="s">
        <v>1838</v>
      </c>
      <c r="C47" s="1427"/>
      <c r="D47" s="93"/>
      <c r="E47" s="68">
        <v>0.4</v>
      </c>
      <c r="F47" s="86"/>
      <c r="G47" s="96"/>
      <c r="H47" s="96"/>
      <c r="I47" s="96"/>
      <c r="J47" s="84">
        <f>+AVERAGE(J48:J52)</f>
        <v>0.125</v>
      </c>
      <c r="K47" s="84">
        <f>+AVERAGE(K48:K52)</f>
        <v>0.26166666666666666</v>
      </c>
      <c r="L47" s="84">
        <f>+AVERAGE(L48:L52)</f>
        <v>0.36000000000000004</v>
      </c>
      <c r="M47" s="84">
        <f>+M48+M49+M50+M51+M52</f>
        <v>3.125E-2</v>
      </c>
      <c r="N47" s="84">
        <f>+N48+N49+N50+N51+N52</f>
        <v>0.29541666666666666</v>
      </c>
      <c r="O47" s="84"/>
      <c r="P47" s="85"/>
      <c r="Q47" s="85"/>
      <c r="R47" s="85"/>
      <c r="S47" s="85"/>
      <c r="T47" s="85"/>
      <c r="U47" s="845"/>
      <c r="V47" s="85"/>
      <c r="W47" s="513"/>
      <c r="X47" s="85"/>
      <c r="Y47" s="85"/>
      <c r="Z47" s="85"/>
      <c r="AA47" s="85"/>
      <c r="AB47" s="85"/>
      <c r="AC47" s="514">
        <f>+AVERAGE(AC48:AC52)</f>
        <v>0</v>
      </c>
      <c r="AD47" s="514">
        <f>+AVERAGE(AD48:AD52)</f>
        <v>1</v>
      </c>
      <c r="AE47" s="514">
        <f>+AVERAGE(AE48:AE52)</f>
        <v>0.14583333333333334</v>
      </c>
      <c r="AF47" s="514">
        <f>+(AF48+AF49+AF50+AF51+AF52)*E47</f>
        <v>0</v>
      </c>
      <c r="AG47" s="514">
        <f>+(AG48+AG49+AG50+AG51+AG52)*E47</f>
        <v>0.36</v>
      </c>
      <c r="AH47" s="514">
        <f>+(AH48+AH49+AH50+AH51+AH52)*E47</f>
        <v>4.9666666666666671E-2</v>
      </c>
      <c r="AI47" s="84">
        <f>+AVERAGE(AI48:AI52)</f>
        <v>0</v>
      </c>
      <c r="AJ47" s="84">
        <v>0.46699999999999997</v>
      </c>
      <c r="AK47" s="84">
        <f>+AVERAGE(AK48:AK52)</f>
        <v>0.50500000000000012</v>
      </c>
      <c r="AL47" s="84">
        <f>+(AL48+AL49+AL50+AL51+AL52)*E47</f>
        <v>0</v>
      </c>
      <c r="AM47" s="84">
        <f>+(AM48+AM49+AM50+AM51+AM52)</f>
        <v>0.47625000000000006</v>
      </c>
      <c r="AN47" s="84">
        <f>+(AN48+AN49+AN50+AN51+AN52)</f>
        <v>0.51724999999999999</v>
      </c>
      <c r="AO47" s="786"/>
      <c r="AP47" s="79"/>
      <c r="AQ47" s="79"/>
      <c r="AR47" s="79"/>
      <c r="AS47" s="79"/>
      <c r="AT47" s="79"/>
      <c r="AU47" s="79"/>
      <c r="AV47" s="997"/>
    </row>
    <row r="48" spans="1:49" ht="154.19999999999999" customHeight="1" thickBot="1" x14ac:dyDescent="0.45">
      <c r="A48" s="78"/>
      <c r="B48" s="1148" t="s">
        <v>1142</v>
      </c>
      <c r="C48" s="1149" t="s">
        <v>1143</v>
      </c>
      <c r="D48" s="93" t="s">
        <v>58</v>
      </c>
      <c r="E48" s="69">
        <v>0.2</v>
      </c>
      <c r="F48" s="86">
        <v>60</v>
      </c>
      <c r="G48" s="96">
        <v>0</v>
      </c>
      <c r="H48" s="96">
        <v>20</v>
      </c>
      <c r="I48" s="96">
        <v>0</v>
      </c>
      <c r="J48" s="87"/>
      <c r="K48" s="87">
        <f t="shared" ref="K48:K52" si="38">+H48/F48</f>
        <v>0.33333333333333331</v>
      </c>
      <c r="L48" s="87"/>
      <c r="M48" s="87"/>
      <c r="N48" s="87">
        <f t="shared" ref="N48:N52" si="39">+(H48/F48)*E48</f>
        <v>6.6666666666666666E-2</v>
      </c>
      <c r="O48" s="87"/>
      <c r="P48" s="513"/>
      <c r="Q48" s="1000">
        <v>0</v>
      </c>
      <c r="R48" s="1000">
        <v>9</v>
      </c>
      <c r="S48" s="1000">
        <v>0</v>
      </c>
      <c r="T48" s="1000">
        <v>0</v>
      </c>
      <c r="U48" s="1000">
        <v>51</v>
      </c>
      <c r="V48" s="513">
        <f t="shared" si="5"/>
        <v>60</v>
      </c>
      <c r="W48" s="513">
        <f t="shared" si="27"/>
        <v>60</v>
      </c>
      <c r="X48" s="1000">
        <v>0</v>
      </c>
      <c r="Y48" s="1000"/>
      <c r="Z48" s="513"/>
      <c r="AA48" s="513"/>
      <c r="AB48" s="513">
        <f t="shared" si="18"/>
        <v>0</v>
      </c>
      <c r="AC48" s="87"/>
      <c r="AD48" s="88">
        <v>1</v>
      </c>
      <c r="AE48" s="88"/>
      <c r="AF48" s="88"/>
      <c r="AG48" s="88">
        <f>+AD48*E48</f>
        <v>0.2</v>
      </c>
      <c r="AH48" s="88">
        <f t="shared" ref="AH48:AH52" si="40">+AE48*E48</f>
        <v>0</v>
      </c>
      <c r="AI48" s="88"/>
      <c r="AJ48" s="88">
        <v>1</v>
      </c>
      <c r="AK48" s="88">
        <f t="shared" ref="AK48:AK52" si="41">+W48/F48</f>
        <v>1</v>
      </c>
      <c r="AL48" s="88"/>
      <c r="AM48" s="88">
        <f>+AJ48*E48</f>
        <v>0.2</v>
      </c>
      <c r="AN48" s="88">
        <f t="shared" ref="AN48:AN52" si="42">+AK48*E48</f>
        <v>0.2</v>
      </c>
      <c r="AO48" s="541" t="s">
        <v>1844</v>
      </c>
      <c r="AP48" s="789" t="s">
        <v>1913</v>
      </c>
      <c r="AQ48" s="790" t="s">
        <v>1992</v>
      </c>
      <c r="AR48" s="790" t="s">
        <v>2011</v>
      </c>
      <c r="AS48" s="791" t="s">
        <v>2107</v>
      </c>
      <c r="AT48" s="791" t="s">
        <v>2139</v>
      </c>
      <c r="AU48" s="754" t="s">
        <v>2200</v>
      </c>
      <c r="AV48" s="754" t="s">
        <v>1887</v>
      </c>
      <c r="AW48" s="754" t="s">
        <v>2294</v>
      </c>
    </row>
    <row r="49" spans="1:49" ht="98.4" customHeight="1" thickBot="1" x14ac:dyDescent="0.45">
      <c r="A49" s="78"/>
      <c r="B49" s="1148" t="s">
        <v>1144</v>
      </c>
      <c r="C49" s="1149" t="s">
        <v>1145</v>
      </c>
      <c r="D49" s="97" t="s">
        <v>1146</v>
      </c>
      <c r="E49" s="69">
        <v>0.25</v>
      </c>
      <c r="F49" s="86">
        <v>200</v>
      </c>
      <c r="G49" s="96">
        <v>25</v>
      </c>
      <c r="H49" s="96">
        <v>75</v>
      </c>
      <c r="I49" s="96">
        <v>73</v>
      </c>
      <c r="J49" s="87">
        <f>+G49/F49</f>
        <v>0.125</v>
      </c>
      <c r="K49" s="87">
        <f t="shared" si="38"/>
        <v>0.375</v>
      </c>
      <c r="L49" s="87">
        <f t="shared" si="24"/>
        <v>0.36499999999999999</v>
      </c>
      <c r="M49" s="87">
        <f>+(G49/F49)*E49</f>
        <v>3.125E-2</v>
      </c>
      <c r="N49" s="87">
        <f t="shared" si="39"/>
        <v>9.375E-2</v>
      </c>
      <c r="O49" s="87"/>
      <c r="P49" s="513">
        <v>0</v>
      </c>
      <c r="Q49" s="1000">
        <v>0</v>
      </c>
      <c r="R49" s="1000">
        <v>0</v>
      </c>
      <c r="S49" s="1000">
        <v>23</v>
      </c>
      <c r="T49" s="1000">
        <v>54</v>
      </c>
      <c r="U49" s="1000">
        <v>0</v>
      </c>
      <c r="V49" s="513">
        <f t="shared" si="5"/>
        <v>77</v>
      </c>
      <c r="W49" s="513">
        <f t="shared" si="27"/>
        <v>77</v>
      </c>
      <c r="X49" s="1000">
        <v>0</v>
      </c>
      <c r="Y49" s="513"/>
      <c r="Z49" s="513"/>
      <c r="AA49" s="513"/>
      <c r="AB49" s="513">
        <f t="shared" si="18"/>
        <v>0</v>
      </c>
      <c r="AC49" s="87">
        <f>+(P49/G49)</f>
        <v>0</v>
      </c>
      <c r="AD49" s="87">
        <v>1</v>
      </c>
      <c r="AE49" s="87">
        <f t="shared" ref="AE49:AE52" si="43">+AB49/I49</f>
        <v>0</v>
      </c>
      <c r="AF49" s="87">
        <f>+AC49*E49</f>
        <v>0</v>
      </c>
      <c r="AG49" s="88">
        <f>+AD49*E49</f>
        <v>0.25</v>
      </c>
      <c r="AH49" s="88">
        <f t="shared" si="40"/>
        <v>0</v>
      </c>
      <c r="AI49" s="88">
        <f>+P49/F49</f>
        <v>0</v>
      </c>
      <c r="AJ49" s="88">
        <v>0.38500000000000001</v>
      </c>
      <c r="AK49" s="88">
        <f t="shared" si="41"/>
        <v>0.38500000000000001</v>
      </c>
      <c r="AL49" s="88">
        <f>+AI49*E49</f>
        <v>0</v>
      </c>
      <c r="AM49" s="88">
        <f>+AJ49*E49</f>
        <v>9.6250000000000002E-2</v>
      </c>
      <c r="AN49" s="88">
        <f t="shared" si="42"/>
        <v>9.6250000000000002E-2</v>
      </c>
      <c r="AO49" s="541" t="s">
        <v>1844</v>
      </c>
      <c r="AP49" s="790" t="s">
        <v>1886</v>
      </c>
      <c r="AQ49" s="790" t="s">
        <v>1992</v>
      </c>
      <c r="AR49" s="790" t="s">
        <v>2011</v>
      </c>
      <c r="AS49" s="791" t="s">
        <v>2107</v>
      </c>
      <c r="AT49" s="791" t="s">
        <v>2143</v>
      </c>
      <c r="AU49" s="791" t="s">
        <v>2196</v>
      </c>
      <c r="AV49" s="791" t="s">
        <v>1887</v>
      </c>
    </row>
    <row r="50" spans="1:49" ht="154.19999999999999" customHeight="1" thickBot="1" x14ac:dyDescent="0.45">
      <c r="A50" s="78"/>
      <c r="B50" s="1148" t="s">
        <v>1147</v>
      </c>
      <c r="C50" s="1149" t="s">
        <v>1148</v>
      </c>
      <c r="D50" s="98" t="s">
        <v>516</v>
      </c>
      <c r="E50" s="69">
        <v>0.1</v>
      </c>
      <c r="F50" s="86">
        <v>8</v>
      </c>
      <c r="G50" s="96">
        <v>0</v>
      </c>
      <c r="H50" s="96"/>
      <c r="I50" s="96">
        <v>3</v>
      </c>
      <c r="J50" s="87"/>
      <c r="K50" s="87">
        <f t="shared" si="38"/>
        <v>0</v>
      </c>
      <c r="L50" s="87">
        <f t="shared" si="24"/>
        <v>0.375</v>
      </c>
      <c r="M50" s="87"/>
      <c r="N50" s="87">
        <f t="shared" si="39"/>
        <v>0</v>
      </c>
      <c r="O50" s="87"/>
      <c r="P50" s="513"/>
      <c r="Q50" s="1000"/>
      <c r="R50" s="513"/>
      <c r="S50" s="513"/>
      <c r="T50" s="513"/>
      <c r="U50" s="1000">
        <v>2</v>
      </c>
      <c r="V50" s="513">
        <f t="shared" si="5"/>
        <v>2</v>
      </c>
      <c r="W50" s="513">
        <f t="shared" si="27"/>
        <v>2</v>
      </c>
      <c r="X50" s="1000">
        <v>0</v>
      </c>
      <c r="Y50" s="1000">
        <v>0</v>
      </c>
      <c r="Z50" s="513"/>
      <c r="AA50" s="513"/>
      <c r="AB50" s="513">
        <f t="shared" si="18"/>
        <v>0</v>
      </c>
      <c r="AC50" s="87"/>
      <c r="AD50" s="87"/>
      <c r="AE50" s="87">
        <f t="shared" si="43"/>
        <v>0</v>
      </c>
      <c r="AF50" s="87"/>
      <c r="AG50" s="88">
        <f>+AD50*E50</f>
        <v>0</v>
      </c>
      <c r="AH50" s="88">
        <f t="shared" si="40"/>
        <v>0</v>
      </c>
      <c r="AI50" s="88"/>
      <c r="AJ50" s="88">
        <v>0.25</v>
      </c>
      <c r="AK50" s="88">
        <f t="shared" si="41"/>
        <v>0.25</v>
      </c>
      <c r="AL50" s="88"/>
      <c r="AM50" s="88">
        <f>+AJ50*E50</f>
        <v>2.5000000000000001E-2</v>
      </c>
      <c r="AN50" s="88">
        <f t="shared" si="42"/>
        <v>2.5000000000000001E-2</v>
      </c>
      <c r="AO50" s="547" t="s">
        <v>1578</v>
      </c>
      <c r="AP50" s="790" t="s">
        <v>2171</v>
      </c>
      <c r="AQ50" s="790" t="s">
        <v>2171</v>
      </c>
      <c r="AR50" s="790" t="s">
        <v>2171</v>
      </c>
      <c r="AS50" s="791" t="s">
        <v>2171</v>
      </c>
      <c r="AT50" s="791" t="s">
        <v>2171</v>
      </c>
      <c r="AU50" s="789" t="s">
        <v>2225</v>
      </c>
      <c r="AV50" s="791" t="s">
        <v>1887</v>
      </c>
      <c r="AW50" s="754" t="s">
        <v>2294</v>
      </c>
    </row>
    <row r="51" spans="1:49" ht="97.95" customHeight="1" thickBot="1" x14ac:dyDescent="0.45">
      <c r="A51" s="78"/>
      <c r="B51" s="1148" t="s">
        <v>1149</v>
      </c>
      <c r="C51" s="1149" t="s">
        <v>1150</v>
      </c>
      <c r="D51" s="99" t="s">
        <v>1151</v>
      </c>
      <c r="E51" s="69">
        <v>0.25</v>
      </c>
      <c r="F51" s="86">
        <v>100</v>
      </c>
      <c r="G51" s="96"/>
      <c r="H51" s="96">
        <v>30</v>
      </c>
      <c r="I51" s="96">
        <v>40</v>
      </c>
      <c r="J51" s="87"/>
      <c r="K51" s="87">
        <f t="shared" si="38"/>
        <v>0.3</v>
      </c>
      <c r="L51" s="87">
        <f t="shared" si="24"/>
        <v>0.4</v>
      </c>
      <c r="M51" s="87"/>
      <c r="N51" s="87">
        <f t="shared" si="39"/>
        <v>7.4999999999999997E-2</v>
      </c>
      <c r="O51" s="87"/>
      <c r="P51" s="513"/>
      <c r="Q51" s="1000">
        <v>21</v>
      </c>
      <c r="R51" s="1000">
        <v>0</v>
      </c>
      <c r="S51" s="1000">
        <v>0</v>
      </c>
      <c r="T51" s="1000">
        <v>8</v>
      </c>
      <c r="U51" s="1000">
        <v>1</v>
      </c>
      <c r="V51" s="513">
        <f t="shared" si="5"/>
        <v>30</v>
      </c>
      <c r="W51" s="513">
        <f t="shared" si="27"/>
        <v>36</v>
      </c>
      <c r="X51" s="1000">
        <v>0</v>
      </c>
      <c r="Y51" s="1000">
        <v>6</v>
      </c>
      <c r="Z51" s="513"/>
      <c r="AA51" s="513"/>
      <c r="AB51" s="513">
        <f t="shared" si="18"/>
        <v>6</v>
      </c>
      <c r="AC51" s="87"/>
      <c r="AD51" s="88">
        <f>+V51/H51</f>
        <v>1</v>
      </c>
      <c r="AE51" s="88">
        <f t="shared" si="43"/>
        <v>0.15</v>
      </c>
      <c r="AF51" s="88"/>
      <c r="AG51" s="88">
        <f>+AD51*E51</f>
        <v>0.25</v>
      </c>
      <c r="AH51" s="88">
        <f t="shared" si="40"/>
        <v>3.7499999999999999E-2</v>
      </c>
      <c r="AI51" s="88"/>
      <c r="AJ51" s="88">
        <v>0.3</v>
      </c>
      <c r="AK51" s="88">
        <f t="shared" si="41"/>
        <v>0.36</v>
      </c>
      <c r="AL51" s="88"/>
      <c r="AM51" s="88">
        <f>+AJ51*E51</f>
        <v>7.4999999999999997E-2</v>
      </c>
      <c r="AN51" s="88">
        <f t="shared" si="42"/>
        <v>0.09</v>
      </c>
      <c r="AO51" s="541" t="s">
        <v>1844</v>
      </c>
      <c r="AP51" s="790" t="s">
        <v>1886</v>
      </c>
      <c r="AQ51" s="790" t="s">
        <v>1992</v>
      </c>
      <c r="AR51" s="790" t="s">
        <v>2011</v>
      </c>
      <c r="AS51" s="791" t="s">
        <v>2107</v>
      </c>
      <c r="AT51" s="791" t="s">
        <v>2139</v>
      </c>
      <c r="AU51" s="754" t="s">
        <v>2200</v>
      </c>
      <c r="AV51" s="754" t="s">
        <v>1887</v>
      </c>
      <c r="AW51" s="754" t="s">
        <v>2294</v>
      </c>
    </row>
    <row r="52" spans="1:49" ht="122.4" customHeight="1" thickBot="1" x14ac:dyDescent="0.45">
      <c r="A52" s="78"/>
      <c r="B52" s="1148" t="s">
        <v>1152</v>
      </c>
      <c r="C52" s="1149" t="s">
        <v>1153</v>
      </c>
      <c r="D52" s="93" t="s">
        <v>1151</v>
      </c>
      <c r="E52" s="69">
        <v>0.2</v>
      </c>
      <c r="F52" s="86">
        <v>100</v>
      </c>
      <c r="G52" s="96"/>
      <c r="H52" s="96">
        <v>30</v>
      </c>
      <c r="I52" s="96">
        <v>30</v>
      </c>
      <c r="J52" s="87"/>
      <c r="K52" s="87">
        <f t="shared" si="38"/>
        <v>0.3</v>
      </c>
      <c r="L52" s="87">
        <f t="shared" si="24"/>
        <v>0.3</v>
      </c>
      <c r="M52" s="87"/>
      <c r="N52" s="87">
        <f t="shared" si="39"/>
        <v>0.06</v>
      </c>
      <c r="O52" s="87"/>
      <c r="P52" s="513"/>
      <c r="Q52" s="1000">
        <v>0</v>
      </c>
      <c r="R52" s="1000">
        <v>32</v>
      </c>
      <c r="S52" s="1000">
        <v>0</v>
      </c>
      <c r="T52" s="1000">
        <v>8</v>
      </c>
      <c r="U52" s="1000">
        <v>0</v>
      </c>
      <c r="V52" s="513">
        <f t="shared" si="5"/>
        <v>40</v>
      </c>
      <c r="W52" s="513">
        <f t="shared" si="27"/>
        <v>53</v>
      </c>
      <c r="X52" s="1000">
        <v>0</v>
      </c>
      <c r="Y52" s="1000">
        <v>13</v>
      </c>
      <c r="Z52" s="513"/>
      <c r="AA52" s="513"/>
      <c r="AB52" s="513">
        <f t="shared" si="18"/>
        <v>13</v>
      </c>
      <c r="AC52" s="87"/>
      <c r="AD52" s="88">
        <v>1</v>
      </c>
      <c r="AE52" s="88">
        <f t="shared" si="43"/>
        <v>0.43333333333333335</v>
      </c>
      <c r="AF52" s="88"/>
      <c r="AG52" s="88">
        <f>+AD52*E52</f>
        <v>0.2</v>
      </c>
      <c r="AH52" s="88">
        <f t="shared" si="40"/>
        <v>8.666666666666667E-2</v>
      </c>
      <c r="AI52" s="88"/>
      <c r="AJ52" s="88">
        <v>0.4</v>
      </c>
      <c r="AK52" s="88">
        <f t="shared" si="41"/>
        <v>0.53</v>
      </c>
      <c r="AL52" s="88"/>
      <c r="AM52" s="88">
        <f>+AJ52*E52</f>
        <v>8.0000000000000016E-2</v>
      </c>
      <c r="AN52" s="88">
        <f t="shared" si="42"/>
        <v>0.10600000000000001</v>
      </c>
      <c r="AO52" s="541" t="s">
        <v>1844</v>
      </c>
      <c r="AP52" s="789" t="s">
        <v>1913</v>
      </c>
      <c r="AQ52" s="790" t="s">
        <v>1992</v>
      </c>
      <c r="AR52" s="790" t="s">
        <v>2011</v>
      </c>
      <c r="AS52" s="791" t="s">
        <v>2107</v>
      </c>
      <c r="AT52" s="791" t="s">
        <v>2139</v>
      </c>
      <c r="AU52" s="754" t="s">
        <v>2200</v>
      </c>
      <c r="AV52" s="754" t="s">
        <v>1887</v>
      </c>
      <c r="AW52" s="754" t="s">
        <v>2294</v>
      </c>
    </row>
    <row r="53" spans="1:49" ht="15.75" customHeight="1" thickBot="1" x14ac:dyDescent="0.45">
      <c r="A53" s="76"/>
      <c r="B53" s="92"/>
      <c r="C53" s="92"/>
      <c r="D53" s="89"/>
      <c r="E53" s="89"/>
      <c r="F53" s="89"/>
      <c r="G53" s="89"/>
      <c r="H53" s="89"/>
      <c r="I53" s="89"/>
      <c r="J53" s="89"/>
      <c r="K53" s="89"/>
      <c r="L53" s="89"/>
      <c r="M53" s="89"/>
      <c r="N53" s="89"/>
      <c r="O53" s="89"/>
      <c r="P53" s="89"/>
      <c r="Q53" s="89"/>
      <c r="R53" s="89"/>
      <c r="S53" s="89"/>
      <c r="T53" s="89"/>
      <c r="U53" s="89"/>
      <c r="V53" s="89"/>
      <c r="W53" s="89"/>
      <c r="X53" s="89"/>
      <c r="Y53" s="89"/>
      <c r="Z53" s="89"/>
      <c r="AA53" s="89"/>
      <c r="AB53" s="89"/>
      <c r="AC53" s="89"/>
      <c r="AD53" s="89"/>
      <c r="AE53" s="89"/>
      <c r="AF53" s="89"/>
      <c r="AG53" s="89"/>
      <c r="AH53" s="89"/>
      <c r="AI53" s="89"/>
      <c r="AJ53" s="89"/>
      <c r="AK53" s="89"/>
      <c r="AL53" s="89"/>
      <c r="AM53" s="89"/>
      <c r="AN53" s="89"/>
      <c r="AO53" s="102"/>
      <c r="AP53" s="89"/>
      <c r="AQ53" s="89"/>
      <c r="AR53" s="89"/>
      <c r="AS53" s="89"/>
      <c r="AT53" s="89"/>
      <c r="AU53" s="89"/>
    </row>
    <row r="54" spans="1:49" ht="15.75" customHeight="1" thickBot="1" x14ac:dyDescent="0.45">
      <c r="A54" s="76"/>
      <c r="B54" s="92"/>
      <c r="C54" s="92"/>
      <c r="D54" s="76"/>
      <c r="E54" s="76"/>
      <c r="F54" s="76"/>
      <c r="G54" s="76"/>
      <c r="H54" s="76"/>
      <c r="I54" s="76"/>
      <c r="J54" s="76"/>
      <c r="K54" s="76"/>
      <c r="L54" s="76"/>
      <c r="M54" s="76"/>
      <c r="N54" s="76"/>
      <c r="O54" s="76"/>
      <c r="P54" s="76"/>
      <c r="Q54" s="76"/>
      <c r="R54" s="76"/>
      <c r="S54" s="76"/>
      <c r="T54" s="76"/>
      <c r="U54" s="76"/>
      <c r="V54" s="76"/>
      <c r="W54" s="76"/>
      <c r="X54" s="76"/>
      <c r="Y54" s="76"/>
      <c r="Z54" s="76"/>
      <c r="AA54" s="76"/>
      <c r="AB54" s="76"/>
      <c r="AC54" s="76"/>
      <c r="AD54" s="76"/>
      <c r="AE54" s="76"/>
      <c r="AF54" s="76"/>
      <c r="AG54" s="76"/>
      <c r="AH54" s="76"/>
      <c r="AI54" s="76"/>
      <c r="AJ54" s="76"/>
      <c r="AK54" s="76"/>
      <c r="AL54" s="76"/>
      <c r="AM54" s="76"/>
      <c r="AN54" s="76"/>
      <c r="AO54" s="92"/>
      <c r="AP54" s="76"/>
      <c r="AQ54" s="76"/>
      <c r="AR54" s="76"/>
      <c r="AS54" s="76"/>
      <c r="AT54" s="76"/>
      <c r="AU54" s="76"/>
    </row>
    <row r="55" spans="1:49" ht="15.75" customHeight="1" thickBot="1" x14ac:dyDescent="0.45">
      <c r="A55" s="76"/>
      <c r="B55" s="92"/>
      <c r="C55" s="92"/>
      <c r="D55" s="76"/>
      <c r="E55" s="76"/>
      <c r="F55" s="76"/>
      <c r="G55" s="76"/>
      <c r="H55" s="76"/>
      <c r="I55" s="76"/>
      <c r="J55" s="76"/>
      <c r="K55" s="76"/>
      <c r="L55" s="76"/>
      <c r="M55" s="76"/>
      <c r="N55" s="76"/>
      <c r="O55" s="76"/>
      <c r="P55" s="76"/>
      <c r="Q55" s="76"/>
      <c r="R55" s="76"/>
      <c r="S55" s="76"/>
      <c r="T55" s="76"/>
      <c r="U55" s="76"/>
      <c r="V55" s="76"/>
      <c r="W55" s="76"/>
      <c r="X55" s="76"/>
      <c r="Y55" s="76"/>
      <c r="Z55" s="76"/>
      <c r="AA55" s="76"/>
      <c r="AB55" s="76"/>
      <c r="AC55" s="76"/>
      <c r="AD55" s="76"/>
      <c r="AE55" s="76"/>
      <c r="AF55" s="76"/>
      <c r="AG55" s="76"/>
      <c r="AH55" s="76"/>
      <c r="AI55" s="76"/>
      <c r="AJ55" s="76"/>
      <c r="AK55" s="76"/>
      <c r="AL55" s="76"/>
      <c r="AM55" s="76"/>
      <c r="AN55" s="76"/>
      <c r="AO55" s="92"/>
      <c r="AP55" s="76"/>
      <c r="AQ55" s="76"/>
      <c r="AR55" s="76"/>
      <c r="AS55" s="76"/>
      <c r="AT55" s="76"/>
      <c r="AU55" s="76"/>
    </row>
    <row r="56" spans="1:49" ht="15.75" customHeight="1" thickBot="1" x14ac:dyDescent="0.45">
      <c r="A56" s="76"/>
      <c r="B56" s="92"/>
      <c r="C56" s="92"/>
      <c r="D56" s="76"/>
      <c r="E56" s="76"/>
      <c r="F56" s="76"/>
      <c r="G56" s="76"/>
      <c r="H56" s="76"/>
      <c r="I56" s="76"/>
      <c r="J56" s="76"/>
      <c r="K56" s="76"/>
      <c r="L56" s="76"/>
      <c r="M56" s="76"/>
      <c r="N56" s="76"/>
      <c r="O56" s="76"/>
      <c r="P56" s="76"/>
      <c r="Q56" s="76"/>
      <c r="R56" s="76"/>
      <c r="S56" s="76"/>
      <c r="T56" s="76"/>
      <c r="U56" s="76"/>
      <c r="V56" s="76"/>
      <c r="W56" s="76"/>
      <c r="X56" s="76"/>
      <c r="Y56" s="76"/>
      <c r="Z56" s="76"/>
      <c r="AA56" s="76"/>
      <c r="AB56" s="76"/>
      <c r="AC56" s="76"/>
      <c r="AD56" s="76"/>
      <c r="AE56" s="76"/>
      <c r="AF56" s="76"/>
      <c r="AG56" s="76"/>
      <c r="AH56" s="76"/>
      <c r="AI56" s="76"/>
      <c r="AJ56" s="76"/>
      <c r="AK56" s="76"/>
      <c r="AL56" s="76"/>
      <c r="AM56" s="76"/>
      <c r="AN56" s="76"/>
      <c r="AO56" s="92"/>
      <c r="AP56" s="76"/>
      <c r="AQ56" s="76"/>
      <c r="AR56" s="76"/>
      <c r="AS56" s="76"/>
      <c r="AT56" s="76"/>
      <c r="AU56" s="76"/>
    </row>
    <row r="57" spans="1:49" ht="15.75" customHeight="1" thickBot="1" x14ac:dyDescent="0.45">
      <c r="A57" s="76"/>
      <c r="B57" s="92"/>
      <c r="C57" s="92"/>
      <c r="D57" s="76"/>
      <c r="E57" s="76"/>
      <c r="F57" s="76"/>
      <c r="G57" s="76"/>
      <c r="H57" s="76"/>
      <c r="I57" s="76"/>
      <c r="J57" s="76"/>
      <c r="K57" s="76"/>
      <c r="L57" s="76"/>
      <c r="M57" s="76"/>
      <c r="N57" s="76"/>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92"/>
      <c r="AP57" s="76"/>
      <c r="AQ57" s="76"/>
      <c r="AR57" s="76"/>
      <c r="AS57" s="76"/>
      <c r="AT57" s="76"/>
      <c r="AU57" s="76"/>
    </row>
    <row r="58" spans="1:49" ht="15.75" customHeight="1" thickBot="1" x14ac:dyDescent="0.45">
      <c r="A58" s="76"/>
      <c r="B58" s="92"/>
      <c r="C58" s="92"/>
      <c r="D58" s="76"/>
      <c r="E58" s="76"/>
      <c r="F58" s="76"/>
      <c r="G58" s="76"/>
      <c r="H58" s="76"/>
      <c r="I58" s="76"/>
      <c r="J58" s="76"/>
      <c r="K58" s="76"/>
      <c r="L58" s="76"/>
      <c r="M58" s="76"/>
      <c r="N58" s="76"/>
      <c r="O58" s="76"/>
      <c r="P58" s="76"/>
      <c r="Q58" s="76"/>
      <c r="R58" s="76"/>
      <c r="S58" s="76"/>
      <c r="T58" s="76"/>
      <c r="U58" s="76"/>
      <c r="V58" s="76"/>
      <c r="W58" s="76"/>
      <c r="X58" s="76"/>
      <c r="Y58" s="76"/>
      <c r="Z58" s="76"/>
      <c r="AA58" s="76"/>
      <c r="AB58" s="76"/>
      <c r="AC58" s="76"/>
      <c r="AD58" s="76"/>
      <c r="AE58" s="76"/>
      <c r="AF58" s="76"/>
      <c r="AG58" s="76"/>
      <c r="AH58" s="76"/>
      <c r="AI58" s="76"/>
      <c r="AJ58" s="76"/>
      <c r="AK58" s="76"/>
      <c r="AL58" s="76"/>
      <c r="AM58" s="76"/>
      <c r="AN58" s="76"/>
      <c r="AO58" s="92"/>
      <c r="AP58" s="76"/>
      <c r="AQ58" s="76"/>
      <c r="AR58" s="76"/>
      <c r="AS58" s="76"/>
      <c r="AT58" s="76"/>
      <c r="AU58" s="76"/>
    </row>
    <row r="59" spans="1:49" ht="15.75" customHeight="1" thickBot="1" x14ac:dyDescent="0.45">
      <c r="A59" s="76"/>
      <c r="B59" s="92"/>
      <c r="C59" s="92"/>
      <c r="D59" s="76"/>
      <c r="E59" s="76"/>
      <c r="F59" s="76"/>
      <c r="G59" s="76"/>
      <c r="H59" s="76"/>
      <c r="I59" s="76"/>
      <c r="J59" s="76"/>
      <c r="K59" s="76"/>
      <c r="L59" s="76"/>
      <c r="M59" s="76"/>
      <c r="N59" s="76"/>
      <c r="O59" s="76"/>
      <c r="P59" s="76"/>
      <c r="Q59" s="76"/>
      <c r="R59" s="76"/>
      <c r="S59" s="76"/>
      <c r="T59" s="76"/>
      <c r="U59" s="76"/>
      <c r="V59" s="76"/>
      <c r="W59" s="76"/>
      <c r="X59" s="76"/>
      <c r="Y59" s="76"/>
      <c r="Z59" s="76"/>
      <c r="AA59" s="76"/>
      <c r="AB59" s="76"/>
      <c r="AC59" s="76"/>
      <c r="AD59" s="76"/>
      <c r="AE59" s="76"/>
      <c r="AF59" s="76"/>
      <c r="AG59" s="76"/>
      <c r="AH59" s="76"/>
      <c r="AI59" s="76"/>
      <c r="AJ59" s="76"/>
      <c r="AK59" s="76"/>
      <c r="AL59" s="76"/>
      <c r="AM59" s="76"/>
      <c r="AN59" s="76"/>
      <c r="AO59" s="92"/>
      <c r="AP59" s="76"/>
      <c r="AQ59" s="76"/>
      <c r="AR59" s="76"/>
      <c r="AS59" s="76"/>
      <c r="AT59" s="76"/>
      <c r="AU59" s="76"/>
    </row>
    <row r="60" spans="1:49" ht="15.75" customHeight="1" thickBot="1" x14ac:dyDescent="0.45">
      <c r="A60" s="76"/>
      <c r="B60" s="92"/>
      <c r="C60" s="92"/>
      <c r="D60" s="76"/>
      <c r="E60" s="76"/>
      <c r="F60" s="76"/>
      <c r="G60" s="76"/>
      <c r="H60" s="76"/>
      <c r="I60" s="76"/>
      <c r="J60" s="76"/>
      <c r="K60" s="76"/>
      <c r="L60" s="76"/>
      <c r="M60" s="76"/>
      <c r="N60" s="76"/>
      <c r="O60" s="76"/>
      <c r="P60" s="76"/>
      <c r="Q60" s="76"/>
      <c r="R60" s="76"/>
      <c r="S60" s="76"/>
      <c r="T60" s="76"/>
      <c r="U60" s="76"/>
      <c r="V60" s="76"/>
      <c r="W60" s="76"/>
      <c r="X60" s="76"/>
      <c r="Y60" s="76"/>
      <c r="Z60" s="76"/>
      <c r="AA60" s="76"/>
      <c r="AB60" s="76"/>
      <c r="AC60" s="76"/>
      <c r="AD60" s="76"/>
      <c r="AE60" s="76"/>
      <c r="AF60" s="76"/>
      <c r="AG60" s="76"/>
      <c r="AH60" s="76"/>
      <c r="AI60" s="76"/>
      <c r="AJ60" s="76"/>
      <c r="AK60" s="76"/>
      <c r="AL60" s="76"/>
      <c r="AM60" s="76"/>
      <c r="AN60" s="76"/>
      <c r="AO60" s="92"/>
      <c r="AP60" s="76"/>
      <c r="AQ60" s="76"/>
      <c r="AR60" s="76"/>
      <c r="AS60" s="76"/>
      <c r="AT60" s="76"/>
      <c r="AU60" s="76"/>
    </row>
    <row r="61" spans="1:49" ht="15.75" customHeight="1" thickBot="1" x14ac:dyDescent="0.45">
      <c r="A61" s="76"/>
      <c r="B61" s="92"/>
      <c r="C61" s="92"/>
      <c r="D61" s="76"/>
      <c r="E61" s="76"/>
      <c r="F61" s="76"/>
      <c r="G61" s="76"/>
      <c r="H61" s="76"/>
      <c r="I61" s="76"/>
      <c r="J61" s="76"/>
      <c r="K61" s="76"/>
      <c r="L61" s="76"/>
      <c r="M61" s="76"/>
      <c r="N61" s="76"/>
      <c r="O61" s="76"/>
      <c r="P61" s="76"/>
      <c r="Q61" s="76"/>
      <c r="R61" s="76"/>
      <c r="S61" s="76"/>
      <c r="T61" s="76"/>
      <c r="U61" s="76"/>
      <c r="V61" s="76"/>
      <c r="W61" s="76"/>
      <c r="X61" s="76"/>
      <c r="Y61" s="76"/>
      <c r="Z61" s="76"/>
      <c r="AA61" s="76"/>
      <c r="AB61" s="76"/>
      <c r="AC61" s="76"/>
      <c r="AD61" s="76"/>
      <c r="AE61" s="76"/>
      <c r="AF61" s="76"/>
      <c r="AG61" s="76"/>
      <c r="AH61" s="76"/>
      <c r="AI61" s="76"/>
      <c r="AJ61" s="76"/>
      <c r="AK61" s="76"/>
      <c r="AL61" s="76"/>
      <c r="AM61" s="76"/>
      <c r="AN61" s="76"/>
      <c r="AO61" s="92"/>
      <c r="AP61" s="76"/>
      <c r="AQ61" s="76"/>
      <c r="AR61" s="76"/>
      <c r="AS61" s="76"/>
      <c r="AT61" s="76"/>
      <c r="AU61" s="76"/>
    </row>
    <row r="62" spans="1:49" ht="15.75" customHeight="1" thickBot="1" x14ac:dyDescent="0.45">
      <c r="A62" s="76"/>
      <c r="B62" s="92"/>
      <c r="C62" s="92"/>
      <c r="D62" s="76"/>
      <c r="E62" s="76"/>
      <c r="F62" s="76"/>
      <c r="G62" s="76"/>
      <c r="H62" s="76"/>
      <c r="I62" s="76"/>
      <c r="J62" s="76"/>
      <c r="K62" s="76"/>
      <c r="L62" s="76"/>
      <c r="M62" s="76"/>
      <c r="N62" s="76"/>
      <c r="O62" s="76"/>
      <c r="P62" s="76"/>
      <c r="Q62" s="76"/>
      <c r="R62" s="76"/>
      <c r="S62" s="76"/>
      <c r="T62" s="76"/>
      <c r="U62" s="76"/>
      <c r="V62" s="76"/>
      <c r="W62" s="76"/>
      <c r="X62" s="76"/>
      <c r="Y62" s="76"/>
      <c r="Z62" s="76"/>
      <c r="AA62" s="76"/>
      <c r="AB62" s="76"/>
      <c r="AC62" s="76"/>
      <c r="AD62" s="76"/>
      <c r="AE62" s="76"/>
      <c r="AF62" s="76"/>
      <c r="AG62" s="76"/>
      <c r="AH62" s="76"/>
      <c r="AI62" s="76"/>
      <c r="AJ62" s="76"/>
      <c r="AK62" s="76"/>
      <c r="AL62" s="76"/>
      <c r="AM62" s="76"/>
      <c r="AN62" s="76"/>
      <c r="AO62" s="92"/>
      <c r="AP62" s="76"/>
      <c r="AQ62" s="76"/>
      <c r="AR62" s="76"/>
      <c r="AS62" s="76"/>
      <c r="AT62" s="76"/>
      <c r="AU62" s="76"/>
    </row>
    <row r="63" spans="1:49" ht="15.75" customHeight="1" thickBot="1" x14ac:dyDescent="0.45">
      <c r="A63" s="76"/>
      <c r="B63" s="92"/>
      <c r="C63" s="92"/>
      <c r="D63" s="76"/>
      <c r="E63" s="76"/>
      <c r="F63" s="76"/>
      <c r="G63" s="76"/>
      <c r="H63" s="76"/>
      <c r="I63" s="76"/>
      <c r="J63" s="76"/>
      <c r="K63" s="76"/>
      <c r="L63" s="76"/>
      <c r="M63" s="76"/>
      <c r="N63" s="76"/>
      <c r="O63" s="76"/>
      <c r="P63" s="76"/>
      <c r="Q63" s="76"/>
      <c r="R63" s="76"/>
      <c r="S63" s="76"/>
      <c r="T63" s="76"/>
      <c r="U63" s="76"/>
      <c r="V63" s="76"/>
      <c r="W63" s="76"/>
      <c r="X63" s="76"/>
      <c r="Y63" s="76"/>
      <c r="Z63" s="76"/>
      <c r="AA63" s="76"/>
      <c r="AB63" s="76"/>
      <c r="AC63" s="76"/>
      <c r="AD63" s="76"/>
      <c r="AE63" s="76"/>
      <c r="AF63" s="76"/>
      <c r="AG63" s="76"/>
      <c r="AH63" s="76"/>
      <c r="AI63" s="76"/>
      <c r="AJ63" s="76"/>
      <c r="AK63" s="76"/>
      <c r="AL63" s="76"/>
      <c r="AM63" s="76"/>
      <c r="AN63" s="76"/>
      <c r="AO63" s="92"/>
      <c r="AP63" s="76"/>
      <c r="AQ63" s="76"/>
      <c r="AR63" s="76"/>
      <c r="AS63" s="76"/>
      <c r="AT63" s="76"/>
      <c r="AU63" s="76"/>
    </row>
    <row r="64" spans="1:49" ht="15.75" customHeight="1" thickBot="1" x14ac:dyDescent="0.45">
      <c r="A64" s="76"/>
      <c r="B64" s="92"/>
      <c r="C64" s="92"/>
      <c r="D64" s="76"/>
      <c r="E64" s="76"/>
      <c r="F64" s="76"/>
      <c r="G64" s="76"/>
      <c r="H64" s="76"/>
      <c r="I64" s="76"/>
      <c r="J64" s="76"/>
      <c r="K64" s="76"/>
      <c r="L64" s="76"/>
      <c r="M64" s="76"/>
      <c r="N64" s="76"/>
      <c r="O64" s="76"/>
      <c r="P64" s="76"/>
      <c r="Q64" s="76"/>
      <c r="R64" s="76"/>
      <c r="S64" s="76"/>
      <c r="T64" s="76"/>
      <c r="U64" s="76"/>
      <c r="V64" s="76"/>
      <c r="W64" s="76"/>
      <c r="X64" s="76"/>
      <c r="Y64" s="76"/>
      <c r="Z64" s="76"/>
      <c r="AA64" s="76"/>
      <c r="AB64" s="76"/>
      <c r="AC64" s="76"/>
      <c r="AD64" s="76"/>
      <c r="AE64" s="76"/>
      <c r="AF64" s="76"/>
      <c r="AG64" s="76"/>
      <c r="AH64" s="76"/>
      <c r="AI64" s="76"/>
      <c r="AJ64" s="76"/>
      <c r="AK64" s="76"/>
      <c r="AL64" s="76"/>
      <c r="AM64" s="76"/>
      <c r="AN64" s="76"/>
      <c r="AO64" s="92"/>
      <c r="AP64" s="76"/>
      <c r="AQ64" s="76"/>
      <c r="AR64" s="76"/>
      <c r="AS64" s="76"/>
      <c r="AT64" s="76"/>
      <c r="AU64" s="76"/>
    </row>
    <row r="65" spans="1:47" ht="15.75" customHeight="1" thickBot="1" x14ac:dyDescent="0.45">
      <c r="A65" s="76"/>
      <c r="B65" s="92"/>
      <c r="C65" s="92"/>
      <c r="D65" s="76"/>
      <c r="E65" s="76"/>
      <c r="F65" s="76"/>
      <c r="G65" s="76"/>
      <c r="H65" s="76"/>
      <c r="I65" s="76"/>
      <c r="J65" s="76"/>
      <c r="K65" s="76"/>
      <c r="L65" s="76"/>
      <c r="M65" s="76"/>
      <c r="N65" s="76"/>
      <c r="O65" s="76"/>
      <c r="P65" s="76"/>
      <c r="Q65" s="76"/>
      <c r="R65" s="76"/>
      <c r="S65" s="76"/>
      <c r="T65" s="76"/>
      <c r="U65" s="76"/>
      <c r="V65" s="76"/>
      <c r="W65" s="76"/>
      <c r="X65" s="76"/>
      <c r="Y65" s="76"/>
      <c r="Z65" s="76"/>
      <c r="AA65" s="76"/>
      <c r="AB65" s="76"/>
      <c r="AC65" s="76"/>
      <c r="AD65" s="76"/>
      <c r="AE65" s="76"/>
      <c r="AF65" s="76"/>
      <c r="AG65" s="76"/>
      <c r="AH65" s="76"/>
      <c r="AI65" s="76"/>
      <c r="AJ65" s="76"/>
      <c r="AK65" s="76"/>
      <c r="AL65" s="76"/>
      <c r="AM65" s="76"/>
      <c r="AN65" s="76"/>
      <c r="AO65" s="92"/>
      <c r="AP65" s="76"/>
      <c r="AQ65" s="76"/>
      <c r="AR65" s="76"/>
      <c r="AS65" s="76"/>
      <c r="AT65" s="76"/>
      <c r="AU65" s="76"/>
    </row>
    <row r="66" spans="1:47" ht="15.75" customHeight="1" thickBot="1" x14ac:dyDescent="0.45">
      <c r="A66" s="76"/>
      <c r="B66" s="92"/>
      <c r="C66" s="92"/>
      <c r="D66" s="76"/>
      <c r="E66" s="76"/>
      <c r="F66" s="76"/>
      <c r="G66" s="76"/>
      <c r="H66" s="76"/>
      <c r="I66" s="76"/>
      <c r="J66" s="76"/>
      <c r="K66" s="76"/>
      <c r="L66" s="76"/>
      <c r="M66" s="76"/>
      <c r="N66" s="76"/>
      <c r="O66" s="76"/>
      <c r="P66" s="76"/>
      <c r="Q66" s="76"/>
      <c r="R66" s="76"/>
      <c r="S66" s="76"/>
      <c r="T66" s="76"/>
      <c r="U66" s="76"/>
      <c r="V66" s="76"/>
      <c r="W66" s="76"/>
      <c r="X66" s="76"/>
      <c r="Y66" s="76"/>
      <c r="Z66" s="76"/>
      <c r="AA66" s="76"/>
      <c r="AB66" s="76"/>
      <c r="AC66" s="76"/>
      <c r="AD66" s="76"/>
      <c r="AE66" s="76"/>
      <c r="AF66" s="76"/>
      <c r="AG66" s="76"/>
      <c r="AH66" s="76"/>
      <c r="AI66" s="76"/>
      <c r="AJ66" s="76"/>
      <c r="AK66" s="76"/>
      <c r="AL66" s="76"/>
      <c r="AM66" s="76"/>
      <c r="AN66" s="76"/>
      <c r="AO66" s="92"/>
      <c r="AP66" s="76"/>
      <c r="AQ66" s="76"/>
      <c r="AR66" s="76"/>
      <c r="AS66" s="76"/>
      <c r="AT66" s="76"/>
      <c r="AU66" s="76"/>
    </row>
    <row r="67" spans="1:47" ht="15.75" customHeight="1" thickBot="1" x14ac:dyDescent="0.45">
      <c r="A67" s="76"/>
      <c r="B67" s="92"/>
      <c r="C67" s="92"/>
      <c r="D67" s="76"/>
      <c r="E67" s="76"/>
      <c r="F67" s="76"/>
      <c r="G67" s="76"/>
      <c r="H67" s="76"/>
      <c r="I67" s="76"/>
      <c r="J67" s="76"/>
      <c r="K67" s="76"/>
      <c r="L67" s="76"/>
      <c r="M67" s="76"/>
      <c r="N67" s="76"/>
      <c r="O67" s="76"/>
      <c r="P67" s="76"/>
      <c r="Q67" s="76"/>
      <c r="R67" s="76"/>
      <c r="S67" s="76"/>
      <c r="T67" s="76"/>
      <c r="U67" s="76"/>
      <c r="V67" s="76"/>
      <c r="W67" s="76"/>
      <c r="X67" s="76"/>
      <c r="Y67" s="76"/>
      <c r="Z67" s="76"/>
      <c r="AA67" s="76"/>
      <c r="AB67" s="76"/>
      <c r="AC67" s="76"/>
      <c r="AD67" s="76"/>
      <c r="AE67" s="76"/>
      <c r="AF67" s="76"/>
      <c r="AG67" s="76"/>
      <c r="AH67" s="76"/>
      <c r="AI67" s="76"/>
      <c r="AJ67" s="76"/>
      <c r="AK67" s="76"/>
      <c r="AL67" s="76"/>
      <c r="AM67" s="76"/>
      <c r="AN67" s="76"/>
      <c r="AO67" s="92"/>
      <c r="AP67" s="76"/>
      <c r="AQ67" s="76"/>
      <c r="AR67" s="76"/>
      <c r="AS67" s="76"/>
      <c r="AT67" s="76"/>
      <c r="AU67" s="76"/>
    </row>
    <row r="68" spans="1:47" ht="15.75" customHeight="1" thickBot="1" x14ac:dyDescent="0.45">
      <c r="A68" s="76"/>
      <c r="B68" s="92"/>
      <c r="C68" s="92"/>
      <c r="D68" s="76"/>
      <c r="E68" s="76"/>
      <c r="F68" s="76"/>
      <c r="G68" s="76"/>
      <c r="H68" s="76"/>
      <c r="I68" s="76"/>
      <c r="J68" s="76"/>
      <c r="K68" s="76"/>
      <c r="L68" s="76"/>
      <c r="M68" s="76"/>
      <c r="N68" s="76"/>
      <c r="O68" s="76"/>
      <c r="P68" s="76"/>
      <c r="Q68" s="76"/>
      <c r="R68" s="76"/>
      <c r="S68" s="76"/>
      <c r="T68" s="76"/>
      <c r="U68" s="76"/>
      <c r="V68" s="76"/>
      <c r="W68" s="76"/>
      <c r="X68" s="76"/>
      <c r="Y68" s="76"/>
      <c r="Z68" s="76"/>
      <c r="AA68" s="76"/>
      <c r="AB68" s="76"/>
      <c r="AC68" s="76"/>
      <c r="AD68" s="76"/>
      <c r="AE68" s="76"/>
      <c r="AF68" s="76"/>
      <c r="AG68" s="76"/>
      <c r="AH68" s="76"/>
      <c r="AI68" s="76"/>
      <c r="AJ68" s="76"/>
      <c r="AK68" s="76"/>
      <c r="AL68" s="76"/>
      <c r="AM68" s="76"/>
      <c r="AN68" s="76"/>
      <c r="AO68" s="92"/>
      <c r="AP68" s="76"/>
      <c r="AQ68" s="76"/>
      <c r="AR68" s="76"/>
      <c r="AS68" s="76"/>
      <c r="AT68" s="76"/>
      <c r="AU68" s="76"/>
    </row>
    <row r="69" spans="1:47" ht="15.75" customHeight="1" thickBot="1" x14ac:dyDescent="0.45">
      <c r="A69" s="76"/>
      <c r="B69" s="92"/>
      <c r="C69" s="92"/>
      <c r="D69" s="76"/>
      <c r="E69" s="76"/>
      <c r="F69" s="76"/>
      <c r="G69" s="76"/>
      <c r="H69" s="76"/>
      <c r="I69" s="76"/>
      <c r="J69" s="76"/>
      <c r="K69" s="76"/>
      <c r="L69" s="76"/>
      <c r="M69" s="76"/>
      <c r="N69" s="76"/>
      <c r="O69" s="76"/>
      <c r="P69" s="76"/>
      <c r="Q69" s="76"/>
      <c r="R69" s="76"/>
      <c r="S69" s="76"/>
      <c r="T69" s="76"/>
      <c r="U69" s="76"/>
      <c r="V69" s="76"/>
      <c r="W69" s="76"/>
      <c r="X69" s="76"/>
      <c r="Y69" s="76"/>
      <c r="Z69" s="76"/>
      <c r="AA69" s="76"/>
      <c r="AB69" s="76"/>
      <c r="AC69" s="76"/>
      <c r="AD69" s="76"/>
      <c r="AE69" s="76"/>
      <c r="AF69" s="76"/>
      <c r="AG69" s="76"/>
      <c r="AH69" s="76"/>
      <c r="AI69" s="76"/>
      <c r="AJ69" s="76"/>
      <c r="AK69" s="76"/>
      <c r="AL69" s="76"/>
      <c r="AM69" s="76"/>
      <c r="AN69" s="76"/>
      <c r="AO69" s="92"/>
      <c r="AP69" s="76"/>
      <c r="AQ69" s="76"/>
      <c r="AR69" s="76"/>
      <c r="AS69" s="76"/>
      <c r="AT69" s="76"/>
      <c r="AU69" s="76"/>
    </row>
    <row r="70" spans="1:47" ht="15.75" customHeight="1" thickBot="1" x14ac:dyDescent="0.45">
      <c r="A70" s="76"/>
      <c r="B70" s="92"/>
      <c r="C70" s="92"/>
      <c r="D70" s="76"/>
      <c r="E70" s="76"/>
      <c r="F70" s="76"/>
      <c r="G70" s="76"/>
      <c r="H70" s="76"/>
      <c r="I70" s="76"/>
      <c r="J70" s="76"/>
      <c r="K70" s="76"/>
      <c r="L70" s="76"/>
      <c r="M70" s="76"/>
      <c r="N70" s="76"/>
      <c r="O70" s="76"/>
      <c r="P70" s="76"/>
      <c r="Q70" s="76"/>
      <c r="R70" s="76"/>
      <c r="S70" s="76"/>
      <c r="T70" s="76"/>
      <c r="U70" s="76"/>
      <c r="V70" s="76"/>
      <c r="W70" s="76"/>
      <c r="X70" s="76"/>
      <c r="Y70" s="76"/>
      <c r="Z70" s="76"/>
      <c r="AA70" s="76"/>
      <c r="AB70" s="76"/>
      <c r="AC70" s="76"/>
      <c r="AD70" s="76"/>
      <c r="AE70" s="76"/>
      <c r="AF70" s="76"/>
      <c r="AG70" s="76"/>
      <c r="AH70" s="76"/>
      <c r="AI70" s="76"/>
      <c r="AJ70" s="76"/>
      <c r="AK70" s="76"/>
      <c r="AL70" s="76"/>
      <c r="AM70" s="76"/>
      <c r="AN70" s="76"/>
      <c r="AO70" s="92"/>
      <c r="AP70" s="76"/>
      <c r="AQ70" s="76"/>
      <c r="AR70" s="76"/>
      <c r="AS70" s="76"/>
      <c r="AT70" s="76"/>
      <c r="AU70" s="76"/>
    </row>
    <row r="71" spans="1:47" ht="15.75" customHeight="1" thickBot="1" x14ac:dyDescent="0.45">
      <c r="A71" s="76"/>
      <c r="B71" s="92"/>
      <c r="C71" s="92"/>
      <c r="D71" s="76"/>
      <c r="E71" s="76"/>
      <c r="F71" s="76"/>
      <c r="G71" s="76"/>
      <c r="H71" s="76"/>
      <c r="I71" s="76"/>
      <c r="J71" s="76"/>
      <c r="K71" s="76"/>
      <c r="L71" s="76"/>
      <c r="M71" s="76"/>
      <c r="N71" s="76"/>
      <c r="O71" s="76"/>
      <c r="P71" s="76"/>
      <c r="Q71" s="76"/>
      <c r="R71" s="76"/>
      <c r="S71" s="76"/>
      <c r="T71" s="76"/>
      <c r="U71" s="76"/>
      <c r="V71" s="76"/>
      <c r="W71" s="76"/>
      <c r="X71" s="76"/>
      <c r="Y71" s="76"/>
      <c r="Z71" s="76"/>
      <c r="AA71" s="76"/>
      <c r="AB71" s="76"/>
      <c r="AC71" s="76"/>
      <c r="AD71" s="76"/>
      <c r="AE71" s="76"/>
      <c r="AF71" s="76"/>
      <c r="AG71" s="76"/>
      <c r="AH71" s="76"/>
      <c r="AI71" s="76"/>
      <c r="AJ71" s="76"/>
      <c r="AK71" s="76"/>
      <c r="AL71" s="76"/>
      <c r="AM71" s="76"/>
      <c r="AN71" s="76"/>
      <c r="AO71" s="92"/>
      <c r="AP71" s="76"/>
      <c r="AQ71" s="76"/>
      <c r="AR71" s="76"/>
      <c r="AS71" s="76"/>
      <c r="AT71" s="76"/>
      <c r="AU71" s="76"/>
    </row>
    <row r="72" spans="1:47" ht="15.75" customHeight="1" thickBot="1" x14ac:dyDescent="0.45">
      <c r="A72" s="76"/>
      <c r="B72" s="92"/>
      <c r="C72" s="92"/>
      <c r="D72" s="76"/>
      <c r="E72" s="76"/>
      <c r="F72" s="76"/>
      <c r="G72" s="76"/>
      <c r="H72" s="76"/>
      <c r="I72" s="76"/>
      <c r="J72" s="76"/>
      <c r="K72" s="76"/>
      <c r="L72" s="76"/>
      <c r="M72" s="76"/>
      <c r="N72" s="76"/>
      <c r="O72" s="76"/>
      <c r="P72" s="76"/>
      <c r="Q72" s="76"/>
      <c r="R72" s="76"/>
      <c r="S72" s="76"/>
      <c r="T72" s="76"/>
      <c r="U72" s="76"/>
      <c r="V72" s="76"/>
      <c r="W72" s="76"/>
      <c r="X72" s="76"/>
      <c r="Y72" s="76"/>
      <c r="Z72" s="76"/>
      <c r="AA72" s="76"/>
      <c r="AB72" s="76"/>
      <c r="AC72" s="76"/>
      <c r="AD72" s="76"/>
      <c r="AE72" s="76"/>
      <c r="AF72" s="76"/>
      <c r="AG72" s="76"/>
      <c r="AH72" s="76"/>
      <c r="AI72" s="76"/>
      <c r="AJ72" s="76"/>
      <c r="AK72" s="76"/>
      <c r="AL72" s="76"/>
      <c r="AM72" s="76"/>
      <c r="AN72" s="76"/>
      <c r="AO72" s="92"/>
      <c r="AP72" s="76"/>
      <c r="AQ72" s="76"/>
      <c r="AR72" s="76"/>
      <c r="AS72" s="76"/>
      <c r="AT72" s="76"/>
      <c r="AU72" s="76"/>
    </row>
    <row r="73" spans="1:47" ht="15.75" customHeight="1" thickBot="1" x14ac:dyDescent="0.45">
      <c r="A73" s="76"/>
      <c r="B73" s="92"/>
      <c r="C73" s="92"/>
      <c r="D73" s="76"/>
      <c r="E73" s="76"/>
      <c r="F73" s="76"/>
      <c r="G73" s="76"/>
      <c r="H73" s="76"/>
      <c r="I73" s="76"/>
      <c r="J73" s="76"/>
      <c r="K73" s="76"/>
      <c r="L73" s="76"/>
      <c r="M73" s="76"/>
      <c r="N73" s="76"/>
      <c r="O73" s="76"/>
      <c r="P73" s="76"/>
      <c r="Q73" s="76"/>
      <c r="R73" s="76"/>
      <c r="S73" s="76"/>
      <c r="T73" s="76"/>
      <c r="U73" s="76"/>
      <c r="V73" s="76"/>
      <c r="W73" s="76"/>
      <c r="X73" s="76"/>
      <c r="Y73" s="76"/>
      <c r="Z73" s="76"/>
      <c r="AA73" s="76"/>
      <c r="AB73" s="76"/>
      <c r="AC73" s="76"/>
      <c r="AD73" s="76"/>
      <c r="AE73" s="76"/>
      <c r="AF73" s="76"/>
      <c r="AG73" s="76"/>
      <c r="AH73" s="76"/>
      <c r="AI73" s="76"/>
      <c r="AJ73" s="76"/>
      <c r="AK73" s="76"/>
      <c r="AL73" s="76"/>
      <c r="AM73" s="76"/>
      <c r="AN73" s="76"/>
      <c r="AO73" s="92"/>
      <c r="AP73" s="76"/>
      <c r="AQ73" s="76"/>
      <c r="AR73" s="76"/>
      <c r="AS73" s="76"/>
      <c r="AT73" s="76"/>
      <c r="AU73" s="76"/>
    </row>
    <row r="74" spans="1:47" ht="15.75" customHeight="1" thickBot="1" x14ac:dyDescent="0.45">
      <c r="A74" s="76"/>
      <c r="B74" s="92"/>
      <c r="C74" s="92"/>
      <c r="D74" s="76"/>
      <c r="E74" s="76"/>
      <c r="F74" s="76"/>
      <c r="G74" s="76"/>
      <c r="H74" s="76"/>
      <c r="I74" s="76"/>
      <c r="J74" s="76"/>
      <c r="K74" s="76"/>
      <c r="L74" s="76"/>
      <c r="M74" s="76"/>
      <c r="N74" s="76"/>
      <c r="O74" s="76"/>
      <c r="P74" s="76"/>
      <c r="Q74" s="76"/>
      <c r="R74" s="76"/>
      <c r="S74" s="76"/>
      <c r="T74" s="76"/>
      <c r="U74" s="76"/>
      <c r="V74" s="76"/>
      <c r="W74" s="76"/>
      <c r="X74" s="76"/>
      <c r="Y74" s="76"/>
      <c r="Z74" s="76"/>
      <c r="AA74" s="76"/>
      <c r="AB74" s="76"/>
      <c r="AC74" s="76"/>
      <c r="AD74" s="76"/>
      <c r="AE74" s="76"/>
      <c r="AF74" s="76"/>
      <c r="AG74" s="76"/>
      <c r="AH74" s="76"/>
      <c r="AI74" s="76"/>
      <c r="AJ74" s="76"/>
      <c r="AK74" s="76"/>
      <c r="AL74" s="76"/>
      <c r="AM74" s="76"/>
      <c r="AN74" s="76"/>
      <c r="AO74" s="92"/>
      <c r="AP74" s="76"/>
      <c r="AQ74" s="76"/>
      <c r="AR74" s="76"/>
      <c r="AS74" s="76"/>
      <c r="AT74" s="76"/>
      <c r="AU74" s="76"/>
    </row>
    <row r="75" spans="1:47" ht="15.75" customHeight="1" thickBot="1" x14ac:dyDescent="0.45">
      <c r="A75" s="76"/>
      <c r="B75" s="92"/>
      <c r="C75" s="92"/>
      <c r="D75" s="76"/>
      <c r="E75" s="76"/>
      <c r="F75" s="76"/>
      <c r="G75" s="76"/>
      <c r="H75" s="76"/>
      <c r="I75" s="76"/>
      <c r="J75" s="76"/>
      <c r="K75" s="76"/>
      <c r="L75" s="76"/>
      <c r="M75" s="76"/>
      <c r="N75" s="76"/>
      <c r="O75" s="76"/>
      <c r="P75" s="76"/>
      <c r="Q75" s="76"/>
      <c r="R75" s="76"/>
      <c r="S75" s="76"/>
      <c r="T75" s="76"/>
      <c r="U75" s="76"/>
      <c r="V75" s="76"/>
      <c r="W75" s="76"/>
      <c r="X75" s="76"/>
      <c r="Y75" s="76"/>
      <c r="Z75" s="76"/>
      <c r="AA75" s="76"/>
      <c r="AB75" s="76"/>
      <c r="AC75" s="76"/>
      <c r="AD75" s="76"/>
      <c r="AE75" s="76"/>
      <c r="AF75" s="76"/>
      <c r="AG75" s="76"/>
      <c r="AH75" s="76"/>
      <c r="AI75" s="76"/>
      <c r="AJ75" s="76"/>
      <c r="AK75" s="76"/>
      <c r="AL75" s="76"/>
      <c r="AM75" s="76"/>
      <c r="AN75" s="76"/>
      <c r="AO75" s="92"/>
      <c r="AP75" s="76"/>
      <c r="AQ75" s="76"/>
      <c r="AR75" s="76"/>
      <c r="AS75" s="76"/>
      <c r="AT75" s="76"/>
      <c r="AU75" s="76"/>
    </row>
    <row r="76" spans="1:47" ht="15.75" customHeight="1" thickBot="1" x14ac:dyDescent="0.45">
      <c r="A76" s="76"/>
      <c r="B76" s="92"/>
      <c r="C76" s="92"/>
      <c r="D76" s="76"/>
      <c r="E76" s="76"/>
      <c r="F76" s="76"/>
      <c r="G76" s="76"/>
      <c r="H76" s="76"/>
      <c r="I76" s="76"/>
      <c r="J76" s="76"/>
      <c r="K76" s="76"/>
      <c r="L76" s="76"/>
      <c r="M76" s="76"/>
      <c r="N76" s="76"/>
      <c r="O76" s="76"/>
      <c r="P76" s="76"/>
      <c r="Q76" s="76"/>
      <c r="R76" s="76"/>
      <c r="S76" s="76"/>
      <c r="T76" s="76"/>
      <c r="U76" s="76"/>
      <c r="V76" s="76"/>
      <c r="W76" s="76"/>
      <c r="X76" s="76"/>
      <c r="Y76" s="76"/>
      <c r="Z76" s="76"/>
      <c r="AA76" s="76"/>
      <c r="AB76" s="76"/>
      <c r="AC76" s="76"/>
      <c r="AD76" s="76"/>
      <c r="AE76" s="76"/>
      <c r="AF76" s="76"/>
      <c r="AG76" s="76"/>
      <c r="AH76" s="76"/>
      <c r="AI76" s="76"/>
      <c r="AJ76" s="76"/>
      <c r="AK76" s="76"/>
      <c r="AL76" s="76"/>
      <c r="AM76" s="76"/>
      <c r="AN76" s="76"/>
      <c r="AO76" s="92"/>
      <c r="AP76" s="76"/>
      <c r="AQ76" s="76"/>
      <c r="AR76" s="76"/>
      <c r="AS76" s="76"/>
      <c r="AT76" s="76"/>
      <c r="AU76" s="76"/>
    </row>
    <row r="77" spans="1:47" ht="15.75" customHeight="1" thickBot="1" x14ac:dyDescent="0.45">
      <c r="A77" s="76"/>
      <c r="B77" s="92"/>
      <c r="C77" s="92"/>
      <c r="D77" s="76"/>
      <c r="E77" s="76"/>
      <c r="F77" s="76"/>
      <c r="G77" s="76"/>
      <c r="H77" s="76"/>
      <c r="I77" s="76"/>
      <c r="J77" s="76"/>
      <c r="K77" s="76"/>
      <c r="L77" s="76"/>
      <c r="M77" s="76"/>
      <c r="N77" s="76"/>
      <c r="O77" s="76"/>
      <c r="P77" s="76"/>
      <c r="Q77" s="76"/>
      <c r="R77" s="76"/>
      <c r="S77" s="76"/>
      <c r="T77" s="76"/>
      <c r="U77" s="76"/>
      <c r="V77" s="76"/>
      <c r="W77" s="76"/>
      <c r="X77" s="76"/>
      <c r="Y77" s="76"/>
      <c r="Z77" s="76"/>
      <c r="AA77" s="76"/>
      <c r="AB77" s="76"/>
      <c r="AC77" s="76"/>
      <c r="AD77" s="76"/>
      <c r="AE77" s="76"/>
      <c r="AF77" s="76"/>
      <c r="AG77" s="76"/>
      <c r="AH77" s="76"/>
      <c r="AI77" s="76"/>
      <c r="AJ77" s="76"/>
      <c r="AK77" s="76"/>
      <c r="AL77" s="76"/>
      <c r="AM77" s="76"/>
      <c r="AN77" s="76"/>
      <c r="AO77" s="92"/>
      <c r="AP77" s="76"/>
      <c r="AQ77" s="76"/>
      <c r="AR77" s="76"/>
      <c r="AS77" s="76"/>
      <c r="AT77" s="76"/>
      <c r="AU77" s="76"/>
    </row>
    <row r="78" spans="1:47" ht="15.75" customHeight="1" thickBot="1" x14ac:dyDescent="0.45">
      <c r="A78" s="76"/>
      <c r="B78" s="92"/>
      <c r="C78" s="92"/>
      <c r="D78" s="76"/>
      <c r="E78" s="76"/>
      <c r="F78" s="76"/>
      <c r="G78" s="76"/>
      <c r="H78" s="76"/>
      <c r="I78" s="76"/>
      <c r="J78" s="76"/>
      <c r="K78" s="76"/>
      <c r="L78" s="76"/>
      <c r="M78" s="76"/>
      <c r="N78" s="76"/>
      <c r="O78" s="76"/>
      <c r="P78" s="76"/>
      <c r="Q78" s="76"/>
      <c r="R78" s="76"/>
      <c r="S78" s="76"/>
      <c r="T78" s="76"/>
      <c r="U78" s="76"/>
      <c r="V78" s="76"/>
      <c r="W78" s="76"/>
      <c r="X78" s="76"/>
      <c r="Y78" s="76"/>
      <c r="Z78" s="76"/>
      <c r="AA78" s="76"/>
      <c r="AB78" s="76"/>
      <c r="AC78" s="76"/>
      <c r="AD78" s="76"/>
      <c r="AE78" s="76"/>
      <c r="AF78" s="76"/>
      <c r="AG78" s="76"/>
      <c r="AH78" s="76"/>
      <c r="AI78" s="76"/>
      <c r="AJ78" s="76"/>
      <c r="AK78" s="76"/>
      <c r="AL78" s="76"/>
      <c r="AM78" s="76"/>
      <c r="AN78" s="76"/>
      <c r="AO78" s="92"/>
      <c r="AP78" s="76"/>
      <c r="AQ78" s="76"/>
      <c r="AR78" s="76"/>
      <c r="AS78" s="76"/>
      <c r="AT78" s="76"/>
      <c r="AU78" s="76"/>
    </row>
    <row r="79" spans="1:47" ht="15.75" customHeight="1" thickBot="1" x14ac:dyDescent="0.45">
      <c r="A79" s="76"/>
      <c r="B79" s="92"/>
      <c r="C79" s="92"/>
      <c r="D79" s="76"/>
      <c r="E79" s="76"/>
      <c r="F79" s="76"/>
      <c r="G79" s="76"/>
      <c r="H79" s="76"/>
      <c r="I79" s="76"/>
      <c r="J79" s="76"/>
      <c r="K79" s="76"/>
      <c r="L79" s="76"/>
      <c r="M79" s="76"/>
      <c r="N79" s="76"/>
      <c r="O79" s="76"/>
      <c r="P79" s="76"/>
      <c r="Q79" s="76"/>
      <c r="R79" s="76"/>
      <c r="S79" s="76"/>
      <c r="T79" s="76"/>
      <c r="U79" s="76"/>
      <c r="V79" s="76"/>
      <c r="W79" s="76"/>
      <c r="X79" s="76"/>
      <c r="Y79" s="76"/>
      <c r="Z79" s="76"/>
      <c r="AA79" s="76"/>
      <c r="AB79" s="76"/>
      <c r="AC79" s="76"/>
      <c r="AD79" s="76"/>
      <c r="AE79" s="76"/>
      <c r="AF79" s="76"/>
      <c r="AG79" s="76"/>
      <c r="AH79" s="76"/>
      <c r="AI79" s="76"/>
      <c r="AJ79" s="76"/>
      <c r="AK79" s="76"/>
      <c r="AL79" s="76"/>
      <c r="AM79" s="76"/>
      <c r="AN79" s="76"/>
      <c r="AO79" s="92"/>
      <c r="AP79" s="76"/>
      <c r="AQ79" s="76"/>
      <c r="AR79" s="76"/>
      <c r="AS79" s="76"/>
      <c r="AT79" s="76"/>
      <c r="AU79" s="76"/>
    </row>
    <row r="80" spans="1:47" ht="15.75" customHeight="1" thickBot="1" x14ac:dyDescent="0.45">
      <c r="A80" s="76"/>
      <c r="B80" s="92"/>
      <c r="C80" s="92"/>
      <c r="D80" s="76"/>
      <c r="E80" s="76"/>
      <c r="F80" s="76"/>
      <c r="G80" s="76"/>
      <c r="H80" s="76"/>
      <c r="I80" s="76"/>
      <c r="J80" s="76"/>
      <c r="K80" s="76"/>
      <c r="L80" s="76"/>
      <c r="M80" s="76"/>
      <c r="N80" s="76"/>
      <c r="O80" s="76"/>
      <c r="P80" s="76"/>
      <c r="Q80" s="76"/>
      <c r="R80" s="76"/>
      <c r="S80" s="76"/>
      <c r="T80" s="76"/>
      <c r="U80" s="76"/>
      <c r="V80" s="76"/>
      <c r="W80" s="76"/>
      <c r="X80" s="76"/>
      <c r="Y80" s="76"/>
      <c r="Z80" s="76"/>
      <c r="AA80" s="76"/>
      <c r="AB80" s="76"/>
      <c r="AC80" s="76"/>
      <c r="AD80" s="76"/>
      <c r="AE80" s="76"/>
      <c r="AF80" s="76"/>
      <c r="AG80" s="76"/>
      <c r="AH80" s="76"/>
      <c r="AI80" s="76"/>
      <c r="AJ80" s="76"/>
      <c r="AK80" s="76"/>
      <c r="AL80" s="76"/>
      <c r="AM80" s="76"/>
      <c r="AN80" s="76"/>
      <c r="AO80" s="92"/>
      <c r="AP80" s="76"/>
      <c r="AQ80" s="76"/>
      <c r="AR80" s="76"/>
      <c r="AS80" s="76"/>
      <c r="AT80" s="76"/>
      <c r="AU80" s="76"/>
    </row>
    <row r="81" spans="1:47" ht="15.75" customHeight="1" thickBot="1" x14ac:dyDescent="0.45">
      <c r="A81" s="76"/>
      <c r="B81" s="92"/>
      <c r="C81" s="92"/>
      <c r="D81" s="76"/>
      <c r="E81" s="76"/>
      <c r="F81" s="76"/>
      <c r="G81" s="76"/>
      <c r="H81" s="76"/>
      <c r="I81" s="76"/>
      <c r="J81" s="76"/>
      <c r="K81" s="76"/>
      <c r="L81" s="76"/>
      <c r="M81" s="76"/>
      <c r="N81" s="76"/>
      <c r="O81" s="76"/>
      <c r="P81" s="76"/>
      <c r="Q81" s="76"/>
      <c r="R81" s="76"/>
      <c r="S81" s="76"/>
      <c r="T81" s="76"/>
      <c r="U81" s="76"/>
      <c r="V81" s="76"/>
      <c r="W81" s="76"/>
      <c r="X81" s="76"/>
      <c r="Y81" s="76"/>
      <c r="Z81" s="76"/>
      <c r="AA81" s="76"/>
      <c r="AB81" s="76"/>
      <c r="AC81" s="76"/>
      <c r="AD81" s="76"/>
      <c r="AE81" s="76"/>
      <c r="AF81" s="76"/>
      <c r="AG81" s="76"/>
      <c r="AH81" s="76"/>
      <c r="AI81" s="76"/>
      <c r="AJ81" s="76"/>
      <c r="AK81" s="76"/>
      <c r="AL81" s="76"/>
      <c r="AM81" s="76"/>
      <c r="AN81" s="76"/>
      <c r="AO81" s="92"/>
      <c r="AP81" s="76"/>
      <c r="AQ81" s="76"/>
      <c r="AR81" s="76"/>
      <c r="AS81" s="76"/>
      <c r="AT81" s="76"/>
      <c r="AU81" s="76"/>
    </row>
    <row r="82" spans="1:47" ht="15.75" customHeight="1" thickBot="1" x14ac:dyDescent="0.45">
      <c r="A82" s="76"/>
      <c r="B82" s="92"/>
      <c r="C82" s="92"/>
      <c r="D82" s="76"/>
      <c r="E82" s="76"/>
      <c r="F82" s="76"/>
      <c r="G82" s="76"/>
      <c r="H82" s="76"/>
      <c r="I82" s="76"/>
      <c r="J82" s="76"/>
      <c r="K82" s="76"/>
      <c r="L82" s="76"/>
      <c r="M82" s="76"/>
      <c r="N82" s="76"/>
      <c r="O82" s="76"/>
      <c r="P82" s="76"/>
      <c r="Q82" s="76"/>
      <c r="R82" s="76"/>
      <c r="S82" s="76"/>
      <c r="T82" s="76"/>
      <c r="U82" s="76"/>
      <c r="V82" s="76"/>
      <c r="W82" s="76"/>
      <c r="X82" s="76"/>
      <c r="Y82" s="76"/>
      <c r="Z82" s="76"/>
      <c r="AA82" s="76"/>
      <c r="AB82" s="76"/>
      <c r="AC82" s="76"/>
      <c r="AD82" s="76"/>
      <c r="AE82" s="76"/>
      <c r="AF82" s="76"/>
      <c r="AG82" s="76"/>
      <c r="AH82" s="76"/>
      <c r="AI82" s="76"/>
      <c r="AJ82" s="76"/>
      <c r="AK82" s="76"/>
      <c r="AL82" s="76"/>
      <c r="AM82" s="76"/>
      <c r="AN82" s="76"/>
      <c r="AO82" s="92"/>
      <c r="AP82" s="76"/>
      <c r="AQ82" s="76"/>
      <c r="AR82" s="76"/>
      <c r="AS82" s="76"/>
      <c r="AT82" s="76"/>
      <c r="AU82" s="76"/>
    </row>
    <row r="83" spans="1:47" ht="15.75" customHeight="1" thickBot="1" x14ac:dyDescent="0.45">
      <c r="A83" s="76"/>
      <c r="B83" s="92"/>
      <c r="C83" s="92"/>
      <c r="D83" s="76"/>
      <c r="E83" s="76"/>
      <c r="F83" s="76"/>
      <c r="G83" s="76"/>
      <c r="H83" s="76"/>
      <c r="I83" s="76"/>
      <c r="J83" s="76"/>
      <c r="K83" s="76"/>
      <c r="L83" s="76"/>
      <c r="M83" s="76"/>
      <c r="N83" s="76"/>
      <c r="O83" s="76"/>
      <c r="P83" s="76"/>
      <c r="Q83" s="76"/>
      <c r="R83" s="76"/>
      <c r="S83" s="76"/>
      <c r="T83" s="76"/>
      <c r="U83" s="76"/>
      <c r="V83" s="76"/>
      <c r="W83" s="76"/>
      <c r="X83" s="76"/>
      <c r="Y83" s="76"/>
      <c r="Z83" s="76"/>
      <c r="AA83" s="76"/>
      <c r="AB83" s="76"/>
      <c r="AC83" s="76"/>
      <c r="AD83" s="76"/>
      <c r="AE83" s="76"/>
      <c r="AF83" s="76"/>
      <c r="AG83" s="76"/>
      <c r="AH83" s="76"/>
      <c r="AI83" s="76"/>
      <c r="AJ83" s="76"/>
      <c r="AK83" s="76"/>
      <c r="AL83" s="76"/>
      <c r="AM83" s="76"/>
      <c r="AN83" s="76"/>
      <c r="AO83" s="92"/>
      <c r="AP83" s="76"/>
      <c r="AQ83" s="76"/>
      <c r="AR83" s="76"/>
      <c r="AS83" s="76"/>
      <c r="AT83" s="76"/>
      <c r="AU83" s="76"/>
    </row>
    <row r="84" spans="1:47" ht="15.75" customHeight="1" thickBot="1" x14ac:dyDescent="0.45">
      <c r="A84" s="76"/>
      <c r="B84" s="92"/>
      <c r="C84" s="92"/>
      <c r="D84" s="76"/>
      <c r="E84" s="76"/>
      <c r="F84" s="76"/>
      <c r="G84" s="76"/>
      <c r="H84" s="76"/>
      <c r="I84" s="76"/>
      <c r="J84" s="76"/>
      <c r="K84" s="76"/>
      <c r="L84" s="76"/>
      <c r="M84" s="76"/>
      <c r="N84" s="76"/>
      <c r="O84" s="76"/>
      <c r="P84" s="76"/>
      <c r="Q84" s="76"/>
      <c r="R84" s="76"/>
      <c r="S84" s="76"/>
      <c r="T84" s="76"/>
      <c r="U84" s="76"/>
      <c r="V84" s="76"/>
      <c r="W84" s="76"/>
      <c r="X84" s="76"/>
      <c r="Y84" s="76"/>
      <c r="Z84" s="76"/>
      <c r="AA84" s="76"/>
      <c r="AB84" s="76"/>
      <c r="AC84" s="76"/>
      <c r="AD84" s="76"/>
      <c r="AE84" s="76"/>
      <c r="AF84" s="76"/>
      <c r="AG84" s="76"/>
      <c r="AH84" s="76"/>
      <c r="AI84" s="76"/>
      <c r="AJ84" s="76"/>
      <c r="AK84" s="76"/>
      <c r="AL84" s="76"/>
      <c r="AM84" s="76"/>
      <c r="AN84" s="76"/>
      <c r="AO84" s="92"/>
      <c r="AP84" s="76"/>
      <c r="AQ84" s="76"/>
      <c r="AR84" s="76"/>
      <c r="AS84" s="76"/>
      <c r="AT84" s="76"/>
      <c r="AU84" s="76"/>
    </row>
    <row r="85" spans="1:47" ht="15.75" customHeight="1" thickBot="1" x14ac:dyDescent="0.45">
      <c r="A85" s="76"/>
      <c r="B85" s="92"/>
      <c r="C85" s="92"/>
      <c r="D85" s="76"/>
      <c r="E85" s="76"/>
      <c r="F85" s="76"/>
      <c r="G85" s="76"/>
      <c r="H85" s="76"/>
      <c r="I85" s="76"/>
      <c r="J85" s="76"/>
      <c r="K85" s="76"/>
      <c r="L85" s="76"/>
      <c r="M85" s="76"/>
      <c r="N85" s="76"/>
      <c r="O85" s="76"/>
      <c r="P85" s="76"/>
      <c r="Q85" s="76"/>
      <c r="R85" s="76"/>
      <c r="S85" s="76"/>
      <c r="T85" s="76"/>
      <c r="U85" s="76"/>
      <c r="V85" s="76"/>
      <c r="W85" s="76"/>
      <c r="X85" s="76"/>
      <c r="Y85" s="76"/>
      <c r="Z85" s="76"/>
      <c r="AA85" s="76"/>
      <c r="AB85" s="76"/>
      <c r="AC85" s="76"/>
      <c r="AD85" s="76"/>
      <c r="AE85" s="76"/>
      <c r="AF85" s="76"/>
      <c r="AG85" s="76"/>
      <c r="AH85" s="76"/>
      <c r="AI85" s="76"/>
      <c r="AJ85" s="76"/>
      <c r="AK85" s="76"/>
      <c r="AL85" s="76"/>
      <c r="AM85" s="76"/>
      <c r="AN85" s="76"/>
      <c r="AO85" s="92"/>
      <c r="AP85" s="76"/>
      <c r="AQ85" s="76"/>
      <c r="AR85" s="76"/>
      <c r="AS85" s="76"/>
      <c r="AT85" s="76"/>
      <c r="AU85" s="76"/>
    </row>
    <row r="86" spans="1:47" ht="15.75" customHeight="1" thickBot="1" x14ac:dyDescent="0.45">
      <c r="A86" s="76"/>
      <c r="B86" s="92"/>
      <c r="C86" s="92"/>
      <c r="D86" s="76"/>
      <c r="E86" s="76"/>
      <c r="F86" s="76"/>
      <c r="G86" s="76"/>
      <c r="H86" s="76"/>
      <c r="I86" s="76"/>
      <c r="J86" s="76"/>
      <c r="K86" s="76"/>
      <c r="L86" s="76"/>
      <c r="M86" s="76"/>
      <c r="N86" s="76"/>
      <c r="O86" s="76"/>
      <c r="P86" s="76"/>
      <c r="Q86" s="76"/>
      <c r="R86" s="76"/>
      <c r="S86" s="76"/>
      <c r="T86" s="76"/>
      <c r="U86" s="76"/>
      <c r="V86" s="76"/>
      <c r="W86" s="76"/>
      <c r="X86" s="76"/>
      <c r="Y86" s="76"/>
      <c r="Z86" s="76"/>
      <c r="AA86" s="76"/>
      <c r="AB86" s="76"/>
      <c r="AC86" s="76"/>
      <c r="AD86" s="76"/>
      <c r="AE86" s="76"/>
      <c r="AF86" s="76"/>
      <c r="AG86" s="76"/>
      <c r="AH86" s="76"/>
      <c r="AI86" s="76"/>
      <c r="AJ86" s="76"/>
      <c r="AK86" s="76"/>
      <c r="AL86" s="76"/>
      <c r="AM86" s="76"/>
      <c r="AN86" s="76"/>
      <c r="AO86" s="92"/>
      <c r="AP86" s="76"/>
      <c r="AQ86" s="76"/>
      <c r="AR86" s="76"/>
      <c r="AS86" s="76"/>
      <c r="AT86" s="76"/>
      <c r="AU86" s="76"/>
    </row>
    <row r="87" spans="1:47" ht="15.75" customHeight="1" thickBot="1" x14ac:dyDescent="0.45">
      <c r="A87" s="76"/>
      <c r="B87" s="92"/>
      <c r="C87" s="92"/>
      <c r="D87" s="76"/>
      <c r="E87" s="76"/>
      <c r="F87" s="76"/>
      <c r="G87" s="76"/>
      <c r="H87" s="76"/>
      <c r="I87" s="76"/>
      <c r="J87" s="76"/>
      <c r="K87" s="76"/>
      <c r="L87" s="76"/>
      <c r="M87" s="76"/>
      <c r="N87" s="76"/>
      <c r="O87" s="76"/>
      <c r="P87" s="76"/>
      <c r="Q87" s="76"/>
      <c r="R87" s="76"/>
      <c r="S87" s="76"/>
      <c r="T87" s="76"/>
      <c r="U87" s="76"/>
      <c r="V87" s="76"/>
      <c r="W87" s="76"/>
      <c r="X87" s="76"/>
      <c r="Y87" s="76"/>
      <c r="Z87" s="76"/>
      <c r="AA87" s="76"/>
      <c r="AB87" s="76"/>
      <c r="AC87" s="76"/>
      <c r="AD87" s="76"/>
      <c r="AE87" s="76"/>
      <c r="AF87" s="76"/>
      <c r="AG87" s="76"/>
      <c r="AH87" s="76"/>
      <c r="AI87" s="76"/>
      <c r="AJ87" s="76"/>
      <c r="AK87" s="76"/>
      <c r="AL87" s="76"/>
      <c r="AM87" s="76"/>
      <c r="AN87" s="76"/>
      <c r="AO87" s="92"/>
      <c r="AP87" s="76"/>
      <c r="AQ87" s="76"/>
      <c r="AR87" s="76"/>
      <c r="AS87" s="76"/>
      <c r="AT87" s="76"/>
      <c r="AU87" s="76"/>
    </row>
    <row r="88" spans="1:47" ht="15.75" customHeight="1" thickBot="1" x14ac:dyDescent="0.45">
      <c r="A88" s="76"/>
      <c r="B88" s="92"/>
      <c r="C88" s="92"/>
      <c r="D88" s="76"/>
      <c r="E88" s="76"/>
      <c r="F88" s="76"/>
      <c r="G88" s="76"/>
      <c r="H88" s="76"/>
      <c r="I88" s="76"/>
      <c r="J88" s="76"/>
      <c r="K88" s="76"/>
      <c r="L88" s="76"/>
      <c r="M88" s="76"/>
      <c r="N88" s="76"/>
      <c r="O88" s="76"/>
      <c r="P88" s="76"/>
      <c r="Q88" s="76"/>
      <c r="R88" s="76"/>
      <c r="S88" s="76"/>
      <c r="T88" s="76"/>
      <c r="U88" s="76"/>
      <c r="V88" s="76"/>
      <c r="W88" s="76"/>
      <c r="X88" s="76"/>
      <c r="Y88" s="76"/>
      <c r="Z88" s="76"/>
      <c r="AA88" s="76"/>
      <c r="AB88" s="76"/>
      <c r="AC88" s="76"/>
      <c r="AD88" s="76"/>
      <c r="AE88" s="76"/>
      <c r="AF88" s="76"/>
      <c r="AG88" s="76"/>
      <c r="AH88" s="76"/>
      <c r="AI88" s="76"/>
      <c r="AJ88" s="76"/>
      <c r="AK88" s="76"/>
      <c r="AL88" s="76"/>
      <c r="AM88" s="76"/>
      <c r="AN88" s="76"/>
      <c r="AO88" s="92"/>
      <c r="AP88" s="76"/>
      <c r="AQ88" s="76"/>
      <c r="AR88" s="76"/>
      <c r="AS88" s="76"/>
      <c r="AT88" s="76"/>
      <c r="AU88" s="76"/>
    </row>
    <row r="89" spans="1:47" ht="15.75" customHeight="1" thickBot="1" x14ac:dyDescent="0.45">
      <c r="A89" s="76"/>
      <c r="B89" s="92"/>
      <c r="C89" s="92"/>
      <c r="D89" s="76"/>
      <c r="E89" s="76"/>
      <c r="F89" s="76"/>
      <c r="G89" s="76"/>
      <c r="H89" s="76"/>
      <c r="I89" s="76"/>
      <c r="J89" s="76"/>
      <c r="K89" s="76"/>
      <c r="L89" s="76"/>
      <c r="M89" s="76"/>
      <c r="N89" s="76"/>
      <c r="O89" s="76"/>
      <c r="P89" s="76"/>
      <c r="Q89" s="76"/>
      <c r="R89" s="76"/>
      <c r="S89" s="76"/>
      <c r="T89" s="76"/>
      <c r="U89" s="76"/>
      <c r="V89" s="76"/>
      <c r="W89" s="76"/>
      <c r="X89" s="76"/>
      <c r="Y89" s="76"/>
      <c r="Z89" s="76"/>
      <c r="AA89" s="76"/>
      <c r="AB89" s="76"/>
      <c r="AC89" s="76"/>
      <c r="AD89" s="76"/>
      <c r="AE89" s="76"/>
      <c r="AF89" s="76"/>
      <c r="AG89" s="76"/>
      <c r="AH89" s="76"/>
      <c r="AI89" s="76"/>
      <c r="AJ89" s="76"/>
      <c r="AK89" s="76"/>
      <c r="AL89" s="76"/>
      <c r="AM89" s="76"/>
      <c r="AN89" s="76"/>
      <c r="AO89" s="92"/>
      <c r="AP89" s="76"/>
      <c r="AQ89" s="76"/>
      <c r="AR89" s="76"/>
      <c r="AS89" s="76"/>
      <c r="AT89" s="76"/>
      <c r="AU89" s="76"/>
    </row>
    <row r="90" spans="1:47" ht="15.75" customHeight="1" thickBot="1" x14ac:dyDescent="0.45">
      <c r="A90" s="76"/>
      <c r="B90" s="92"/>
      <c r="C90" s="92"/>
      <c r="D90" s="76"/>
      <c r="E90" s="76"/>
      <c r="F90" s="76"/>
      <c r="G90" s="76"/>
      <c r="H90" s="76"/>
      <c r="I90" s="76"/>
      <c r="J90" s="76"/>
      <c r="K90" s="76"/>
      <c r="L90" s="76"/>
      <c r="M90" s="76"/>
      <c r="N90" s="76"/>
      <c r="O90" s="76"/>
      <c r="P90" s="76"/>
      <c r="Q90" s="76"/>
      <c r="R90" s="76"/>
      <c r="S90" s="76"/>
      <c r="T90" s="76"/>
      <c r="U90" s="76"/>
      <c r="V90" s="76"/>
      <c r="W90" s="76"/>
      <c r="X90" s="76"/>
      <c r="Y90" s="76"/>
      <c r="Z90" s="76"/>
      <c r="AA90" s="76"/>
      <c r="AB90" s="76"/>
      <c r="AC90" s="76"/>
      <c r="AD90" s="76"/>
      <c r="AE90" s="76"/>
      <c r="AF90" s="76"/>
      <c r="AG90" s="76"/>
      <c r="AH90" s="76"/>
      <c r="AI90" s="76"/>
      <c r="AJ90" s="76"/>
      <c r="AK90" s="76"/>
      <c r="AL90" s="76"/>
      <c r="AM90" s="76"/>
      <c r="AN90" s="76"/>
      <c r="AO90" s="92"/>
      <c r="AP90" s="76"/>
      <c r="AQ90" s="76"/>
      <c r="AR90" s="76"/>
      <c r="AS90" s="76"/>
      <c r="AT90" s="76"/>
      <c r="AU90" s="76"/>
    </row>
    <row r="91" spans="1:47" ht="15.75" customHeight="1" thickBot="1" x14ac:dyDescent="0.45">
      <c r="A91" s="76"/>
      <c r="B91" s="92"/>
      <c r="C91" s="92"/>
      <c r="D91" s="76"/>
      <c r="E91" s="76"/>
      <c r="F91" s="76"/>
      <c r="G91" s="76"/>
      <c r="H91" s="76"/>
      <c r="I91" s="76"/>
      <c r="J91" s="76"/>
      <c r="K91" s="76"/>
      <c r="L91" s="76"/>
      <c r="M91" s="76"/>
      <c r="N91" s="76"/>
      <c r="O91" s="76"/>
      <c r="P91" s="76"/>
      <c r="Q91" s="76"/>
      <c r="R91" s="76"/>
      <c r="S91" s="76"/>
      <c r="T91" s="76"/>
      <c r="U91" s="76"/>
      <c r="V91" s="76"/>
      <c r="W91" s="76"/>
      <c r="X91" s="76"/>
      <c r="Y91" s="76"/>
      <c r="Z91" s="76"/>
      <c r="AA91" s="76"/>
      <c r="AB91" s="76"/>
      <c r="AC91" s="76"/>
      <c r="AD91" s="76"/>
      <c r="AE91" s="76"/>
      <c r="AF91" s="76"/>
      <c r="AG91" s="76"/>
      <c r="AH91" s="76"/>
      <c r="AI91" s="76"/>
      <c r="AJ91" s="76"/>
      <c r="AK91" s="76"/>
      <c r="AL91" s="76"/>
      <c r="AM91" s="76"/>
      <c r="AN91" s="76"/>
      <c r="AO91" s="92"/>
      <c r="AP91" s="76"/>
      <c r="AQ91" s="76"/>
      <c r="AR91" s="76"/>
      <c r="AS91" s="76"/>
      <c r="AT91" s="76"/>
      <c r="AU91" s="76"/>
    </row>
    <row r="92" spans="1:47" ht="15.75" customHeight="1" thickBot="1" x14ac:dyDescent="0.45">
      <c r="A92" s="76"/>
      <c r="B92" s="92"/>
      <c r="C92" s="92"/>
      <c r="D92" s="76"/>
      <c r="E92" s="76"/>
      <c r="F92" s="76"/>
      <c r="G92" s="76"/>
      <c r="H92" s="76"/>
      <c r="I92" s="76"/>
      <c r="J92" s="76"/>
      <c r="K92" s="76"/>
      <c r="L92" s="76"/>
      <c r="M92" s="76"/>
      <c r="N92" s="76"/>
      <c r="O92" s="76"/>
      <c r="P92" s="76"/>
      <c r="Q92" s="76"/>
      <c r="R92" s="76"/>
      <c r="S92" s="76"/>
      <c r="T92" s="76"/>
      <c r="U92" s="76"/>
      <c r="V92" s="76"/>
      <c r="W92" s="76"/>
      <c r="X92" s="76"/>
      <c r="Y92" s="76"/>
      <c r="Z92" s="76"/>
      <c r="AA92" s="76"/>
      <c r="AB92" s="76"/>
      <c r="AC92" s="76"/>
      <c r="AD92" s="76"/>
      <c r="AE92" s="76"/>
      <c r="AF92" s="76"/>
      <c r="AG92" s="76"/>
      <c r="AH92" s="76"/>
      <c r="AI92" s="76"/>
      <c r="AJ92" s="76"/>
      <c r="AK92" s="76"/>
      <c r="AL92" s="76"/>
      <c r="AM92" s="76"/>
      <c r="AN92" s="76"/>
      <c r="AO92" s="92"/>
      <c r="AP92" s="76"/>
      <c r="AQ92" s="76"/>
      <c r="AR92" s="76"/>
      <c r="AS92" s="76"/>
      <c r="AT92" s="76"/>
      <c r="AU92" s="76"/>
    </row>
    <row r="93" spans="1:47" ht="15.75" customHeight="1" thickBot="1" x14ac:dyDescent="0.45">
      <c r="A93" s="76"/>
      <c r="B93" s="92"/>
      <c r="C93" s="92"/>
      <c r="D93" s="76"/>
      <c r="E93" s="76"/>
      <c r="F93" s="76"/>
      <c r="G93" s="76"/>
      <c r="H93" s="76"/>
      <c r="I93" s="76"/>
      <c r="J93" s="76"/>
      <c r="K93" s="76"/>
      <c r="L93" s="76"/>
      <c r="M93" s="76"/>
      <c r="N93" s="76"/>
      <c r="O93" s="76"/>
      <c r="P93" s="76"/>
      <c r="Q93" s="76"/>
      <c r="R93" s="76"/>
      <c r="S93" s="76"/>
      <c r="T93" s="76"/>
      <c r="U93" s="76"/>
      <c r="V93" s="76"/>
      <c r="W93" s="76"/>
      <c r="X93" s="76"/>
      <c r="Y93" s="76"/>
      <c r="Z93" s="76"/>
      <c r="AA93" s="76"/>
      <c r="AB93" s="76"/>
      <c r="AC93" s="76"/>
      <c r="AD93" s="76"/>
      <c r="AE93" s="76"/>
      <c r="AF93" s="76"/>
      <c r="AG93" s="76"/>
      <c r="AH93" s="76"/>
      <c r="AI93" s="76"/>
      <c r="AJ93" s="76"/>
      <c r="AK93" s="76"/>
      <c r="AL93" s="76"/>
      <c r="AM93" s="76"/>
      <c r="AN93" s="76"/>
      <c r="AO93" s="92"/>
      <c r="AP93" s="76"/>
      <c r="AQ93" s="76"/>
      <c r="AR93" s="76"/>
      <c r="AS93" s="76"/>
      <c r="AT93" s="76"/>
      <c r="AU93" s="76"/>
    </row>
    <row r="94" spans="1:47" ht="15.75" customHeight="1" thickBot="1" x14ac:dyDescent="0.45">
      <c r="A94" s="76"/>
      <c r="B94" s="92"/>
      <c r="C94" s="92"/>
      <c r="D94" s="76"/>
      <c r="E94" s="76"/>
      <c r="F94" s="76"/>
      <c r="G94" s="76"/>
      <c r="H94" s="76"/>
      <c r="I94" s="76"/>
      <c r="J94" s="76"/>
      <c r="K94" s="76"/>
      <c r="L94" s="76"/>
      <c r="M94" s="76"/>
      <c r="N94" s="76"/>
      <c r="O94" s="76"/>
      <c r="P94" s="76"/>
      <c r="Q94" s="76"/>
      <c r="R94" s="76"/>
      <c r="S94" s="76"/>
      <c r="T94" s="76"/>
      <c r="U94" s="76"/>
      <c r="V94" s="76"/>
      <c r="W94" s="76"/>
      <c r="X94" s="76"/>
      <c r="Y94" s="76"/>
      <c r="Z94" s="76"/>
      <c r="AA94" s="76"/>
      <c r="AB94" s="76"/>
      <c r="AC94" s="76"/>
      <c r="AD94" s="76"/>
      <c r="AE94" s="76"/>
      <c r="AF94" s="76"/>
      <c r="AG94" s="76"/>
      <c r="AH94" s="76"/>
      <c r="AI94" s="76"/>
      <c r="AJ94" s="76"/>
      <c r="AK94" s="76"/>
      <c r="AL94" s="76"/>
      <c r="AM94" s="76"/>
      <c r="AN94" s="76"/>
      <c r="AO94" s="92"/>
      <c r="AP94" s="76"/>
      <c r="AQ94" s="76"/>
      <c r="AR94" s="76"/>
      <c r="AS94" s="76"/>
      <c r="AT94" s="76"/>
      <c r="AU94" s="76"/>
    </row>
    <row r="95" spans="1:47" ht="15.75" customHeight="1" thickBot="1" x14ac:dyDescent="0.45">
      <c r="A95" s="76"/>
      <c r="B95" s="92"/>
      <c r="C95" s="92"/>
      <c r="D95" s="76"/>
      <c r="E95" s="76"/>
      <c r="F95" s="76"/>
      <c r="G95" s="76"/>
      <c r="H95" s="76"/>
      <c r="I95" s="76"/>
      <c r="J95" s="76"/>
      <c r="K95" s="76"/>
      <c r="L95" s="76"/>
      <c r="M95" s="76"/>
      <c r="N95" s="76"/>
      <c r="O95" s="76"/>
      <c r="P95" s="76"/>
      <c r="Q95" s="76"/>
      <c r="R95" s="76"/>
      <c r="S95" s="76"/>
      <c r="T95" s="76"/>
      <c r="U95" s="76"/>
      <c r="V95" s="76"/>
      <c r="W95" s="76"/>
      <c r="X95" s="76"/>
      <c r="Y95" s="76"/>
      <c r="Z95" s="76"/>
      <c r="AA95" s="76"/>
      <c r="AB95" s="76"/>
      <c r="AC95" s="76"/>
      <c r="AD95" s="76"/>
      <c r="AE95" s="76"/>
      <c r="AF95" s="76"/>
      <c r="AG95" s="76"/>
      <c r="AH95" s="76"/>
      <c r="AI95" s="76"/>
      <c r="AJ95" s="76"/>
      <c r="AK95" s="76"/>
      <c r="AL95" s="76"/>
      <c r="AM95" s="76"/>
      <c r="AN95" s="76"/>
      <c r="AO95" s="92"/>
      <c r="AP95" s="76"/>
      <c r="AQ95" s="76"/>
      <c r="AR95" s="76"/>
      <c r="AS95" s="76"/>
      <c r="AT95" s="76"/>
      <c r="AU95" s="76"/>
    </row>
    <row r="96" spans="1:47" ht="15.75" customHeight="1" thickBot="1" x14ac:dyDescent="0.45">
      <c r="A96" s="76"/>
      <c r="B96" s="92"/>
      <c r="C96" s="92"/>
      <c r="D96" s="76"/>
      <c r="E96" s="76"/>
      <c r="F96" s="76"/>
      <c r="G96" s="76"/>
      <c r="H96" s="76"/>
      <c r="I96" s="76"/>
      <c r="J96" s="76"/>
      <c r="K96" s="76"/>
      <c r="L96" s="76"/>
      <c r="M96" s="76"/>
      <c r="N96" s="76"/>
      <c r="O96" s="76"/>
      <c r="P96" s="76"/>
      <c r="Q96" s="76"/>
      <c r="R96" s="76"/>
      <c r="S96" s="76"/>
      <c r="T96" s="76"/>
      <c r="U96" s="76"/>
      <c r="V96" s="76"/>
      <c r="W96" s="76"/>
      <c r="X96" s="76"/>
      <c r="Y96" s="76"/>
      <c r="Z96" s="76"/>
      <c r="AA96" s="76"/>
      <c r="AB96" s="76"/>
      <c r="AC96" s="76"/>
      <c r="AD96" s="76"/>
      <c r="AE96" s="76"/>
      <c r="AF96" s="76"/>
      <c r="AG96" s="76"/>
      <c r="AH96" s="76"/>
      <c r="AI96" s="76"/>
      <c r="AJ96" s="76"/>
      <c r="AK96" s="76"/>
      <c r="AL96" s="76"/>
      <c r="AM96" s="76"/>
      <c r="AN96" s="76"/>
      <c r="AO96" s="92"/>
      <c r="AP96" s="76"/>
      <c r="AQ96" s="76"/>
      <c r="AR96" s="76"/>
      <c r="AS96" s="76"/>
      <c r="AT96" s="76"/>
      <c r="AU96" s="76"/>
    </row>
    <row r="97" spans="1:47" ht="15.75" customHeight="1" thickBot="1" x14ac:dyDescent="0.45">
      <c r="A97" s="76"/>
      <c r="B97" s="92"/>
      <c r="C97" s="92"/>
      <c r="D97" s="76"/>
      <c r="E97" s="76"/>
      <c r="F97" s="76"/>
      <c r="G97" s="76"/>
      <c r="H97" s="76"/>
      <c r="I97" s="76"/>
      <c r="J97" s="76"/>
      <c r="K97" s="76"/>
      <c r="L97" s="76"/>
      <c r="M97" s="76"/>
      <c r="N97" s="76"/>
      <c r="O97" s="76"/>
      <c r="P97" s="76"/>
      <c r="Q97" s="76"/>
      <c r="R97" s="76"/>
      <c r="S97" s="76"/>
      <c r="T97" s="76"/>
      <c r="U97" s="76"/>
      <c r="V97" s="76"/>
      <c r="W97" s="76"/>
      <c r="X97" s="76"/>
      <c r="Y97" s="76"/>
      <c r="Z97" s="76"/>
      <c r="AA97" s="76"/>
      <c r="AB97" s="76"/>
      <c r="AC97" s="76"/>
      <c r="AD97" s="76"/>
      <c r="AE97" s="76"/>
      <c r="AF97" s="76"/>
      <c r="AG97" s="76"/>
      <c r="AH97" s="76"/>
      <c r="AI97" s="76"/>
      <c r="AJ97" s="76"/>
      <c r="AK97" s="76"/>
      <c r="AL97" s="76"/>
      <c r="AM97" s="76"/>
      <c r="AN97" s="76"/>
      <c r="AO97" s="92"/>
      <c r="AP97" s="76"/>
      <c r="AQ97" s="76"/>
      <c r="AR97" s="76"/>
      <c r="AS97" s="76"/>
      <c r="AT97" s="76"/>
      <c r="AU97" s="76"/>
    </row>
    <row r="98" spans="1:47" ht="15.75" customHeight="1" thickBot="1" x14ac:dyDescent="0.45">
      <c r="A98" s="76"/>
      <c r="B98" s="92"/>
      <c r="C98" s="92"/>
      <c r="D98" s="76"/>
      <c r="E98" s="76"/>
      <c r="F98" s="76"/>
      <c r="G98" s="76"/>
      <c r="H98" s="76"/>
      <c r="I98" s="76"/>
      <c r="J98" s="76"/>
      <c r="K98" s="76"/>
      <c r="L98" s="76"/>
      <c r="M98" s="76"/>
      <c r="N98" s="76"/>
      <c r="O98" s="76"/>
      <c r="P98" s="76"/>
      <c r="Q98" s="76"/>
      <c r="R98" s="76"/>
      <c r="S98" s="76"/>
      <c r="T98" s="76"/>
      <c r="U98" s="76"/>
      <c r="V98" s="76"/>
      <c r="W98" s="76"/>
      <c r="X98" s="76"/>
      <c r="Y98" s="76"/>
      <c r="Z98" s="76"/>
      <c r="AA98" s="76"/>
      <c r="AB98" s="76"/>
      <c r="AC98" s="76"/>
      <c r="AD98" s="76"/>
      <c r="AE98" s="76"/>
      <c r="AF98" s="76"/>
      <c r="AG98" s="76"/>
      <c r="AH98" s="76"/>
      <c r="AI98" s="76"/>
      <c r="AJ98" s="76"/>
      <c r="AK98" s="76"/>
      <c r="AL98" s="76"/>
      <c r="AM98" s="76"/>
      <c r="AN98" s="76"/>
      <c r="AO98" s="92"/>
      <c r="AP98" s="76"/>
      <c r="AQ98" s="76"/>
      <c r="AR98" s="76"/>
      <c r="AS98" s="76"/>
      <c r="AT98" s="76"/>
      <c r="AU98" s="76"/>
    </row>
    <row r="99" spans="1:47" ht="15.75" customHeight="1" thickBot="1" x14ac:dyDescent="0.45">
      <c r="A99" s="76"/>
      <c r="B99" s="92"/>
      <c r="C99" s="92"/>
      <c r="D99" s="76"/>
      <c r="E99" s="76"/>
      <c r="F99" s="76"/>
      <c r="G99" s="76"/>
      <c r="H99" s="76"/>
      <c r="I99" s="76"/>
      <c r="J99" s="76"/>
      <c r="K99" s="76"/>
      <c r="L99" s="76"/>
      <c r="M99" s="76"/>
      <c r="N99" s="76"/>
      <c r="O99" s="76"/>
      <c r="P99" s="76"/>
      <c r="Q99" s="76"/>
      <c r="R99" s="76"/>
      <c r="S99" s="76"/>
      <c r="T99" s="76"/>
      <c r="U99" s="76"/>
      <c r="V99" s="76"/>
      <c r="W99" s="76"/>
      <c r="X99" s="76"/>
      <c r="Y99" s="76"/>
      <c r="Z99" s="76"/>
      <c r="AA99" s="76"/>
      <c r="AB99" s="76"/>
      <c r="AC99" s="76"/>
      <c r="AD99" s="76"/>
      <c r="AE99" s="76"/>
      <c r="AF99" s="76"/>
      <c r="AG99" s="76"/>
      <c r="AH99" s="76"/>
      <c r="AI99" s="76"/>
      <c r="AJ99" s="76"/>
      <c r="AK99" s="76"/>
      <c r="AL99" s="76"/>
      <c r="AM99" s="76"/>
      <c r="AN99" s="76"/>
      <c r="AO99" s="92"/>
      <c r="AP99" s="76"/>
      <c r="AQ99" s="76"/>
      <c r="AR99" s="76"/>
      <c r="AS99" s="76"/>
      <c r="AT99" s="76"/>
      <c r="AU99" s="76"/>
    </row>
    <row r="100" spans="1:47" ht="15.75" customHeight="1" thickBot="1" x14ac:dyDescent="0.45">
      <c r="A100" s="76"/>
      <c r="B100" s="92"/>
      <c r="C100" s="92"/>
      <c r="D100" s="76"/>
      <c r="E100" s="76"/>
      <c r="F100" s="76"/>
      <c r="G100" s="76"/>
      <c r="H100" s="76"/>
      <c r="I100" s="76"/>
      <c r="J100" s="76"/>
      <c r="K100" s="76"/>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c r="AJ100" s="76"/>
      <c r="AK100" s="76"/>
      <c r="AL100" s="76"/>
      <c r="AM100" s="76"/>
      <c r="AN100" s="76"/>
      <c r="AO100" s="92"/>
      <c r="AP100" s="76"/>
      <c r="AQ100" s="76"/>
      <c r="AR100" s="76"/>
      <c r="AS100" s="76"/>
      <c r="AT100" s="76"/>
      <c r="AU100" s="76"/>
    </row>
    <row r="101" spans="1:47" ht="15.75" customHeight="1" thickBot="1" x14ac:dyDescent="0.45">
      <c r="A101" s="76"/>
      <c r="B101" s="92"/>
      <c r="C101" s="92"/>
      <c r="D101" s="76"/>
      <c r="E101" s="76"/>
      <c r="F101" s="76"/>
      <c r="G101" s="76"/>
      <c r="H101" s="76"/>
      <c r="I101" s="76"/>
      <c r="J101" s="76"/>
      <c r="K101" s="76"/>
      <c r="L101" s="76"/>
      <c r="M101" s="76"/>
      <c r="N101" s="76"/>
      <c r="O101" s="76"/>
      <c r="P101" s="76"/>
      <c r="Q101" s="76"/>
      <c r="R101" s="76"/>
      <c r="S101" s="76"/>
      <c r="T101" s="76"/>
      <c r="U101" s="76"/>
      <c r="V101" s="76"/>
      <c r="W101" s="76"/>
      <c r="X101" s="76"/>
      <c r="Y101" s="76"/>
      <c r="Z101" s="76"/>
      <c r="AA101" s="76"/>
      <c r="AB101" s="76"/>
      <c r="AC101" s="76"/>
      <c r="AD101" s="76"/>
      <c r="AE101" s="76"/>
      <c r="AF101" s="76"/>
      <c r="AG101" s="76"/>
      <c r="AH101" s="76"/>
      <c r="AI101" s="76"/>
      <c r="AJ101" s="76"/>
      <c r="AK101" s="76"/>
      <c r="AL101" s="76"/>
      <c r="AM101" s="76"/>
      <c r="AN101" s="76"/>
      <c r="AO101" s="92"/>
      <c r="AP101" s="76"/>
      <c r="AQ101" s="76"/>
      <c r="AR101" s="76"/>
      <c r="AS101" s="76"/>
      <c r="AT101" s="76"/>
      <c r="AU101" s="76"/>
    </row>
    <row r="102" spans="1:47" ht="15.75" customHeight="1" thickBot="1" x14ac:dyDescent="0.45">
      <c r="A102" s="76"/>
      <c r="B102" s="92"/>
      <c r="C102" s="92"/>
      <c r="D102" s="76"/>
      <c r="E102" s="76"/>
      <c r="F102" s="76"/>
      <c r="G102" s="76"/>
      <c r="H102" s="76"/>
      <c r="I102" s="76"/>
      <c r="J102" s="76"/>
      <c r="K102" s="76"/>
      <c r="L102" s="76"/>
      <c r="M102" s="76"/>
      <c r="N102" s="76"/>
      <c r="O102" s="76"/>
      <c r="P102" s="76"/>
      <c r="Q102" s="76"/>
      <c r="R102" s="76"/>
      <c r="S102" s="76"/>
      <c r="T102" s="76"/>
      <c r="U102" s="76"/>
      <c r="V102" s="76"/>
      <c r="W102" s="76"/>
      <c r="X102" s="76"/>
      <c r="Y102" s="76"/>
      <c r="Z102" s="76"/>
      <c r="AA102" s="76"/>
      <c r="AB102" s="76"/>
      <c r="AC102" s="76"/>
      <c r="AD102" s="76"/>
      <c r="AE102" s="76"/>
      <c r="AF102" s="76"/>
      <c r="AG102" s="76"/>
      <c r="AH102" s="76"/>
      <c r="AI102" s="76"/>
      <c r="AJ102" s="76"/>
      <c r="AK102" s="76"/>
      <c r="AL102" s="76"/>
      <c r="AM102" s="76"/>
      <c r="AN102" s="76"/>
      <c r="AO102" s="92"/>
      <c r="AP102" s="76"/>
      <c r="AQ102" s="76"/>
      <c r="AR102" s="76"/>
      <c r="AS102" s="76"/>
      <c r="AT102" s="76"/>
      <c r="AU102" s="76"/>
    </row>
    <row r="103" spans="1:47" ht="15.75" customHeight="1" thickBot="1" x14ac:dyDescent="0.45">
      <c r="A103" s="76"/>
      <c r="B103" s="92"/>
      <c r="C103" s="92"/>
      <c r="D103" s="76"/>
      <c r="E103" s="76"/>
      <c r="F103" s="76"/>
      <c r="G103" s="76"/>
      <c r="H103" s="76"/>
      <c r="I103" s="76"/>
      <c r="J103" s="76"/>
      <c r="K103" s="76"/>
      <c r="L103" s="76"/>
      <c r="M103" s="76"/>
      <c r="N103" s="76"/>
      <c r="O103" s="76"/>
      <c r="P103" s="76"/>
      <c r="Q103" s="76"/>
      <c r="R103" s="76"/>
      <c r="S103" s="76"/>
      <c r="T103" s="76"/>
      <c r="U103" s="76"/>
      <c r="V103" s="76"/>
      <c r="W103" s="76"/>
      <c r="X103" s="76"/>
      <c r="Y103" s="76"/>
      <c r="Z103" s="76"/>
      <c r="AA103" s="76"/>
      <c r="AB103" s="76"/>
      <c r="AC103" s="76"/>
      <c r="AD103" s="76"/>
      <c r="AE103" s="76"/>
      <c r="AF103" s="76"/>
      <c r="AG103" s="76"/>
      <c r="AH103" s="76"/>
      <c r="AI103" s="76"/>
      <c r="AJ103" s="76"/>
      <c r="AK103" s="76"/>
      <c r="AL103" s="76"/>
      <c r="AM103" s="76"/>
      <c r="AN103" s="76"/>
      <c r="AO103" s="92"/>
      <c r="AP103" s="76"/>
      <c r="AQ103" s="76"/>
      <c r="AR103" s="76"/>
      <c r="AS103" s="76"/>
      <c r="AT103" s="76"/>
      <c r="AU103" s="76"/>
    </row>
    <row r="104" spans="1:47" ht="15.75" customHeight="1" thickBot="1" x14ac:dyDescent="0.45">
      <c r="A104" s="76"/>
      <c r="B104" s="92"/>
      <c r="C104" s="92"/>
      <c r="D104" s="76"/>
      <c r="E104" s="76"/>
      <c r="F104" s="76"/>
      <c r="G104" s="76"/>
      <c r="H104" s="76"/>
      <c r="I104" s="76"/>
      <c r="J104" s="76"/>
      <c r="K104" s="76"/>
      <c r="L104" s="76"/>
      <c r="M104" s="76"/>
      <c r="N104" s="76"/>
      <c r="O104" s="76"/>
      <c r="P104" s="76"/>
      <c r="Q104" s="76"/>
      <c r="R104" s="76"/>
      <c r="S104" s="76"/>
      <c r="T104" s="76"/>
      <c r="U104" s="76"/>
      <c r="V104" s="76"/>
      <c r="W104" s="76"/>
      <c r="X104" s="76"/>
      <c r="Y104" s="76"/>
      <c r="Z104" s="76"/>
      <c r="AA104" s="76"/>
      <c r="AB104" s="76"/>
      <c r="AC104" s="76"/>
      <c r="AD104" s="76"/>
      <c r="AE104" s="76"/>
      <c r="AF104" s="76"/>
      <c r="AG104" s="76"/>
      <c r="AH104" s="76"/>
      <c r="AI104" s="76"/>
      <c r="AJ104" s="76"/>
      <c r="AK104" s="76"/>
      <c r="AL104" s="76"/>
      <c r="AM104" s="76"/>
      <c r="AN104" s="76"/>
      <c r="AO104" s="92"/>
      <c r="AP104" s="76"/>
      <c r="AQ104" s="76"/>
      <c r="AR104" s="76"/>
      <c r="AS104" s="76"/>
      <c r="AT104" s="76"/>
      <c r="AU104" s="76"/>
    </row>
    <row r="105" spans="1:47" ht="15.75" customHeight="1" thickBot="1" x14ac:dyDescent="0.45">
      <c r="A105" s="76"/>
      <c r="B105" s="92"/>
      <c r="C105" s="92"/>
      <c r="D105" s="76"/>
      <c r="E105" s="76"/>
      <c r="F105" s="76"/>
      <c r="G105" s="76"/>
      <c r="H105" s="76"/>
      <c r="I105" s="76"/>
      <c r="J105" s="76"/>
      <c r="K105" s="76"/>
      <c r="L105" s="76"/>
      <c r="M105" s="76"/>
      <c r="N105" s="76"/>
      <c r="O105" s="76"/>
      <c r="P105" s="76"/>
      <c r="Q105" s="76"/>
      <c r="R105" s="76"/>
      <c r="S105" s="76"/>
      <c r="T105" s="76"/>
      <c r="U105" s="76"/>
      <c r="V105" s="76"/>
      <c r="W105" s="76"/>
      <c r="X105" s="76"/>
      <c r="Y105" s="76"/>
      <c r="Z105" s="76"/>
      <c r="AA105" s="76"/>
      <c r="AB105" s="76"/>
      <c r="AC105" s="76"/>
      <c r="AD105" s="76"/>
      <c r="AE105" s="76"/>
      <c r="AF105" s="76"/>
      <c r="AG105" s="76"/>
      <c r="AH105" s="76"/>
      <c r="AI105" s="76"/>
      <c r="AJ105" s="76"/>
      <c r="AK105" s="76"/>
      <c r="AL105" s="76"/>
      <c r="AM105" s="76"/>
      <c r="AN105" s="76"/>
      <c r="AO105" s="92"/>
      <c r="AP105" s="76"/>
      <c r="AQ105" s="76"/>
      <c r="AR105" s="76"/>
      <c r="AS105" s="76"/>
      <c r="AT105" s="76"/>
      <c r="AU105" s="76"/>
    </row>
    <row r="106" spans="1:47" ht="15.75" customHeight="1" thickBot="1" x14ac:dyDescent="0.45">
      <c r="A106" s="76"/>
      <c r="B106" s="92"/>
      <c r="C106" s="92"/>
      <c r="D106" s="76"/>
      <c r="E106" s="76"/>
      <c r="F106" s="76"/>
      <c r="G106" s="76"/>
      <c r="H106" s="76"/>
      <c r="I106" s="76"/>
      <c r="J106" s="76"/>
      <c r="K106" s="76"/>
      <c r="L106" s="76"/>
      <c r="M106" s="76"/>
      <c r="N106" s="76"/>
      <c r="O106" s="76"/>
      <c r="P106" s="76"/>
      <c r="Q106" s="76"/>
      <c r="R106" s="76"/>
      <c r="S106" s="76"/>
      <c r="T106" s="76"/>
      <c r="U106" s="76"/>
      <c r="V106" s="76"/>
      <c r="W106" s="76"/>
      <c r="X106" s="76"/>
      <c r="Y106" s="76"/>
      <c r="Z106" s="76"/>
      <c r="AA106" s="76"/>
      <c r="AB106" s="76"/>
      <c r="AC106" s="76"/>
      <c r="AD106" s="76"/>
      <c r="AE106" s="76"/>
      <c r="AF106" s="76"/>
      <c r="AG106" s="76"/>
      <c r="AH106" s="76"/>
      <c r="AI106" s="76"/>
      <c r="AJ106" s="76"/>
      <c r="AK106" s="76"/>
      <c r="AL106" s="76"/>
      <c r="AM106" s="76"/>
      <c r="AN106" s="76"/>
      <c r="AO106" s="92"/>
      <c r="AP106" s="76"/>
      <c r="AQ106" s="76"/>
      <c r="AR106" s="76"/>
      <c r="AS106" s="76"/>
      <c r="AT106" s="76"/>
      <c r="AU106" s="76"/>
    </row>
    <row r="107" spans="1:47" ht="15.75" customHeight="1" thickBot="1" x14ac:dyDescent="0.45">
      <c r="A107" s="76"/>
      <c r="B107" s="92"/>
      <c r="C107" s="92"/>
      <c r="D107" s="76"/>
      <c r="E107" s="76"/>
      <c r="F107" s="76"/>
      <c r="G107" s="76"/>
      <c r="H107" s="76"/>
      <c r="I107" s="76"/>
      <c r="J107" s="76"/>
      <c r="K107" s="76"/>
      <c r="L107" s="76"/>
      <c r="M107" s="76"/>
      <c r="N107" s="76"/>
      <c r="O107" s="76"/>
      <c r="P107" s="76"/>
      <c r="Q107" s="76"/>
      <c r="R107" s="76"/>
      <c r="S107" s="76"/>
      <c r="T107" s="76"/>
      <c r="U107" s="76"/>
      <c r="V107" s="76"/>
      <c r="W107" s="76"/>
      <c r="X107" s="76"/>
      <c r="Y107" s="76"/>
      <c r="Z107" s="76"/>
      <c r="AA107" s="76"/>
      <c r="AB107" s="76"/>
      <c r="AC107" s="76"/>
      <c r="AD107" s="76"/>
      <c r="AE107" s="76"/>
      <c r="AF107" s="76"/>
      <c r="AG107" s="76"/>
      <c r="AH107" s="76"/>
      <c r="AI107" s="76"/>
      <c r="AJ107" s="76"/>
      <c r="AK107" s="76"/>
      <c r="AL107" s="76"/>
      <c r="AM107" s="76"/>
      <c r="AN107" s="76"/>
      <c r="AO107" s="92"/>
      <c r="AP107" s="76"/>
      <c r="AQ107" s="76"/>
      <c r="AR107" s="76"/>
      <c r="AS107" s="76"/>
      <c r="AT107" s="76"/>
      <c r="AU107" s="76"/>
    </row>
    <row r="108" spans="1:47" ht="15.75" customHeight="1" thickBot="1" x14ac:dyDescent="0.45">
      <c r="A108" s="76"/>
      <c r="B108" s="92"/>
      <c r="C108" s="92"/>
      <c r="D108" s="76"/>
      <c r="E108" s="76"/>
      <c r="F108" s="76"/>
      <c r="G108" s="76"/>
      <c r="H108" s="76"/>
      <c r="I108" s="76"/>
      <c r="J108" s="76"/>
      <c r="K108" s="76"/>
      <c r="L108" s="76"/>
      <c r="M108" s="76"/>
      <c r="N108" s="76"/>
      <c r="O108" s="76"/>
      <c r="P108" s="76"/>
      <c r="Q108" s="76"/>
      <c r="R108" s="76"/>
      <c r="S108" s="76"/>
      <c r="T108" s="76"/>
      <c r="U108" s="76"/>
      <c r="V108" s="76"/>
      <c r="W108" s="76"/>
      <c r="X108" s="76"/>
      <c r="Y108" s="76"/>
      <c r="Z108" s="76"/>
      <c r="AA108" s="76"/>
      <c r="AB108" s="76"/>
      <c r="AC108" s="76"/>
      <c r="AD108" s="76"/>
      <c r="AE108" s="76"/>
      <c r="AF108" s="76"/>
      <c r="AG108" s="76"/>
      <c r="AH108" s="76"/>
      <c r="AI108" s="76"/>
      <c r="AJ108" s="76"/>
      <c r="AK108" s="76"/>
      <c r="AL108" s="76"/>
      <c r="AM108" s="76"/>
      <c r="AN108" s="76"/>
      <c r="AO108" s="92"/>
      <c r="AP108" s="76"/>
      <c r="AQ108" s="76"/>
      <c r="AR108" s="76"/>
      <c r="AS108" s="76"/>
      <c r="AT108" s="76"/>
      <c r="AU108" s="76"/>
    </row>
    <row r="109" spans="1:47" ht="15.75" customHeight="1" thickBot="1" x14ac:dyDescent="0.45">
      <c r="A109" s="76"/>
      <c r="B109" s="92"/>
      <c r="C109" s="92"/>
      <c r="D109" s="76"/>
      <c r="E109" s="76"/>
      <c r="F109" s="76"/>
      <c r="G109" s="76"/>
      <c r="H109" s="76"/>
      <c r="I109" s="76"/>
      <c r="J109" s="76"/>
      <c r="K109" s="76"/>
      <c r="L109" s="76"/>
      <c r="M109" s="76"/>
      <c r="N109" s="76"/>
      <c r="O109" s="76"/>
      <c r="P109" s="76"/>
      <c r="Q109" s="76"/>
      <c r="R109" s="76"/>
      <c r="S109" s="76"/>
      <c r="T109" s="76"/>
      <c r="U109" s="76"/>
      <c r="V109" s="76"/>
      <c r="W109" s="76"/>
      <c r="X109" s="76"/>
      <c r="Y109" s="76"/>
      <c r="Z109" s="76"/>
      <c r="AA109" s="76"/>
      <c r="AB109" s="76"/>
      <c r="AC109" s="76"/>
      <c r="AD109" s="76"/>
      <c r="AE109" s="76"/>
      <c r="AF109" s="76"/>
      <c r="AG109" s="76"/>
      <c r="AH109" s="76"/>
      <c r="AI109" s="76"/>
      <c r="AJ109" s="76"/>
      <c r="AK109" s="76"/>
      <c r="AL109" s="76"/>
      <c r="AM109" s="76"/>
      <c r="AN109" s="76"/>
      <c r="AO109" s="92"/>
      <c r="AP109" s="76"/>
      <c r="AQ109" s="76"/>
      <c r="AR109" s="76"/>
      <c r="AS109" s="76"/>
      <c r="AT109" s="76"/>
      <c r="AU109" s="76"/>
    </row>
    <row r="110" spans="1:47" ht="15.75" customHeight="1" thickBot="1" x14ac:dyDescent="0.45">
      <c r="A110" s="76"/>
      <c r="B110" s="92"/>
      <c r="C110" s="92"/>
      <c r="D110" s="76"/>
      <c r="E110" s="76"/>
      <c r="F110" s="76"/>
      <c r="G110" s="76"/>
      <c r="H110" s="76"/>
      <c r="I110" s="76"/>
      <c r="J110" s="76"/>
      <c r="K110" s="76"/>
      <c r="L110" s="76"/>
      <c r="M110" s="76"/>
      <c r="N110" s="76"/>
      <c r="O110" s="76"/>
      <c r="P110" s="76"/>
      <c r="Q110" s="76"/>
      <c r="R110" s="76"/>
      <c r="S110" s="76"/>
      <c r="T110" s="76"/>
      <c r="U110" s="76"/>
      <c r="V110" s="76"/>
      <c r="W110" s="76"/>
      <c r="X110" s="76"/>
      <c r="Y110" s="76"/>
      <c r="Z110" s="76"/>
      <c r="AA110" s="76"/>
      <c r="AB110" s="76"/>
      <c r="AC110" s="76"/>
      <c r="AD110" s="76"/>
      <c r="AE110" s="76"/>
      <c r="AF110" s="76"/>
      <c r="AG110" s="76"/>
      <c r="AH110" s="76"/>
      <c r="AI110" s="76"/>
      <c r="AJ110" s="76"/>
      <c r="AK110" s="76"/>
      <c r="AL110" s="76"/>
      <c r="AM110" s="76"/>
      <c r="AN110" s="76"/>
      <c r="AO110" s="92"/>
      <c r="AP110" s="76"/>
      <c r="AQ110" s="76"/>
      <c r="AR110" s="76"/>
      <c r="AS110" s="76"/>
      <c r="AT110" s="76"/>
      <c r="AU110" s="76"/>
    </row>
    <row r="111" spans="1:47" ht="15.75" customHeight="1" thickBot="1" x14ac:dyDescent="0.45">
      <c r="A111" s="76"/>
      <c r="B111" s="92"/>
      <c r="C111" s="92"/>
      <c r="D111" s="76"/>
      <c r="E111" s="76"/>
      <c r="F111" s="76"/>
      <c r="G111" s="76"/>
      <c r="H111" s="76"/>
      <c r="I111" s="76"/>
      <c r="J111" s="76"/>
      <c r="K111" s="76"/>
      <c r="L111" s="76"/>
      <c r="M111" s="76"/>
      <c r="N111" s="76"/>
      <c r="O111" s="76"/>
      <c r="P111" s="76"/>
      <c r="Q111" s="76"/>
      <c r="R111" s="76"/>
      <c r="S111" s="76"/>
      <c r="T111" s="76"/>
      <c r="U111" s="76"/>
      <c r="V111" s="76"/>
      <c r="W111" s="76"/>
      <c r="X111" s="76"/>
      <c r="Y111" s="76"/>
      <c r="Z111" s="76"/>
      <c r="AA111" s="76"/>
      <c r="AB111" s="76"/>
      <c r="AC111" s="76"/>
      <c r="AD111" s="76"/>
      <c r="AE111" s="76"/>
      <c r="AF111" s="76"/>
      <c r="AG111" s="76"/>
      <c r="AH111" s="76"/>
      <c r="AI111" s="76"/>
      <c r="AJ111" s="76"/>
      <c r="AK111" s="76"/>
      <c r="AL111" s="76"/>
      <c r="AM111" s="76"/>
      <c r="AN111" s="76"/>
      <c r="AO111" s="92"/>
      <c r="AP111" s="76"/>
      <c r="AQ111" s="76"/>
      <c r="AR111" s="76"/>
      <c r="AS111" s="76"/>
      <c r="AT111" s="76"/>
      <c r="AU111" s="76"/>
    </row>
    <row r="112" spans="1:47" ht="15.75" customHeight="1" thickBot="1" x14ac:dyDescent="0.45">
      <c r="A112" s="76"/>
      <c r="B112" s="92"/>
      <c r="C112" s="92"/>
      <c r="D112" s="76"/>
      <c r="E112" s="76"/>
      <c r="F112" s="76"/>
      <c r="G112" s="76"/>
      <c r="H112" s="76"/>
      <c r="I112" s="76"/>
      <c r="J112" s="76"/>
      <c r="K112" s="76"/>
      <c r="L112" s="76"/>
      <c r="M112" s="76"/>
      <c r="N112" s="76"/>
      <c r="O112" s="76"/>
      <c r="P112" s="76"/>
      <c r="Q112" s="76"/>
      <c r="R112" s="76"/>
      <c r="S112" s="76"/>
      <c r="T112" s="76"/>
      <c r="U112" s="76"/>
      <c r="V112" s="76"/>
      <c r="W112" s="76"/>
      <c r="X112" s="76"/>
      <c r="Y112" s="76"/>
      <c r="Z112" s="76"/>
      <c r="AA112" s="76"/>
      <c r="AB112" s="76"/>
      <c r="AC112" s="76"/>
      <c r="AD112" s="76"/>
      <c r="AE112" s="76"/>
      <c r="AF112" s="76"/>
      <c r="AG112" s="76"/>
      <c r="AH112" s="76"/>
      <c r="AI112" s="76"/>
      <c r="AJ112" s="76"/>
      <c r="AK112" s="76"/>
      <c r="AL112" s="76"/>
      <c r="AM112" s="76"/>
      <c r="AN112" s="76"/>
      <c r="AO112" s="92"/>
      <c r="AP112" s="76"/>
      <c r="AQ112" s="76"/>
      <c r="AR112" s="76"/>
      <c r="AS112" s="76"/>
      <c r="AT112" s="76"/>
      <c r="AU112" s="76"/>
    </row>
    <row r="113" spans="1:47" ht="15.75" customHeight="1" thickBot="1" x14ac:dyDescent="0.45">
      <c r="A113" s="76"/>
      <c r="B113" s="92"/>
      <c r="C113" s="92"/>
      <c r="D113" s="76"/>
      <c r="E113" s="76"/>
      <c r="F113" s="76"/>
      <c r="G113" s="76"/>
      <c r="H113" s="76"/>
      <c r="I113" s="76"/>
      <c r="J113" s="76"/>
      <c r="K113" s="76"/>
      <c r="L113" s="76"/>
      <c r="M113" s="76"/>
      <c r="N113" s="76"/>
      <c r="O113" s="76"/>
      <c r="P113" s="76"/>
      <c r="Q113" s="76"/>
      <c r="R113" s="76"/>
      <c r="S113" s="76"/>
      <c r="T113" s="76"/>
      <c r="U113" s="76"/>
      <c r="V113" s="76"/>
      <c r="W113" s="76"/>
      <c r="X113" s="76"/>
      <c r="Y113" s="76"/>
      <c r="Z113" s="76"/>
      <c r="AA113" s="76"/>
      <c r="AB113" s="76"/>
      <c r="AC113" s="76"/>
      <c r="AD113" s="76"/>
      <c r="AE113" s="76"/>
      <c r="AF113" s="76"/>
      <c r="AG113" s="76"/>
      <c r="AH113" s="76"/>
      <c r="AI113" s="76"/>
      <c r="AJ113" s="76"/>
      <c r="AK113" s="76"/>
      <c r="AL113" s="76"/>
      <c r="AM113" s="76"/>
      <c r="AN113" s="76"/>
      <c r="AO113" s="92"/>
      <c r="AP113" s="76"/>
      <c r="AQ113" s="76"/>
      <c r="AR113" s="76"/>
      <c r="AS113" s="76"/>
      <c r="AT113" s="76"/>
      <c r="AU113" s="76"/>
    </row>
    <row r="114" spans="1:47" ht="15.75" customHeight="1" thickBot="1" x14ac:dyDescent="0.45">
      <c r="A114" s="76"/>
      <c r="B114" s="92"/>
      <c r="C114" s="92"/>
      <c r="D114" s="76"/>
      <c r="E114" s="76"/>
      <c r="F114" s="76"/>
      <c r="G114" s="76"/>
      <c r="H114" s="76"/>
      <c r="I114" s="76"/>
      <c r="J114" s="76"/>
      <c r="K114" s="76"/>
      <c r="L114" s="76"/>
      <c r="M114" s="76"/>
      <c r="N114" s="76"/>
      <c r="O114" s="76"/>
      <c r="P114" s="76"/>
      <c r="Q114" s="76"/>
      <c r="R114" s="76"/>
      <c r="S114" s="76"/>
      <c r="T114" s="76"/>
      <c r="U114" s="76"/>
      <c r="V114" s="76"/>
      <c r="W114" s="76"/>
      <c r="X114" s="76"/>
      <c r="Y114" s="76"/>
      <c r="Z114" s="76"/>
      <c r="AA114" s="76"/>
      <c r="AB114" s="76"/>
      <c r="AC114" s="76"/>
      <c r="AD114" s="76"/>
      <c r="AE114" s="76"/>
      <c r="AF114" s="76"/>
      <c r="AG114" s="76"/>
      <c r="AH114" s="76"/>
      <c r="AI114" s="76"/>
      <c r="AJ114" s="76"/>
      <c r="AK114" s="76"/>
      <c r="AL114" s="76"/>
      <c r="AM114" s="76"/>
      <c r="AN114" s="76"/>
      <c r="AO114" s="92"/>
      <c r="AP114" s="76"/>
      <c r="AQ114" s="76"/>
      <c r="AR114" s="76"/>
      <c r="AS114" s="76"/>
      <c r="AT114" s="76"/>
      <c r="AU114" s="76"/>
    </row>
    <row r="115" spans="1:47" ht="15.75" customHeight="1" thickBot="1" x14ac:dyDescent="0.45">
      <c r="A115" s="76"/>
      <c r="B115" s="92"/>
      <c r="C115" s="92"/>
      <c r="D115" s="76"/>
      <c r="E115" s="76"/>
      <c r="F115" s="76"/>
      <c r="G115" s="76"/>
      <c r="H115" s="76"/>
      <c r="I115" s="76"/>
      <c r="J115" s="76"/>
      <c r="K115" s="76"/>
      <c r="L115" s="76"/>
      <c r="M115" s="76"/>
      <c r="N115" s="76"/>
      <c r="O115" s="76"/>
      <c r="P115" s="76"/>
      <c r="Q115" s="76"/>
      <c r="R115" s="76"/>
      <c r="S115" s="76"/>
      <c r="T115" s="76"/>
      <c r="U115" s="76"/>
      <c r="V115" s="76"/>
      <c r="W115" s="76"/>
      <c r="X115" s="76"/>
      <c r="Y115" s="76"/>
      <c r="Z115" s="76"/>
      <c r="AA115" s="76"/>
      <c r="AB115" s="76"/>
      <c r="AC115" s="76"/>
      <c r="AD115" s="76"/>
      <c r="AE115" s="76"/>
      <c r="AF115" s="76"/>
      <c r="AG115" s="76"/>
      <c r="AH115" s="76"/>
      <c r="AI115" s="76"/>
      <c r="AJ115" s="76"/>
      <c r="AK115" s="76"/>
      <c r="AL115" s="76"/>
      <c r="AM115" s="76"/>
      <c r="AN115" s="76"/>
      <c r="AO115" s="92"/>
      <c r="AP115" s="76"/>
      <c r="AQ115" s="76"/>
      <c r="AR115" s="76"/>
      <c r="AS115" s="76"/>
      <c r="AT115" s="76"/>
      <c r="AU115" s="76"/>
    </row>
    <row r="116" spans="1:47" ht="15.75" customHeight="1" thickBot="1" x14ac:dyDescent="0.45">
      <c r="A116" s="76"/>
      <c r="B116" s="92"/>
      <c r="C116" s="92"/>
      <c r="D116" s="76"/>
      <c r="E116" s="76"/>
      <c r="F116" s="76"/>
      <c r="G116" s="76"/>
      <c r="H116" s="76"/>
      <c r="I116" s="76"/>
      <c r="J116" s="76"/>
      <c r="K116" s="76"/>
      <c r="L116" s="76"/>
      <c r="M116" s="76"/>
      <c r="N116" s="76"/>
      <c r="O116" s="76"/>
      <c r="P116" s="76"/>
      <c r="Q116" s="76"/>
      <c r="R116" s="76"/>
      <c r="S116" s="76"/>
      <c r="T116" s="76"/>
      <c r="U116" s="76"/>
      <c r="V116" s="76"/>
      <c r="W116" s="76"/>
      <c r="X116" s="76"/>
      <c r="Y116" s="76"/>
      <c r="Z116" s="76"/>
      <c r="AA116" s="76"/>
      <c r="AB116" s="76"/>
      <c r="AC116" s="76"/>
      <c r="AD116" s="76"/>
      <c r="AE116" s="76"/>
      <c r="AF116" s="76"/>
      <c r="AG116" s="76"/>
      <c r="AH116" s="76"/>
      <c r="AI116" s="76"/>
      <c r="AJ116" s="76"/>
      <c r="AK116" s="76"/>
      <c r="AL116" s="76"/>
      <c r="AM116" s="76"/>
      <c r="AN116" s="76"/>
      <c r="AO116" s="92"/>
      <c r="AP116" s="76"/>
      <c r="AQ116" s="76"/>
      <c r="AR116" s="76"/>
      <c r="AS116" s="76"/>
      <c r="AT116" s="76"/>
      <c r="AU116" s="76"/>
    </row>
    <row r="117" spans="1:47" ht="15.75" customHeight="1" thickBot="1" x14ac:dyDescent="0.45">
      <c r="A117" s="76"/>
      <c r="B117" s="92"/>
      <c r="C117" s="92"/>
      <c r="D117" s="76"/>
      <c r="E117" s="76"/>
      <c r="F117" s="76"/>
      <c r="G117" s="76"/>
      <c r="H117" s="76"/>
      <c r="I117" s="76"/>
      <c r="J117" s="76"/>
      <c r="K117" s="76"/>
      <c r="L117" s="76"/>
      <c r="M117" s="76"/>
      <c r="N117" s="76"/>
      <c r="O117" s="76"/>
      <c r="P117" s="76"/>
      <c r="Q117" s="76"/>
      <c r="R117" s="76"/>
      <c r="S117" s="76"/>
      <c r="T117" s="76"/>
      <c r="U117" s="76"/>
      <c r="V117" s="76"/>
      <c r="W117" s="76"/>
      <c r="X117" s="76"/>
      <c r="Y117" s="76"/>
      <c r="Z117" s="76"/>
      <c r="AA117" s="76"/>
      <c r="AB117" s="76"/>
      <c r="AC117" s="76"/>
      <c r="AD117" s="76"/>
      <c r="AE117" s="76"/>
      <c r="AF117" s="76"/>
      <c r="AG117" s="76"/>
      <c r="AH117" s="76"/>
      <c r="AI117" s="76"/>
      <c r="AJ117" s="76"/>
      <c r="AK117" s="76"/>
      <c r="AL117" s="76"/>
      <c r="AM117" s="76"/>
      <c r="AN117" s="76"/>
      <c r="AO117" s="92"/>
      <c r="AP117" s="76"/>
      <c r="AQ117" s="76"/>
      <c r="AR117" s="76"/>
      <c r="AS117" s="76"/>
      <c r="AT117" s="76"/>
      <c r="AU117" s="76"/>
    </row>
    <row r="118" spans="1:47" ht="15.75" customHeight="1" thickBot="1" x14ac:dyDescent="0.45">
      <c r="A118" s="76"/>
      <c r="B118" s="92"/>
      <c r="C118" s="92"/>
      <c r="D118" s="76"/>
      <c r="E118" s="76"/>
      <c r="F118" s="76"/>
      <c r="G118" s="76"/>
      <c r="H118" s="76"/>
      <c r="I118" s="76"/>
      <c r="J118" s="76"/>
      <c r="K118" s="76"/>
      <c r="L118" s="76"/>
      <c r="M118" s="76"/>
      <c r="N118" s="76"/>
      <c r="O118" s="76"/>
      <c r="P118" s="76"/>
      <c r="Q118" s="76"/>
      <c r="R118" s="76"/>
      <c r="S118" s="76"/>
      <c r="T118" s="76"/>
      <c r="U118" s="76"/>
      <c r="V118" s="76"/>
      <c r="W118" s="76"/>
      <c r="X118" s="76"/>
      <c r="Y118" s="76"/>
      <c r="Z118" s="76"/>
      <c r="AA118" s="76"/>
      <c r="AB118" s="76"/>
      <c r="AC118" s="76"/>
      <c r="AD118" s="76"/>
      <c r="AE118" s="76"/>
      <c r="AF118" s="76"/>
      <c r="AG118" s="76"/>
      <c r="AH118" s="76"/>
      <c r="AI118" s="76"/>
      <c r="AJ118" s="76"/>
      <c r="AK118" s="76"/>
      <c r="AL118" s="76"/>
      <c r="AM118" s="76"/>
      <c r="AN118" s="76"/>
      <c r="AO118" s="92"/>
      <c r="AP118" s="76"/>
      <c r="AQ118" s="76"/>
      <c r="AR118" s="76"/>
      <c r="AS118" s="76"/>
      <c r="AT118" s="76"/>
      <c r="AU118" s="76"/>
    </row>
    <row r="119" spans="1:47" ht="15.75" customHeight="1" thickBot="1" x14ac:dyDescent="0.45">
      <c r="A119" s="76"/>
      <c r="B119" s="92"/>
      <c r="C119" s="92"/>
      <c r="D119" s="76"/>
      <c r="E119" s="76"/>
      <c r="F119" s="76"/>
      <c r="G119" s="76"/>
      <c r="H119" s="76"/>
      <c r="I119" s="76"/>
      <c r="J119" s="76"/>
      <c r="K119" s="76"/>
      <c r="L119" s="76"/>
      <c r="M119" s="76"/>
      <c r="N119" s="76"/>
      <c r="O119" s="76"/>
      <c r="P119" s="76"/>
      <c r="Q119" s="76"/>
      <c r="R119" s="76"/>
      <c r="S119" s="76"/>
      <c r="T119" s="76"/>
      <c r="U119" s="76"/>
      <c r="V119" s="76"/>
      <c r="W119" s="76"/>
      <c r="X119" s="76"/>
      <c r="Y119" s="76"/>
      <c r="Z119" s="76"/>
      <c r="AA119" s="76"/>
      <c r="AB119" s="76"/>
      <c r="AC119" s="76"/>
      <c r="AD119" s="76"/>
      <c r="AE119" s="76"/>
      <c r="AF119" s="76"/>
      <c r="AG119" s="76"/>
      <c r="AH119" s="76"/>
      <c r="AI119" s="76"/>
      <c r="AJ119" s="76"/>
      <c r="AK119" s="76"/>
      <c r="AL119" s="76"/>
      <c r="AM119" s="76"/>
      <c r="AN119" s="76"/>
      <c r="AO119" s="92"/>
      <c r="AP119" s="76"/>
      <c r="AQ119" s="76"/>
      <c r="AR119" s="76"/>
      <c r="AS119" s="76"/>
      <c r="AT119" s="76"/>
      <c r="AU119" s="76"/>
    </row>
    <row r="120" spans="1:47" ht="15.75" customHeight="1" thickBot="1" x14ac:dyDescent="0.45">
      <c r="A120" s="76"/>
      <c r="B120" s="92"/>
      <c r="C120" s="92"/>
      <c r="D120" s="76"/>
      <c r="E120" s="76"/>
      <c r="F120" s="76"/>
      <c r="G120" s="76"/>
      <c r="H120" s="76"/>
      <c r="I120" s="76"/>
      <c r="J120" s="76"/>
      <c r="K120" s="76"/>
      <c r="L120" s="76"/>
      <c r="M120" s="76"/>
      <c r="N120" s="76"/>
      <c r="O120" s="76"/>
      <c r="P120" s="76"/>
      <c r="Q120" s="76"/>
      <c r="R120" s="76"/>
      <c r="S120" s="76"/>
      <c r="T120" s="76"/>
      <c r="U120" s="76"/>
      <c r="V120" s="76"/>
      <c r="W120" s="76"/>
      <c r="X120" s="76"/>
      <c r="Y120" s="76"/>
      <c r="Z120" s="76"/>
      <c r="AA120" s="76"/>
      <c r="AB120" s="76"/>
      <c r="AC120" s="76"/>
      <c r="AD120" s="76"/>
      <c r="AE120" s="76"/>
      <c r="AF120" s="76"/>
      <c r="AG120" s="76"/>
      <c r="AH120" s="76"/>
      <c r="AI120" s="76"/>
      <c r="AJ120" s="76"/>
      <c r="AK120" s="76"/>
      <c r="AL120" s="76"/>
      <c r="AM120" s="76"/>
      <c r="AN120" s="76"/>
      <c r="AO120" s="92"/>
      <c r="AP120" s="76"/>
      <c r="AQ120" s="76"/>
      <c r="AR120" s="76"/>
      <c r="AS120" s="76"/>
      <c r="AT120" s="76"/>
      <c r="AU120" s="76"/>
    </row>
    <row r="121" spans="1:47" ht="15.75" customHeight="1" thickBot="1" x14ac:dyDescent="0.45">
      <c r="A121" s="76"/>
      <c r="B121" s="92"/>
      <c r="C121" s="92"/>
      <c r="D121" s="76"/>
      <c r="E121" s="76"/>
      <c r="F121" s="76"/>
      <c r="G121" s="76"/>
      <c r="H121" s="76"/>
      <c r="I121" s="76"/>
      <c r="J121" s="76"/>
      <c r="K121" s="76"/>
      <c r="L121" s="76"/>
      <c r="M121" s="76"/>
      <c r="N121" s="76"/>
      <c r="O121" s="76"/>
      <c r="P121" s="76"/>
      <c r="Q121" s="76"/>
      <c r="R121" s="76"/>
      <c r="S121" s="76"/>
      <c r="T121" s="76"/>
      <c r="U121" s="76"/>
      <c r="V121" s="76"/>
      <c r="W121" s="76"/>
      <c r="X121" s="76"/>
      <c r="Y121" s="76"/>
      <c r="Z121" s="76"/>
      <c r="AA121" s="76"/>
      <c r="AB121" s="76"/>
      <c r="AC121" s="76"/>
      <c r="AD121" s="76"/>
      <c r="AE121" s="76"/>
      <c r="AF121" s="76"/>
      <c r="AG121" s="76"/>
      <c r="AH121" s="76"/>
      <c r="AI121" s="76"/>
      <c r="AJ121" s="76"/>
      <c r="AK121" s="76"/>
      <c r="AL121" s="76"/>
      <c r="AM121" s="76"/>
      <c r="AN121" s="76"/>
      <c r="AO121" s="92"/>
      <c r="AP121" s="76"/>
      <c r="AQ121" s="76"/>
      <c r="AR121" s="76"/>
      <c r="AS121" s="76"/>
      <c r="AT121" s="76"/>
      <c r="AU121" s="76"/>
    </row>
    <row r="122" spans="1:47" ht="15.75" customHeight="1" thickBot="1" x14ac:dyDescent="0.45">
      <c r="A122" s="76"/>
      <c r="B122" s="92"/>
      <c r="C122" s="92"/>
      <c r="D122" s="76"/>
      <c r="E122" s="76"/>
      <c r="F122" s="76"/>
      <c r="G122" s="76"/>
      <c r="H122" s="76"/>
      <c r="I122" s="76"/>
      <c r="J122" s="76"/>
      <c r="K122" s="76"/>
      <c r="L122" s="76"/>
      <c r="M122" s="76"/>
      <c r="N122" s="76"/>
      <c r="O122" s="76"/>
      <c r="P122" s="76"/>
      <c r="Q122" s="76"/>
      <c r="R122" s="76"/>
      <c r="S122" s="76"/>
      <c r="T122" s="76"/>
      <c r="U122" s="76"/>
      <c r="V122" s="76"/>
      <c r="W122" s="76"/>
      <c r="X122" s="76"/>
      <c r="Y122" s="76"/>
      <c r="Z122" s="76"/>
      <c r="AA122" s="76"/>
      <c r="AB122" s="76"/>
      <c r="AC122" s="76"/>
      <c r="AD122" s="76"/>
      <c r="AE122" s="76"/>
      <c r="AF122" s="76"/>
      <c r="AG122" s="76"/>
      <c r="AH122" s="76"/>
      <c r="AI122" s="76"/>
      <c r="AJ122" s="76"/>
      <c r="AK122" s="76"/>
      <c r="AL122" s="76"/>
      <c r="AM122" s="76"/>
      <c r="AN122" s="76"/>
      <c r="AO122" s="92"/>
      <c r="AP122" s="76"/>
      <c r="AQ122" s="76"/>
      <c r="AR122" s="76"/>
      <c r="AS122" s="76"/>
      <c r="AT122" s="76"/>
      <c r="AU122" s="76"/>
    </row>
    <row r="123" spans="1:47" ht="15.75" customHeight="1" thickBot="1" x14ac:dyDescent="0.45">
      <c r="A123" s="76"/>
      <c r="B123" s="92"/>
      <c r="C123" s="92"/>
      <c r="D123" s="76"/>
      <c r="E123" s="76"/>
      <c r="F123" s="76"/>
      <c r="G123" s="76"/>
      <c r="H123" s="76"/>
      <c r="I123" s="76"/>
      <c r="J123" s="76"/>
      <c r="K123" s="76"/>
      <c r="L123" s="76"/>
      <c r="M123" s="76"/>
      <c r="N123" s="76"/>
      <c r="O123" s="76"/>
      <c r="P123" s="76"/>
      <c r="Q123" s="76"/>
      <c r="R123" s="76"/>
      <c r="S123" s="76"/>
      <c r="T123" s="76"/>
      <c r="U123" s="76"/>
      <c r="V123" s="76"/>
      <c r="W123" s="76"/>
      <c r="X123" s="76"/>
      <c r="Y123" s="76"/>
      <c r="Z123" s="76"/>
      <c r="AA123" s="76"/>
      <c r="AB123" s="76"/>
      <c r="AC123" s="76"/>
      <c r="AD123" s="76"/>
      <c r="AE123" s="76"/>
      <c r="AF123" s="76"/>
      <c r="AG123" s="76"/>
      <c r="AH123" s="76"/>
      <c r="AI123" s="76"/>
      <c r="AJ123" s="76"/>
      <c r="AK123" s="76"/>
      <c r="AL123" s="76"/>
      <c r="AM123" s="76"/>
      <c r="AN123" s="76"/>
      <c r="AO123" s="92"/>
      <c r="AP123" s="76"/>
      <c r="AQ123" s="76"/>
      <c r="AR123" s="76"/>
      <c r="AS123" s="76"/>
      <c r="AT123" s="76"/>
      <c r="AU123" s="76"/>
    </row>
    <row r="124" spans="1:47" ht="15.75" customHeight="1" thickBot="1" x14ac:dyDescent="0.45">
      <c r="A124" s="76"/>
      <c r="B124" s="92"/>
      <c r="C124" s="92"/>
      <c r="D124" s="76"/>
      <c r="E124" s="76"/>
      <c r="F124" s="76"/>
      <c r="G124" s="76"/>
      <c r="H124" s="76"/>
      <c r="I124" s="76"/>
      <c r="J124" s="76"/>
      <c r="K124" s="76"/>
      <c r="L124" s="76"/>
      <c r="M124" s="76"/>
      <c r="N124" s="76"/>
      <c r="O124" s="76"/>
      <c r="P124" s="76"/>
      <c r="Q124" s="76"/>
      <c r="R124" s="76"/>
      <c r="S124" s="76"/>
      <c r="T124" s="76"/>
      <c r="U124" s="76"/>
      <c r="V124" s="76"/>
      <c r="W124" s="76"/>
      <c r="X124" s="76"/>
      <c r="Y124" s="76"/>
      <c r="Z124" s="76"/>
      <c r="AA124" s="76"/>
      <c r="AB124" s="76"/>
      <c r="AC124" s="76"/>
      <c r="AD124" s="76"/>
      <c r="AE124" s="76"/>
      <c r="AF124" s="76"/>
      <c r="AG124" s="76"/>
      <c r="AH124" s="76"/>
      <c r="AI124" s="76"/>
      <c r="AJ124" s="76"/>
      <c r="AK124" s="76"/>
      <c r="AL124" s="76"/>
      <c r="AM124" s="76"/>
      <c r="AN124" s="76"/>
      <c r="AO124" s="92"/>
      <c r="AP124" s="76"/>
      <c r="AQ124" s="76"/>
      <c r="AR124" s="76"/>
      <c r="AS124" s="76"/>
      <c r="AT124" s="76"/>
      <c r="AU124" s="76"/>
    </row>
    <row r="125" spans="1:47" ht="15.75" customHeight="1" thickBot="1" x14ac:dyDescent="0.45">
      <c r="A125" s="76"/>
      <c r="B125" s="92"/>
      <c r="C125" s="92"/>
      <c r="D125" s="76"/>
      <c r="E125" s="76"/>
      <c r="F125" s="76"/>
      <c r="G125" s="76"/>
      <c r="H125" s="76"/>
      <c r="I125" s="76"/>
      <c r="J125" s="76"/>
      <c r="K125" s="76"/>
      <c r="L125" s="76"/>
      <c r="M125" s="76"/>
      <c r="N125" s="76"/>
      <c r="O125" s="76"/>
      <c r="P125" s="76"/>
      <c r="Q125" s="76"/>
      <c r="R125" s="76"/>
      <c r="S125" s="76"/>
      <c r="T125" s="76"/>
      <c r="U125" s="76"/>
      <c r="V125" s="76"/>
      <c r="W125" s="76"/>
      <c r="X125" s="76"/>
      <c r="Y125" s="76"/>
      <c r="Z125" s="76"/>
      <c r="AA125" s="76"/>
      <c r="AB125" s="76"/>
      <c r="AC125" s="76"/>
      <c r="AD125" s="76"/>
      <c r="AE125" s="76"/>
      <c r="AF125" s="76"/>
      <c r="AG125" s="76"/>
      <c r="AH125" s="76"/>
      <c r="AI125" s="76"/>
      <c r="AJ125" s="76"/>
      <c r="AK125" s="76"/>
      <c r="AL125" s="76"/>
      <c r="AM125" s="76"/>
      <c r="AN125" s="76"/>
      <c r="AO125" s="92"/>
      <c r="AP125" s="76"/>
      <c r="AQ125" s="76"/>
      <c r="AR125" s="76"/>
      <c r="AS125" s="76"/>
      <c r="AT125" s="76"/>
      <c r="AU125" s="76"/>
    </row>
    <row r="126" spans="1:47" ht="15.75" customHeight="1" thickBot="1" x14ac:dyDescent="0.45">
      <c r="A126" s="76"/>
      <c r="B126" s="92"/>
      <c r="C126" s="92"/>
      <c r="D126" s="76"/>
      <c r="E126" s="76"/>
      <c r="F126" s="76"/>
      <c r="G126" s="76"/>
      <c r="H126" s="76"/>
      <c r="I126" s="76"/>
      <c r="J126" s="76"/>
      <c r="K126" s="76"/>
      <c r="L126" s="76"/>
      <c r="M126" s="76"/>
      <c r="N126" s="76"/>
      <c r="O126" s="76"/>
      <c r="P126" s="76"/>
      <c r="Q126" s="76"/>
      <c r="R126" s="76"/>
      <c r="S126" s="76"/>
      <c r="T126" s="76"/>
      <c r="U126" s="76"/>
      <c r="V126" s="76"/>
      <c r="W126" s="76"/>
      <c r="X126" s="76"/>
      <c r="Y126" s="76"/>
      <c r="Z126" s="76"/>
      <c r="AA126" s="76"/>
      <c r="AB126" s="76"/>
      <c r="AC126" s="76"/>
      <c r="AD126" s="76"/>
      <c r="AE126" s="76"/>
      <c r="AF126" s="76"/>
      <c r="AG126" s="76"/>
      <c r="AH126" s="76"/>
      <c r="AI126" s="76"/>
      <c r="AJ126" s="76"/>
      <c r="AK126" s="76"/>
      <c r="AL126" s="76"/>
      <c r="AM126" s="76"/>
      <c r="AN126" s="76"/>
      <c r="AO126" s="92"/>
      <c r="AP126" s="76"/>
      <c r="AQ126" s="76"/>
      <c r="AR126" s="76"/>
      <c r="AS126" s="76"/>
      <c r="AT126" s="76"/>
      <c r="AU126" s="76"/>
    </row>
    <row r="127" spans="1:47" ht="15.75" customHeight="1" thickBot="1" x14ac:dyDescent="0.45">
      <c r="A127" s="76"/>
      <c r="B127" s="92"/>
      <c r="C127" s="92"/>
      <c r="D127" s="76"/>
      <c r="E127" s="76"/>
      <c r="F127" s="76"/>
      <c r="G127" s="76"/>
      <c r="H127" s="76"/>
      <c r="I127" s="76"/>
      <c r="J127" s="76"/>
      <c r="K127" s="76"/>
      <c r="L127" s="76"/>
      <c r="M127" s="76"/>
      <c r="N127" s="76"/>
      <c r="O127" s="76"/>
      <c r="P127" s="76"/>
      <c r="Q127" s="76"/>
      <c r="R127" s="76"/>
      <c r="S127" s="76"/>
      <c r="T127" s="76"/>
      <c r="U127" s="76"/>
      <c r="V127" s="76"/>
      <c r="W127" s="76"/>
      <c r="X127" s="76"/>
      <c r="Y127" s="76"/>
      <c r="Z127" s="76"/>
      <c r="AA127" s="76"/>
      <c r="AB127" s="76"/>
      <c r="AC127" s="76"/>
      <c r="AD127" s="76"/>
      <c r="AE127" s="76"/>
      <c r="AF127" s="76"/>
      <c r="AG127" s="76"/>
      <c r="AH127" s="76"/>
      <c r="AI127" s="76"/>
      <c r="AJ127" s="76"/>
      <c r="AK127" s="76"/>
      <c r="AL127" s="76"/>
      <c r="AM127" s="76"/>
      <c r="AN127" s="76"/>
      <c r="AO127" s="92"/>
      <c r="AP127" s="76"/>
      <c r="AQ127" s="76"/>
      <c r="AR127" s="76"/>
      <c r="AS127" s="76"/>
      <c r="AT127" s="76"/>
      <c r="AU127" s="76"/>
    </row>
    <row r="128" spans="1:47" ht="15.75" customHeight="1" thickBot="1" x14ac:dyDescent="0.45">
      <c r="A128" s="76"/>
      <c r="B128" s="92"/>
      <c r="C128" s="92"/>
      <c r="D128" s="76"/>
      <c r="E128" s="76"/>
      <c r="F128" s="76"/>
      <c r="G128" s="76"/>
      <c r="H128" s="76"/>
      <c r="I128" s="76"/>
      <c r="J128" s="76"/>
      <c r="K128" s="76"/>
      <c r="L128" s="76"/>
      <c r="M128" s="76"/>
      <c r="N128" s="76"/>
      <c r="O128" s="76"/>
      <c r="P128" s="76"/>
      <c r="Q128" s="76"/>
      <c r="R128" s="76"/>
      <c r="S128" s="76"/>
      <c r="T128" s="76"/>
      <c r="U128" s="76"/>
      <c r="V128" s="76"/>
      <c r="W128" s="76"/>
      <c r="X128" s="76"/>
      <c r="Y128" s="76"/>
      <c r="Z128" s="76"/>
      <c r="AA128" s="76"/>
      <c r="AB128" s="76"/>
      <c r="AC128" s="76"/>
      <c r="AD128" s="76"/>
      <c r="AE128" s="76"/>
      <c r="AF128" s="76"/>
      <c r="AG128" s="76"/>
      <c r="AH128" s="76"/>
      <c r="AI128" s="76"/>
      <c r="AJ128" s="76"/>
      <c r="AK128" s="76"/>
      <c r="AL128" s="76"/>
      <c r="AM128" s="76"/>
      <c r="AN128" s="76"/>
      <c r="AO128" s="92"/>
      <c r="AP128" s="76"/>
      <c r="AQ128" s="76"/>
      <c r="AR128" s="76"/>
      <c r="AS128" s="76"/>
      <c r="AT128" s="76"/>
      <c r="AU128" s="76"/>
    </row>
    <row r="129" spans="1:47" ht="15.75" customHeight="1" thickBot="1" x14ac:dyDescent="0.45">
      <c r="A129" s="76"/>
      <c r="B129" s="92"/>
      <c r="C129" s="92"/>
      <c r="D129" s="76"/>
      <c r="E129" s="76"/>
      <c r="F129" s="76"/>
      <c r="G129" s="76"/>
      <c r="H129" s="76"/>
      <c r="I129" s="76"/>
      <c r="J129" s="76"/>
      <c r="K129" s="76"/>
      <c r="L129" s="76"/>
      <c r="M129" s="76"/>
      <c r="N129" s="76"/>
      <c r="O129" s="76"/>
      <c r="P129" s="76"/>
      <c r="Q129" s="76"/>
      <c r="R129" s="76"/>
      <c r="S129" s="76"/>
      <c r="T129" s="76"/>
      <c r="U129" s="76"/>
      <c r="V129" s="76"/>
      <c r="W129" s="76"/>
      <c r="X129" s="76"/>
      <c r="Y129" s="76"/>
      <c r="Z129" s="76"/>
      <c r="AA129" s="76"/>
      <c r="AB129" s="76"/>
      <c r="AC129" s="76"/>
      <c r="AD129" s="76"/>
      <c r="AE129" s="76"/>
      <c r="AF129" s="76"/>
      <c r="AG129" s="76"/>
      <c r="AH129" s="76"/>
      <c r="AI129" s="76"/>
      <c r="AJ129" s="76"/>
      <c r="AK129" s="76"/>
      <c r="AL129" s="76"/>
      <c r="AM129" s="76"/>
      <c r="AN129" s="76"/>
      <c r="AO129" s="92"/>
      <c r="AP129" s="76"/>
      <c r="AQ129" s="76"/>
      <c r="AR129" s="76"/>
      <c r="AS129" s="76"/>
      <c r="AT129" s="76"/>
      <c r="AU129" s="76"/>
    </row>
    <row r="130" spans="1:47" ht="15.75" customHeight="1" thickBot="1" x14ac:dyDescent="0.45">
      <c r="A130" s="76"/>
      <c r="B130" s="92"/>
      <c r="C130" s="92"/>
      <c r="D130" s="76"/>
      <c r="E130" s="76"/>
      <c r="F130" s="76"/>
      <c r="G130" s="76"/>
      <c r="H130" s="76"/>
      <c r="I130" s="76"/>
      <c r="J130" s="76"/>
      <c r="K130" s="76"/>
      <c r="L130" s="76"/>
      <c r="M130" s="76"/>
      <c r="N130" s="76"/>
      <c r="O130" s="76"/>
      <c r="P130" s="76"/>
      <c r="Q130" s="76"/>
      <c r="R130" s="76"/>
      <c r="S130" s="76"/>
      <c r="T130" s="76"/>
      <c r="U130" s="76"/>
      <c r="V130" s="76"/>
      <c r="W130" s="76"/>
      <c r="X130" s="76"/>
      <c r="Y130" s="76"/>
      <c r="Z130" s="76"/>
      <c r="AA130" s="76"/>
      <c r="AB130" s="76"/>
      <c r="AC130" s="76"/>
      <c r="AD130" s="76"/>
      <c r="AE130" s="76"/>
      <c r="AF130" s="76"/>
      <c r="AG130" s="76"/>
      <c r="AH130" s="76"/>
      <c r="AI130" s="76"/>
      <c r="AJ130" s="76"/>
      <c r="AK130" s="76"/>
      <c r="AL130" s="76"/>
      <c r="AM130" s="76"/>
      <c r="AN130" s="76"/>
      <c r="AO130" s="92"/>
      <c r="AP130" s="76"/>
      <c r="AQ130" s="76"/>
      <c r="AR130" s="76"/>
      <c r="AS130" s="76"/>
      <c r="AT130" s="76"/>
      <c r="AU130" s="76"/>
    </row>
    <row r="131" spans="1:47" ht="15.75" customHeight="1" thickBot="1" x14ac:dyDescent="0.45">
      <c r="A131" s="76"/>
      <c r="B131" s="92"/>
      <c r="C131" s="92"/>
      <c r="D131" s="76"/>
      <c r="E131" s="76"/>
      <c r="F131" s="76"/>
      <c r="G131" s="76"/>
      <c r="H131" s="76"/>
      <c r="I131" s="76"/>
      <c r="J131" s="76"/>
      <c r="K131" s="76"/>
      <c r="L131" s="76"/>
      <c r="M131" s="76"/>
      <c r="N131" s="76"/>
      <c r="O131" s="76"/>
      <c r="P131" s="76"/>
      <c r="Q131" s="76"/>
      <c r="R131" s="76"/>
      <c r="S131" s="76"/>
      <c r="T131" s="76"/>
      <c r="U131" s="76"/>
      <c r="V131" s="76"/>
      <c r="W131" s="76"/>
      <c r="X131" s="76"/>
      <c r="Y131" s="76"/>
      <c r="Z131" s="76"/>
      <c r="AA131" s="76"/>
      <c r="AB131" s="76"/>
      <c r="AC131" s="76"/>
      <c r="AD131" s="76"/>
      <c r="AE131" s="76"/>
      <c r="AF131" s="76"/>
      <c r="AG131" s="76"/>
      <c r="AH131" s="76"/>
      <c r="AI131" s="76"/>
      <c r="AJ131" s="76"/>
      <c r="AK131" s="76"/>
      <c r="AL131" s="76"/>
      <c r="AM131" s="76"/>
      <c r="AN131" s="76"/>
      <c r="AO131" s="92"/>
      <c r="AP131" s="76"/>
      <c r="AQ131" s="76"/>
      <c r="AR131" s="76"/>
      <c r="AS131" s="76"/>
      <c r="AT131" s="76"/>
      <c r="AU131" s="76"/>
    </row>
    <row r="132" spans="1:47" ht="15.75" customHeight="1" thickBot="1" x14ac:dyDescent="0.45">
      <c r="A132" s="76"/>
      <c r="B132" s="92"/>
      <c r="C132" s="92"/>
      <c r="D132" s="76"/>
      <c r="E132" s="76"/>
      <c r="F132" s="76"/>
      <c r="G132" s="76"/>
      <c r="H132" s="76"/>
      <c r="I132" s="76"/>
      <c r="J132" s="76"/>
      <c r="K132" s="76"/>
      <c r="L132" s="76"/>
      <c r="M132" s="76"/>
      <c r="N132" s="76"/>
      <c r="O132" s="76"/>
      <c r="P132" s="76"/>
      <c r="Q132" s="76"/>
      <c r="R132" s="76"/>
      <c r="S132" s="76"/>
      <c r="T132" s="76"/>
      <c r="U132" s="76"/>
      <c r="V132" s="76"/>
      <c r="W132" s="76"/>
      <c r="X132" s="76"/>
      <c r="Y132" s="76"/>
      <c r="Z132" s="76"/>
      <c r="AA132" s="76"/>
      <c r="AB132" s="76"/>
      <c r="AC132" s="76"/>
      <c r="AD132" s="76"/>
      <c r="AE132" s="76"/>
      <c r="AF132" s="76"/>
      <c r="AG132" s="76"/>
      <c r="AH132" s="76"/>
      <c r="AI132" s="76"/>
      <c r="AJ132" s="76"/>
      <c r="AK132" s="76"/>
      <c r="AL132" s="76"/>
      <c r="AM132" s="76"/>
      <c r="AN132" s="76"/>
      <c r="AO132" s="92"/>
      <c r="AP132" s="76"/>
      <c r="AQ132" s="76"/>
      <c r="AR132" s="76"/>
      <c r="AS132" s="76"/>
      <c r="AT132" s="76"/>
      <c r="AU132" s="76"/>
    </row>
    <row r="133" spans="1:47" ht="15.75" customHeight="1" thickBot="1" x14ac:dyDescent="0.45">
      <c r="A133" s="76"/>
      <c r="B133" s="92"/>
      <c r="C133" s="92"/>
      <c r="D133" s="76"/>
      <c r="E133" s="76"/>
      <c r="F133" s="76"/>
      <c r="G133" s="76"/>
      <c r="H133" s="76"/>
      <c r="I133" s="76"/>
      <c r="J133" s="76"/>
      <c r="K133" s="76"/>
      <c r="L133" s="76"/>
      <c r="M133" s="76"/>
      <c r="N133" s="76"/>
      <c r="O133" s="76"/>
      <c r="P133" s="76"/>
      <c r="Q133" s="76"/>
      <c r="R133" s="76"/>
      <c r="S133" s="76"/>
      <c r="T133" s="76"/>
      <c r="U133" s="76"/>
      <c r="V133" s="76"/>
      <c r="W133" s="76"/>
      <c r="X133" s="76"/>
      <c r="Y133" s="76"/>
      <c r="Z133" s="76"/>
      <c r="AA133" s="76"/>
      <c r="AB133" s="76"/>
      <c r="AC133" s="76"/>
      <c r="AD133" s="76"/>
      <c r="AE133" s="76"/>
      <c r="AF133" s="76"/>
      <c r="AG133" s="76"/>
      <c r="AH133" s="76"/>
      <c r="AI133" s="76"/>
      <c r="AJ133" s="76"/>
      <c r="AK133" s="76"/>
      <c r="AL133" s="76"/>
      <c r="AM133" s="76"/>
      <c r="AN133" s="76"/>
      <c r="AO133" s="92"/>
      <c r="AP133" s="76"/>
      <c r="AQ133" s="76"/>
      <c r="AR133" s="76"/>
      <c r="AS133" s="76"/>
      <c r="AT133" s="76"/>
      <c r="AU133" s="76"/>
    </row>
    <row r="134" spans="1:47" ht="15.75" customHeight="1" thickBot="1" x14ac:dyDescent="0.45">
      <c r="A134" s="76"/>
      <c r="B134" s="92"/>
      <c r="C134" s="92"/>
      <c r="D134" s="76"/>
      <c r="E134" s="76"/>
      <c r="F134" s="76"/>
      <c r="G134" s="76"/>
      <c r="H134" s="76"/>
      <c r="I134" s="76"/>
      <c r="J134" s="76"/>
      <c r="K134" s="76"/>
      <c r="L134" s="76"/>
      <c r="M134" s="76"/>
      <c r="N134" s="76"/>
      <c r="O134" s="76"/>
      <c r="P134" s="76"/>
      <c r="Q134" s="76"/>
      <c r="R134" s="76"/>
      <c r="S134" s="76"/>
      <c r="T134" s="76"/>
      <c r="U134" s="76"/>
      <c r="V134" s="76"/>
      <c r="W134" s="76"/>
      <c r="X134" s="76"/>
      <c r="Y134" s="76"/>
      <c r="Z134" s="76"/>
      <c r="AA134" s="76"/>
      <c r="AB134" s="76"/>
      <c r="AC134" s="76"/>
      <c r="AD134" s="76"/>
      <c r="AE134" s="76"/>
      <c r="AF134" s="76"/>
      <c r="AG134" s="76"/>
      <c r="AH134" s="76"/>
      <c r="AI134" s="76"/>
      <c r="AJ134" s="76"/>
      <c r="AK134" s="76"/>
      <c r="AL134" s="76"/>
      <c r="AM134" s="76"/>
      <c r="AN134" s="76"/>
      <c r="AO134" s="92"/>
      <c r="AP134" s="76"/>
      <c r="AQ134" s="76"/>
      <c r="AR134" s="76"/>
      <c r="AS134" s="76"/>
      <c r="AT134" s="76"/>
      <c r="AU134" s="76"/>
    </row>
    <row r="135" spans="1:47" ht="15.75" customHeight="1" thickBot="1" x14ac:dyDescent="0.45">
      <c r="A135" s="76"/>
      <c r="B135" s="92"/>
      <c r="C135" s="92"/>
      <c r="D135" s="76"/>
      <c r="E135" s="76"/>
      <c r="F135" s="76"/>
      <c r="G135" s="76"/>
      <c r="H135" s="76"/>
      <c r="I135" s="76"/>
      <c r="J135" s="76"/>
      <c r="K135" s="76"/>
      <c r="L135" s="76"/>
      <c r="M135" s="76"/>
      <c r="N135" s="76"/>
      <c r="O135" s="76"/>
      <c r="P135" s="76"/>
      <c r="Q135" s="76"/>
      <c r="R135" s="76"/>
      <c r="S135" s="76"/>
      <c r="T135" s="76"/>
      <c r="U135" s="76"/>
      <c r="V135" s="76"/>
      <c r="W135" s="76"/>
      <c r="X135" s="76"/>
      <c r="Y135" s="76"/>
      <c r="Z135" s="76"/>
      <c r="AA135" s="76"/>
      <c r="AB135" s="76"/>
      <c r="AC135" s="76"/>
      <c r="AD135" s="76"/>
      <c r="AE135" s="76"/>
      <c r="AF135" s="76"/>
      <c r="AG135" s="76"/>
      <c r="AH135" s="76"/>
      <c r="AI135" s="76"/>
      <c r="AJ135" s="76"/>
      <c r="AK135" s="76"/>
      <c r="AL135" s="76"/>
      <c r="AM135" s="76"/>
      <c r="AN135" s="76"/>
      <c r="AO135" s="92"/>
      <c r="AP135" s="76"/>
      <c r="AQ135" s="76"/>
      <c r="AR135" s="76"/>
      <c r="AS135" s="76"/>
      <c r="AT135" s="76"/>
      <c r="AU135" s="76"/>
    </row>
    <row r="136" spans="1:47" ht="15.75" customHeight="1" thickBot="1" x14ac:dyDescent="0.45">
      <c r="A136" s="76"/>
      <c r="B136" s="92"/>
      <c r="C136" s="92"/>
      <c r="D136" s="76"/>
      <c r="E136" s="76"/>
      <c r="F136" s="76"/>
      <c r="G136" s="76"/>
      <c r="H136" s="76"/>
      <c r="I136" s="76"/>
      <c r="J136" s="76"/>
      <c r="K136" s="76"/>
      <c r="L136" s="76"/>
      <c r="M136" s="76"/>
      <c r="N136" s="76"/>
      <c r="O136" s="76"/>
      <c r="P136" s="76"/>
      <c r="Q136" s="76"/>
      <c r="R136" s="76"/>
      <c r="S136" s="76"/>
      <c r="T136" s="76"/>
      <c r="U136" s="76"/>
      <c r="V136" s="76"/>
      <c r="W136" s="76"/>
      <c r="X136" s="76"/>
      <c r="Y136" s="76"/>
      <c r="Z136" s="76"/>
      <c r="AA136" s="76"/>
      <c r="AB136" s="76"/>
      <c r="AC136" s="76"/>
      <c r="AD136" s="76"/>
      <c r="AE136" s="76"/>
      <c r="AF136" s="76"/>
      <c r="AG136" s="76"/>
      <c r="AH136" s="76"/>
      <c r="AI136" s="76"/>
      <c r="AJ136" s="76"/>
      <c r="AK136" s="76"/>
      <c r="AL136" s="76"/>
      <c r="AM136" s="76"/>
      <c r="AN136" s="76"/>
      <c r="AO136" s="92"/>
      <c r="AP136" s="76"/>
      <c r="AQ136" s="76"/>
      <c r="AR136" s="76"/>
      <c r="AS136" s="76"/>
      <c r="AT136" s="76"/>
      <c r="AU136" s="76"/>
    </row>
    <row r="137" spans="1:47" ht="15.75" customHeight="1" thickBot="1" x14ac:dyDescent="0.45">
      <c r="A137" s="76"/>
      <c r="B137" s="92"/>
      <c r="C137" s="92"/>
      <c r="D137" s="76"/>
      <c r="E137" s="76"/>
      <c r="F137" s="76"/>
      <c r="G137" s="76"/>
      <c r="H137" s="76"/>
      <c r="I137" s="76"/>
      <c r="J137" s="76"/>
      <c r="K137" s="76"/>
      <c r="L137" s="76"/>
      <c r="M137" s="76"/>
      <c r="N137" s="76"/>
      <c r="O137" s="76"/>
      <c r="P137" s="76"/>
      <c r="Q137" s="76"/>
      <c r="R137" s="76"/>
      <c r="S137" s="76"/>
      <c r="T137" s="76"/>
      <c r="U137" s="76"/>
      <c r="V137" s="76"/>
      <c r="W137" s="76"/>
      <c r="X137" s="76"/>
      <c r="Y137" s="76"/>
      <c r="Z137" s="76"/>
      <c r="AA137" s="76"/>
      <c r="AB137" s="76"/>
      <c r="AC137" s="76"/>
      <c r="AD137" s="76"/>
      <c r="AE137" s="76"/>
      <c r="AF137" s="76"/>
      <c r="AG137" s="76"/>
      <c r="AH137" s="76"/>
      <c r="AI137" s="76"/>
      <c r="AJ137" s="76"/>
      <c r="AK137" s="76"/>
      <c r="AL137" s="76"/>
      <c r="AM137" s="76"/>
      <c r="AN137" s="76"/>
      <c r="AO137" s="92"/>
      <c r="AP137" s="76"/>
      <c r="AQ137" s="76"/>
      <c r="AR137" s="76"/>
      <c r="AS137" s="76"/>
      <c r="AT137" s="76"/>
      <c r="AU137" s="76"/>
    </row>
    <row r="138" spans="1:47" ht="15.75" customHeight="1" thickBot="1" x14ac:dyDescent="0.45">
      <c r="A138" s="76"/>
      <c r="B138" s="92"/>
      <c r="C138" s="92"/>
      <c r="D138" s="76"/>
      <c r="E138" s="76"/>
      <c r="F138" s="76"/>
      <c r="G138" s="76"/>
      <c r="H138" s="76"/>
      <c r="I138" s="76"/>
      <c r="J138" s="76"/>
      <c r="K138" s="76"/>
      <c r="L138" s="76"/>
      <c r="M138" s="76"/>
      <c r="N138" s="76"/>
      <c r="O138" s="76"/>
      <c r="P138" s="76"/>
      <c r="Q138" s="76"/>
      <c r="R138" s="76"/>
      <c r="S138" s="76"/>
      <c r="T138" s="76"/>
      <c r="U138" s="76"/>
      <c r="V138" s="76"/>
      <c r="W138" s="76"/>
      <c r="X138" s="76"/>
      <c r="Y138" s="76"/>
      <c r="Z138" s="76"/>
      <c r="AA138" s="76"/>
      <c r="AB138" s="76"/>
      <c r="AC138" s="76"/>
      <c r="AD138" s="76"/>
      <c r="AE138" s="76"/>
      <c r="AF138" s="76"/>
      <c r="AG138" s="76"/>
      <c r="AH138" s="76"/>
      <c r="AI138" s="76"/>
      <c r="AJ138" s="76"/>
      <c r="AK138" s="76"/>
      <c r="AL138" s="76"/>
      <c r="AM138" s="76"/>
      <c r="AN138" s="76"/>
      <c r="AO138" s="92"/>
      <c r="AP138" s="76"/>
      <c r="AQ138" s="76"/>
      <c r="AR138" s="76"/>
      <c r="AS138" s="76"/>
      <c r="AT138" s="76"/>
      <c r="AU138" s="76"/>
    </row>
    <row r="139" spans="1:47" ht="15.75" customHeight="1" thickBot="1" x14ac:dyDescent="0.45">
      <c r="A139" s="76"/>
      <c r="B139" s="92"/>
      <c r="C139" s="92"/>
      <c r="D139" s="76"/>
      <c r="E139" s="76"/>
      <c r="F139" s="76"/>
      <c r="G139" s="76"/>
      <c r="H139" s="76"/>
      <c r="I139" s="76"/>
      <c r="J139" s="76"/>
      <c r="K139" s="76"/>
      <c r="L139" s="76"/>
      <c r="M139" s="76"/>
      <c r="N139" s="76"/>
      <c r="O139" s="76"/>
      <c r="P139" s="76"/>
      <c r="Q139" s="76"/>
      <c r="R139" s="76"/>
      <c r="S139" s="76"/>
      <c r="T139" s="76"/>
      <c r="U139" s="76"/>
      <c r="V139" s="76"/>
      <c r="W139" s="76"/>
      <c r="X139" s="76"/>
      <c r="Y139" s="76"/>
      <c r="Z139" s="76"/>
      <c r="AA139" s="76"/>
      <c r="AB139" s="76"/>
      <c r="AC139" s="76"/>
      <c r="AD139" s="76"/>
      <c r="AE139" s="76"/>
      <c r="AF139" s="76"/>
      <c r="AG139" s="76"/>
      <c r="AH139" s="76"/>
      <c r="AI139" s="76"/>
      <c r="AJ139" s="76"/>
      <c r="AK139" s="76"/>
      <c r="AL139" s="76"/>
      <c r="AM139" s="76"/>
      <c r="AN139" s="76"/>
      <c r="AO139" s="92"/>
      <c r="AP139" s="76"/>
      <c r="AQ139" s="76"/>
      <c r="AR139" s="76"/>
      <c r="AS139" s="76"/>
      <c r="AT139" s="76"/>
      <c r="AU139" s="76"/>
    </row>
    <row r="140" spans="1:47" ht="15.75" customHeight="1" thickBot="1" x14ac:dyDescent="0.45">
      <c r="A140" s="76"/>
      <c r="B140" s="92"/>
      <c r="C140" s="92"/>
      <c r="D140" s="76"/>
      <c r="E140" s="76"/>
      <c r="F140" s="76"/>
      <c r="G140" s="76"/>
      <c r="H140" s="76"/>
      <c r="I140" s="76"/>
      <c r="J140" s="76"/>
      <c r="K140" s="76"/>
      <c r="L140" s="76"/>
      <c r="M140" s="76"/>
      <c r="N140" s="76"/>
      <c r="O140" s="76"/>
      <c r="P140" s="76"/>
      <c r="Q140" s="76"/>
      <c r="R140" s="76"/>
      <c r="S140" s="76"/>
      <c r="T140" s="76"/>
      <c r="U140" s="76"/>
      <c r="V140" s="76"/>
      <c r="W140" s="76"/>
      <c r="X140" s="76"/>
      <c r="Y140" s="76"/>
      <c r="Z140" s="76"/>
      <c r="AA140" s="76"/>
      <c r="AB140" s="76"/>
      <c r="AC140" s="76"/>
      <c r="AD140" s="76"/>
      <c r="AE140" s="76"/>
      <c r="AF140" s="76"/>
      <c r="AG140" s="76"/>
      <c r="AH140" s="76"/>
      <c r="AI140" s="76"/>
      <c r="AJ140" s="76"/>
      <c r="AK140" s="76"/>
      <c r="AL140" s="76"/>
      <c r="AM140" s="76"/>
      <c r="AN140" s="76"/>
      <c r="AO140" s="92"/>
      <c r="AP140" s="76"/>
      <c r="AQ140" s="76"/>
      <c r="AR140" s="76"/>
      <c r="AS140" s="76"/>
      <c r="AT140" s="76"/>
      <c r="AU140" s="76"/>
    </row>
    <row r="141" spans="1:47" ht="15.75" customHeight="1" thickBot="1" x14ac:dyDescent="0.45">
      <c r="A141" s="76"/>
      <c r="B141" s="92"/>
      <c r="C141" s="92"/>
      <c r="D141" s="76"/>
      <c r="E141" s="76"/>
      <c r="F141" s="76"/>
      <c r="G141" s="76"/>
      <c r="H141" s="76"/>
      <c r="I141" s="76"/>
      <c r="J141" s="76"/>
      <c r="K141" s="76"/>
      <c r="L141" s="76"/>
      <c r="M141" s="76"/>
      <c r="N141" s="76"/>
      <c r="O141" s="76"/>
      <c r="P141" s="76"/>
      <c r="Q141" s="76"/>
      <c r="R141" s="76"/>
      <c r="S141" s="76"/>
      <c r="T141" s="76"/>
      <c r="U141" s="76"/>
      <c r="V141" s="76"/>
      <c r="W141" s="76"/>
      <c r="X141" s="76"/>
      <c r="Y141" s="76"/>
      <c r="Z141" s="76"/>
      <c r="AA141" s="76"/>
      <c r="AB141" s="76"/>
      <c r="AC141" s="76"/>
      <c r="AD141" s="76"/>
      <c r="AE141" s="76"/>
      <c r="AF141" s="76"/>
      <c r="AG141" s="76"/>
      <c r="AH141" s="76"/>
      <c r="AI141" s="76"/>
      <c r="AJ141" s="76"/>
      <c r="AK141" s="76"/>
      <c r="AL141" s="76"/>
      <c r="AM141" s="76"/>
      <c r="AN141" s="76"/>
      <c r="AO141" s="92"/>
      <c r="AP141" s="76"/>
      <c r="AQ141" s="76"/>
      <c r="AR141" s="76"/>
      <c r="AS141" s="76"/>
      <c r="AT141" s="76"/>
      <c r="AU141" s="76"/>
    </row>
    <row r="142" spans="1:47" ht="15.75" customHeight="1" thickBot="1" x14ac:dyDescent="0.45">
      <c r="A142" s="76"/>
      <c r="B142" s="92"/>
      <c r="C142" s="92"/>
      <c r="D142" s="76"/>
      <c r="E142" s="76"/>
      <c r="F142" s="76"/>
      <c r="G142" s="76"/>
      <c r="H142" s="76"/>
      <c r="I142" s="76"/>
      <c r="J142" s="76"/>
      <c r="K142" s="76"/>
      <c r="L142" s="76"/>
      <c r="M142" s="76"/>
      <c r="N142" s="76"/>
      <c r="O142" s="76"/>
      <c r="P142" s="76"/>
      <c r="Q142" s="76"/>
      <c r="R142" s="76"/>
      <c r="S142" s="76"/>
      <c r="T142" s="76"/>
      <c r="U142" s="76"/>
      <c r="V142" s="76"/>
      <c r="W142" s="76"/>
      <c r="X142" s="76"/>
      <c r="Y142" s="76"/>
      <c r="Z142" s="76"/>
      <c r="AA142" s="76"/>
      <c r="AB142" s="76"/>
      <c r="AC142" s="76"/>
      <c r="AD142" s="76"/>
      <c r="AE142" s="76"/>
      <c r="AF142" s="76"/>
      <c r="AG142" s="76"/>
      <c r="AH142" s="76"/>
      <c r="AI142" s="76"/>
      <c r="AJ142" s="76"/>
      <c r="AK142" s="76"/>
      <c r="AL142" s="76"/>
      <c r="AM142" s="76"/>
      <c r="AN142" s="76"/>
      <c r="AO142" s="92"/>
      <c r="AP142" s="76"/>
      <c r="AQ142" s="76"/>
      <c r="AR142" s="76"/>
      <c r="AS142" s="76"/>
      <c r="AT142" s="76"/>
      <c r="AU142" s="76"/>
    </row>
    <row r="143" spans="1:47" ht="15.75" customHeight="1" thickBot="1" x14ac:dyDescent="0.45">
      <c r="A143" s="76"/>
      <c r="B143" s="92"/>
      <c r="C143" s="92"/>
      <c r="D143" s="76"/>
      <c r="E143" s="76"/>
      <c r="F143" s="76"/>
      <c r="G143" s="76"/>
      <c r="H143" s="76"/>
      <c r="I143" s="76"/>
      <c r="J143" s="76"/>
      <c r="K143" s="76"/>
      <c r="L143" s="76"/>
      <c r="M143" s="76"/>
      <c r="N143" s="76"/>
      <c r="O143" s="76"/>
      <c r="P143" s="76"/>
      <c r="Q143" s="76"/>
      <c r="R143" s="76"/>
      <c r="S143" s="76"/>
      <c r="T143" s="76"/>
      <c r="U143" s="76"/>
      <c r="V143" s="76"/>
      <c r="W143" s="76"/>
      <c r="X143" s="76"/>
      <c r="Y143" s="76"/>
      <c r="Z143" s="76"/>
      <c r="AA143" s="76"/>
      <c r="AB143" s="76"/>
      <c r="AC143" s="76"/>
      <c r="AD143" s="76"/>
      <c r="AE143" s="76"/>
      <c r="AF143" s="76"/>
      <c r="AG143" s="76"/>
      <c r="AH143" s="76"/>
      <c r="AI143" s="76"/>
      <c r="AJ143" s="76"/>
      <c r="AK143" s="76"/>
      <c r="AL143" s="76"/>
      <c r="AM143" s="76"/>
      <c r="AN143" s="76"/>
      <c r="AO143" s="92"/>
      <c r="AP143" s="76"/>
      <c r="AQ143" s="76"/>
      <c r="AR143" s="76"/>
      <c r="AS143" s="76"/>
      <c r="AT143" s="76"/>
      <c r="AU143" s="76"/>
    </row>
    <row r="144" spans="1:47" ht="15.75" customHeight="1" thickBot="1" x14ac:dyDescent="0.45">
      <c r="A144" s="76"/>
      <c r="B144" s="92"/>
      <c r="C144" s="92"/>
      <c r="D144" s="76"/>
      <c r="E144" s="76"/>
      <c r="F144" s="76"/>
      <c r="G144" s="76"/>
      <c r="H144" s="76"/>
      <c r="I144" s="76"/>
      <c r="J144" s="76"/>
      <c r="K144" s="76"/>
      <c r="L144" s="76"/>
      <c r="M144" s="76"/>
      <c r="N144" s="76"/>
      <c r="O144" s="76"/>
      <c r="P144" s="76"/>
      <c r="Q144" s="76"/>
      <c r="R144" s="76"/>
      <c r="S144" s="76"/>
      <c r="T144" s="76"/>
      <c r="U144" s="76"/>
      <c r="V144" s="76"/>
      <c r="W144" s="76"/>
      <c r="X144" s="76"/>
      <c r="Y144" s="76"/>
      <c r="Z144" s="76"/>
      <c r="AA144" s="76"/>
      <c r="AB144" s="76"/>
      <c r="AC144" s="76"/>
      <c r="AD144" s="76"/>
      <c r="AE144" s="76"/>
      <c r="AF144" s="76"/>
      <c r="AG144" s="76"/>
      <c r="AH144" s="76"/>
      <c r="AI144" s="76"/>
      <c r="AJ144" s="76"/>
      <c r="AK144" s="76"/>
      <c r="AL144" s="76"/>
      <c r="AM144" s="76"/>
      <c r="AN144" s="76"/>
      <c r="AO144" s="92"/>
      <c r="AP144" s="76"/>
      <c r="AQ144" s="76"/>
      <c r="AR144" s="76"/>
      <c r="AS144" s="76"/>
      <c r="AT144" s="76"/>
      <c r="AU144" s="76"/>
    </row>
    <row r="145" spans="1:47" ht="15.75" customHeight="1" thickBot="1" x14ac:dyDescent="0.45">
      <c r="A145" s="76"/>
      <c r="B145" s="92"/>
      <c r="C145" s="92"/>
      <c r="D145" s="76"/>
      <c r="E145" s="76"/>
      <c r="F145" s="76"/>
      <c r="G145" s="76"/>
      <c r="H145" s="76"/>
      <c r="I145" s="76"/>
      <c r="J145" s="76"/>
      <c r="K145" s="76"/>
      <c r="L145" s="76"/>
      <c r="M145" s="76"/>
      <c r="N145" s="76"/>
      <c r="O145" s="76"/>
      <c r="P145" s="76"/>
      <c r="Q145" s="76"/>
      <c r="R145" s="76"/>
      <c r="S145" s="76"/>
      <c r="T145" s="76"/>
      <c r="U145" s="76"/>
      <c r="V145" s="76"/>
      <c r="W145" s="76"/>
      <c r="X145" s="76"/>
      <c r="Y145" s="76"/>
      <c r="Z145" s="76"/>
      <c r="AA145" s="76"/>
      <c r="AB145" s="76"/>
      <c r="AC145" s="76"/>
      <c r="AD145" s="76"/>
      <c r="AE145" s="76"/>
      <c r="AF145" s="76"/>
      <c r="AG145" s="76"/>
      <c r="AH145" s="76"/>
      <c r="AI145" s="76"/>
      <c r="AJ145" s="76"/>
      <c r="AK145" s="76"/>
      <c r="AL145" s="76"/>
      <c r="AM145" s="76"/>
      <c r="AN145" s="76"/>
      <c r="AO145" s="92"/>
      <c r="AP145" s="76"/>
      <c r="AQ145" s="76"/>
      <c r="AR145" s="76"/>
      <c r="AS145" s="76"/>
      <c r="AT145" s="76"/>
      <c r="AU145" s="76"/>
    </row>
    <row r="146" spans="1:47" ht="15.75" customHeight="1" thickBot="1" x14ac:dyDescent="0.45">
      <c r="A146" s="76"/>
      <c r="B146" s="92"/>
      <c r="C146" s="92"/>
      <c r="D146" s="76"/>
      <c r="E146" s="76"/>
      <c r="F146" s="76"/>
      <c r="G146" s="76"/>
      <c r="H146" s="76"/>
      <c r="I146" s="76"/>
      <c r="J146" s="76"/>
      <c r="K146" s="76"/>
      <c r="L146" s="76"/>
      <c r="M146" s="76"/>
      <c r="N146" s="76"/>
      <c r="O146" s="76"/>
      <c r="P146" s="76"/>
      <c r="Q146" s="76"/>
      <c r="R146" s="76"/>
      <c r="S146" s="76"/>
      <c r="T146" s="76"/>
      <c r="U146" s="76"/>
      <c r="V146" s="76"/>
      <c r="W146" s="76"/>
      <c r="X146" s="76"/>
      <c r="Y146" s="76"/>
      <c r="Z146" s="76"/>
      <c r="AA146" s="76"/>
      <c r="AB146" s="76"/>
      <c r="AC146" s="76"/>
      <c r="AD146" s="76"/>
      <c r="AE146" s="76"/>
      <c r="AF146" s="76"/>
      <c r="AG146" s="76"/>
      <c r="AH146" s="76"/>
      <c r="AI146" s="76"/>
      <c r="AJ146" s="76"/>
      <c r="AK146" s="76"/>
      <c r="AL146" s="76"/>
      <c r="AM146" s="76"/>
      <c r="AN146" s="76"/>
      <c r="AO146" s="92"/>
      <c r="AP146" s="76"/>
      <c r="AQ146" s="76"/>
      <c r="AR146" s="76"/>
      <c r="AS146" s="76"/>
      <c r="AT146" s="76"/>
      <c r="AU146" s="76"/>
    </row>
    <row r="147" spans="1:47" ht="15.75" customHeight="1" thickBot="1" x14ac:dyDescent="0.45">
      <c r="A147" s="76"/>
      <c r="B147" s="92"/>
      <c r="C147" s="92"/>
      <c r="D147" s="76"/>
      <c r="E147" s="76"/>
      <c r="F147" s="76"/>
      <c r="G147" s="76"/>
      <c r="H147" s="76"/>
      <c r="I147" s="76"/>
      <c r="J147" s="76"/>
      <c r="K147" s="76"/>
      <c r="L147" s="76"/>
      <c r="M147" s="76"/>
      <c r="N147" s="76"/>
      <c r="O147" s="76"/>
      <c r="P147" s="76"/>
      <c r="Q147" s="76"/>
      <c r="R147" s="76"/>
      <c r="S147" s="76"/>
      <c r="T147" s="76"/>
      <c r="U147" s="76"/>
      <c r="V147" s="76"/>
      <c r="W147" s="76"/>
      <c r="X147" s="76"/>
      <c r="Y147" s="76"/>
      <c r="Z147" s="76"/>
      <c r="AA147" s="76"/>
      <c r="AB147" s="76"/>
      <c r="AC147" s="76"/>
      <c r="AD147" s="76"/>
      <c r="AE147" s="76"/>
      <c r="AF147" s="76"/>
      <c r="AG147" s="76"/>
      <c r="AH147" s="76"/>
      <c r="AI147" s="76"/>
      <c r="AJ147" s="76"/>
      <c r="AK147" s="76"/>
      <c r="AL147" s="76"/>
      <c r="AM147" s="76"/>
      <c r="AN147" s="76"/>
      <c r="AO147" s="92"/>
      <c r="AP147" s="76"/>
      <c r="AQ147" s="76"/>
      <c r="AR147" s="76"/>
      <c r="AS147" s="76"/>
      <c r="AT147" s="76"/>
      <c r="AU147" s="76"/>
    </row>
    <row r="148" spans="1:47" ht="15.75" customHeight="1" thickBot="1" x14ac:dyDescent="0.45">
      <c r="A148" s="76"/>
      <c r="B148" s="92"/>
      <c r="C148" s="92"/>
      <c r="D148" s="76"/>
      <c r="E148" s="76"/>
      <c r="F148" s="76"/>
      <c r="G148" s="76"/>
      <c r="H148" s="76"/>
      <c r="I148" s="76"/>
      <c r="J148" s="76"/>
      <c r="K148" s="76"/>
      <c r="L148" s="76"/>
      <c r="M148" s="76"/>
      <c r="N148" s="76"/>
      <c r="O148" s="76"/>
      <c r="P148" s="76"/>
      <c r="Q148" s="76"/>
      <c r="R148" s="76"/>
      <c r="S148" s="76"/>
      <c r="T148" s="76"/>
      <c r="U148" s="76"/>
      <c r="V148" s="76"/>
      <c r="W148" s="76"/>
      <c r="X148" s="76"/>
      <c r="Y148" s="76"/>
      <c r="Z148" s="76"/>
      <c r="AA148" s="76"/>
      <c r="AB148" s="76"/>
      <c r="AC148" s="76"/>
      <c r="AD148" s="76"/>
      <c r="AE148" s="76"/>
      <c r="AF148" s="76"/>
      <c r="AG148" s="76"/>
      <c r="AH148" s="76"/>
      <c r="AI148" s="76"/>
      <c r="AJ148" s="76"/>
      <c r="AK148" s="76"/>
      <c r="AL148" s="76"/>
      <c r="AM148" s="76"/>
      <c r="AN148" s="76"/>
      <c r="AO148" s="92"/>
      <c r="AP148" s="76"/>
      <c r="AQ148" s="76"/>
      <c r="AR148" s="76"/>
      <c r="AS148" s="76"/>
      <c r="AT148" s="76"/>
      <c r="AU148" s="76"/>
    </row>
    <row r="149" spans="1:47" ht="15.75" customHeight="1" thickBot="1" x14ac:dyDescent="0.45">
      <c r="A149" s="76"/>
      <c r="B149" s="92"/>
      <c r="C149" s="92"/>
      <c r="D149" s="76"/>
      <c r="E149" s="76"/>
      <c r="F149" s="76"/>
      <c r="G149" s="76"/>
      <c r="H149" s="76"/>
      <c r="I149" s="76"/>
      <c r="J149" s="76"/>
      <c r="K149" s="76"/>
      <c r="L149" s="76"/>
      <c r="M149" s="76"/>
      <c r="N149" s="76"/>
      <c r="O149" s="76"/>
      <c r="P149" s="76"/>
      <c r="Q149" s="76"/>
      <c r="R149" s="76"/>
      <c r="S149" s="76"/>
      <c r="T149" s="76"/>
      <c r="U149" s="76"/>
      <c r="V149" s="76"/>
      <c r="W149" s="76"/>
      <c r="X149" s="76"/>
      <c r="Y149" s="76"/>
      <c r="Z149" s="76"/>
      <c r="AA149" s="76"/>
      <c r="AB149" s="76"/>
      <c r="AC149" s="76"/>
      <c r="AD149" s="76"/>
      <c r="AE149" s="76"/>
      <c r="AF149" s="76"/>
      <c r="AG149" s="76"/>
      <c r="AH149" s="76"/>
      <c r="AI149" s="76"/>
      <c r="AJ149" s="76"/>
      <c r="AK149" s="76"/>
      <c r="AL149" s="76"/>
      <c r="AM149" s="76"/>
      <c r="AN149" s="76"/>
      <c r="AO149" s="92"/>
      <c r="AP149" s="76"/>
      <c r="AQ149" s="76"/>
      <c r="AR149" s="76"/>
      <c r="AS149" s="76"/>
      <c r="AT149" s="76"/>
      <c r="AU149" s="76"/>
    </row>
    <row r="150" spans="1:47" ht="15.75" customHeight="1" thickBot="1" x14ac:dyDescent="0.45">
      <c r="A150" s="76"/>
      <c r="B150" s="92"/>
      <c r="C150" s="92"/>
      <c r="D150" s="76"/>
      <c r="E150" s="76"/>
      <c r="F150" s="76"/>
      <c r="G150" s="76"/>
      <c r="H150" s="76"/>
      <c r="I150" s="76"/>
      <c r="J150" s="76"/>
      <c r="K150" s="76"/>
      <c r="L150" s="76"/>
      <c r="M150" s="76"/>
      <c r="N150" s="76"/>
      <c r="O150" s="76"/>
      <c r="P150" s="76"/>
      <c r="Q150" s="76"/>
      <c r="R150" s="76"/>
      <c r="S150" s="76"/>
      <c r="T150" s="76"/>
      <c r="U150" s="76"/>
      <c r="V150" s="76"/>
      <c r="W150" s="76"/>
      <c r="X150" s="76"/>
      <c r="Y150" s="76"/>
      <c r="Z150" s="76"/>
      <c r="AA150" s="76"/>
      <c r="AB150" s="76"/>
      <c r="AC150" s="76"/>
      <c r="AD150" s="76"/>
      <c r="AE150" s="76"/>
      <c r="AF150" s="76"/>
      <c r="AG150" s="76"/>
      <c r="AH150" s="76"/>
      <c r="AI150" s="76"/>
      <c r="AJ150" s="76"/>
      <c r="AK150" s="76"/>
      <c r="AL150" s="76"/>
      <c r="AM150" s="76"/>
      <c r="AN150" s="76"/>
      <c r="AO150" s="92"/>
      <c r="AP150" s="76"/>
      <c r="AQ150" s="76"/>
      <c r="AR150" s="76"/>
      <c r="AS150" s="76"/>
      <c r="AT150" s="76"/>
      <c r="AU150" s="76"/>
    </row>
    <row r="151" spans="1:47" ht="15.75" customHeight="1" thickBot="1" x14ac:dyDescent="0.45">
      <c r="A151" s="76"/>
      <c r="B151" s="92"/>
      <c r="C151" s="92"/>
      <c r="D151" s="76"/>
      <c r="E151" s="76"/>
      <c r="F151" s="76"/>
      <c r="G151" s="76"/>
      <c r="H151" s="76"/>
      <c r="I151" s="76"/>
      <c r="J151" s="76"/>
      <c r="K151" s="76"/>
      <c r="L151" s="76"/>
      <c r="M151" s="76"/>
      <c r="N151" s="76"/>
      <c r="O151" s="76"/>
      <c r="P151" s="76"/>
      <c r="Q151" s="76"/>
      <c r="R151" s="76"/>
      <c r="S151" s="76"/>
      <c r="T151" s="76"/>
      <c r="U151" s="76"/>
      <c r="V151" s="76"/>
      <c r="W151" s="76"/>
      <c r="X151" s="76"/>
      <c r="Y151" s="76"/>
      <c r="Z151" s="76"/>
      <c r="AA151" s="76"/>
      <c r="AB151" s="76"/>
      <c r="AC151" s="76"/>
      <c r="AD151" s="76"/>
      <c r="AE151" s="76"/>
      <c r="AF151" s="76"/>
      <c r="AG151" s="76"/>
      <c r="AH151" s="76"/>
      <c r="AI151" s="76"/>
      <c r="AJ151" s="76"/>
      <c r="AK151" s="76"/>
      <c r="AL151" s="76"/>
      <c r="AM151" s="76"/>
      <c r="AN151" s="76"/>
      <c r="AO151" s="92"/>
      <c r="AP151" s="76"/>
      <c r="AQ151" s="76"/>
      <c r="AR151" s="76"/>
      <c r="AS151" s="76"/>
      <c r="AT151" s="76"/>
      <c r="AU151" s="76"/>
    </row>
    <row r="152" spans="1:47" ht="15.75" customHeight="1" thickBot="1" x14ac:dyDescent="0.45">
      <c r="A152" s="76"/>
      <c r="B152" s="92"/>
      <c r="C152" s="92"/>
      <c r="D152" s="76"/>
      <c r="E152" s="76"/>
      <c r="F152" s="76"/>
      <c r="G152" s="76"/>
      <c r="H152" s="76"/>
      <c r="I152" s="76"/>
      <c r="J152" s="76"/>
      <c r="K152" s="76"/>
      <c r="L152" s="76"/>
      <c r="M152" s="76"/>
      <c r="N152" s="76"/>
      <c r="O152" s="76"/>
      <c r="P152" s="76"/>
      <c r="Q152" s="76"/>
      <c r="R152" s="76"/>
      <c r="S152" s="76"/>
      <c r="T152" s="76"/>
      <c r="U152" s="76"/>
      <c r="V152" s="76"/>
      <c r="W152" s="76"/>
      <c r="X152" s="76"/>
      <c r="Y152" s="76"/>
      <c r="Z152" s="76"/>
      <c r="AA152" s="76"/>
      <c r="AB152" s="76"/>
      <c r="AC152" s="76"/>
      <c r="AD152" s="76"/>
      <c r="AE152" s="76"/>
      <c r="AF152" s="76"/>
      <c r="AG152" s="76"/>
      <c r="AH152" s="76"/>
      <c r="AI152" s="76"/>
      <c r="AJ152" s="76"/>
      <c r="AK152" s="76"/>
      <c r="AL152" s="76"/>
      <c r="AM152" s="76"/>
      <c r="AN152" s="76"/>
      <c r="AO152" s="92"/>
      <c r="AP152" s="76"/>
      <c r="AQ152" s="76"/>
      <c r="AR152" s="76"/>
      <c r="AS152" s="76"/>
      <c r="AT152" s="76"/>
      <c r="AU152" s="76"/>
    </row>
    <row r="153" spans="1:47" ht="15.75" customHeight="1" thickBot="1" x14ac:dyDescent="0.45">
      <c r="A153" s="76"/>
      <c r="B153" s="92"/>
      <c r="C153" s="92"/>
      <c r="D153" s="76"/>
      <c r="E153" s="76"/>
      <c r="F153" s="76"/>
      <c r="G153" s="76"/>
      <c r="H153" s="76"/>
      <c r="I153" s="76"/>
      <c r="J153" s="76"/>
      <c r="K153" s="76"/>
      <c r="L153" s="76"/>
      <c r="M153" s="76"/>
      <c r="N153" s="76"/>
      <c r="O153" s="76"/>
      <c r="P153" s="76"/>
      <c r="Q153" s="76"/>
      <c r="R153" s="76"/>
      <c r="S153" s="76"/>
      <c r="T153" s="76"/>
      <c r="U153" s="76"/>
      <c r="V153" s="76"/>
      <c r="W153" s="76"/>
      <c r="X153" s="76"/>
      <c r="Y153" s="76"/>
      <c r="Z153" s="76"/>
      <c r="AA153" s="76"/>
      <c r="AB153" s="76"/>
      <c r="AC153" s="76"/>
      <c r="AD153" s="76"/>
      <c r="AE153" s="76"/>
      <c r="AF153" s="76"/>
      <c r="AG153" s="76"/>
      <c r="AH153" s="76"/>
      <c r="AI153" s="76"/>
      <c r="AJ153" s="76"/>
      <c r="AK153" s="76"/>
      <c r="AL153" s="76"/>
      <c r="AM153" s="76"/>
      <c r="AN153" s="76"/>
      <c r="AO153" s="92"/>
      <c r="AP153" s="76"/>
      <c r="AQ153" s="76"/>
      <c r="AR153" s="76"/>
      <c r="AS153" s="76"/>
      <c r="AT153" s="76"/>
      <c r="AU153" s="76"/>
    </row>
    <row r="154" spans="1:47" ht="15.75" customHeight="1" thickBot="1" x14ac:dyDescent="0.45">
      <c r="A154" s="76"/>
      <c r="B154" s="92"/>
      <c r="C154" s="92"/>
      <c r="D154" s="76"/>
      <c r="E154" s="76"/>
      <c r="F154" s="76"/>
      <c r="G154" s="76"/>
      <c r="H154" s="76"/>
      <c r="I154" s="76"/>
      <c r="J154" s="76"/>
      <c r="K154" s="76"/>
      <c r="L154" s="76"/>
      <c r="M154" s="76"/>
      <c r="N154" s="76"/>
      <c r="O154" s="76"/>
      <c r="P154" s="76"/>
      <c r="Q154" s="76"/>
      <c r="R154" s="76"/>
      <c r="S154" s="76"/>
      <c r="T154" s="76"/>
      <c r="U154" s="76"/>
      <c r="V154" s="76"/>
      <c r="W154" s="76"/>
      <c r="X154" s="76"/>
      <c r="Y154" s="76"/>
      <c r="Z154" s="76"/>
      <c r="AA154" s="76"/>
      <c r="AB154" s="76"/>
      <c r="AC154" s="76"/>
      <c r="AD154" s="76"/>
      <c r="AE154" s="76"/>
      <c r="AF154" s="76"/>
      <c r="AG154" s="76"/>
      <c r="AH154" s="76"/>
      <c r="AI154" s="76"/>
      <c r="AJ154" s="76"/>
      <c r="AK154" s="76"/>
      <c r="AL154" s="76"/>
      <c r="AM154" s="76"/>
      <c r="AN154" s="76"/>
      <c r="AO154" s="92"/>
      <c r="AP154" s="76"/>
      <c r="AQ154" s="76"/>
      <c r="AR154" s="76"/>
      <c r="AS154" s="76"/>
      <c r="AT154" s="76"/>
      <c r="AU154" s="76"/>
    </row>
    <row r="155" spans="1:47" ht="15.75" customHeight="1" thickBot="1" x14ac:dyDescent="0.45">
      <c r="A155" s="76"/>
      <c r="B155" s="92"/>
      <c r="C155" s="92"/>
      <c r="D155" s="76"/>
      <c r="E155" s="76"/>
      <c r="F155" s="76"/>
      <c r="G155" s="76"/>
      <c r="H155" s="76"/>
      <c r="I155" s="76"/>
      <c r="J155" s="76"/>
      <c r="K155" s="76"/>
      <c r="L155" s="76"/>
      <c r="M155" s="76"/>
      <c r="N155" s="76"/>
      <c r="O155" s="76"/>
      <c r="P155" s="76"/>
      <c r="Q155" s="76"/>
      <c r="R155" s="76"/>
      <c r="S155" s="76"/>
      <c r="T155" s="76"/>
      <c r="U155" s="76"/>
      <c r="V155" s="76"/>
      <c r="W155" s="76"/>
      <c r="X155" s="76"/>
      <c r="Y155" s="76"/>
      <c r="Z155" s="76"/>
      <c r="AA155" s="76"/>
      <c r="AB155" s="76"/>
      <c r="AC155" s="76"/>
      <c r="AD155" s="76"/>
      <c r="AE155" s="76"/>
      <c r="AF155" s="76"/>
      <c r="AG155" s="76"/>
      <c r="AH155" s="76"/>
      <c r="AI155" s="76"/>
      <c r="AJ155" s="76"/>
      <c r="AK155" s="76"/>
      <c r="AL155" s="76"/>
      <c r="AM155" s="76"/>
      <c r="AN155" s="76"/>
      <c r="AO155" s="92"/>
      <c r="AP155" s="76"/>
      <c r="AQ155" s="76"/>
      <c r="AR155" s="76"/>
      <c r="AS155" s="76"/>
      <c r="AT155" s="76"/>
      <c r="AU155" s="76"/>
    </row>
    <row r="156" spans="1:47" ht="15.75" customHeight="1" thickBot="1" x14ac:dyDescent="0.45">
      <c r="A156" s="76"/>
      <c r="B156" s="92"/>
      <c r="C156" s="92"/>
      <c r="D156" s="76"/>
      <c r="E156" s="76"/>
      <c r="F156" s="76"/>
      <c r="G156" s="76"/>
      <c r="H156" s="76"/>
      <c r="I156" s="76"/>
      <c r="J156" s="76"/>
      <c r="K156" s="76"/>
      <c r="L156" s="76"/>
      <c r="M156" s="76"/>
      <c r="N156" s="76"/>
      <c r="O156" s="76"/>
      <c r="P156" s="76"/>
      <c r="Q156" s="76"/>
      <c r="R156" s="76"/>
      <c r="S156" s="76"/>
      <c r="T156" s="76"/>
      <c r="U156" s="76"/>
      <c r="V156" s="76"/>
      <c r="W156" s="76"/>
      <c r="X156" s="76"/>
      <c r="Y156" s="76"/>
      <c r="Z156" s="76"/>
      <c r="AA156" s="76"/>
      <c r="AB156" s="76"/>
      <c r="AC156" s="76"/>
      <c r="AD156" s="76"/>
      <c r="AE156" s="76"/>
      <c r="AF156" s="76"/>
      <c r="AG156" s="76"/>
      <c r="AH156" s="76"/>
      <c r="AI156" s="76"/>
      <c r="AJ156" s="76"/>
      <c r="AK156" s="76"/>
      <c r="AL156" s="76"/>
      <c r="AM156" s="76"/>
      <c r="AN156" s="76"/>
      <c r="AO156" s="92"/>
      <c r="AP156" s="76"/>
      <c r="AQ156" s="76"/>
      <c r="AR156" s="76"/>
      <c r="AS156" s="76"/>
      <c r="AT156" s="76"/>
      <c r="AU156" s="76"/>
    </row>
    <row r="157" spans="1:47" ht="15.75" customHeight="1" thickBot="1" x14ac:dyDescent="0.45">
      <c r="A157" s="76"/>
      <c r="B157" s="92"/>
      <c r="C157" s="92"/>
      <c r="D157" s="76"/>
      <c r="E157" s="76"/>
      <c r="F157" s="76"/>
      <c r="G157" s="76"/>
      <c r="H157" s="76"/>
      <c r="I157" s="76"/>
      <c r="J157" s="76"/>
      <c r="K157" s="76"/>
      <c r="L157" s="76"/>
      <c r="M157" s="76"/>
      <c r="N157" s="76"/>
      <c r="O157" s="76"/>
      <c r="P157" s="76"/>
      <c r="Q157" s="76"/>
      <c r="R157" s="76"/>
      <c r="S157" s="76"/>
      <c r="T157" s="76"/>
      <c r="U157" s="76"/>
      <c r="V157" s="76"/>
      <c r="W157" s="76"/>
      <c r="X157" s="76"/>
      <c r="Y157" s="76"/>
      <c r="Z157" s="76"/>
      <c r="AA157" s="76"/>
      <c r="AB157" s="76"/>
      <c r="AC157" s="76"/>
      <c r="AD157" s="76"/>
      <c r="AE157" s="76"/>
      <c r="AF157" s="76"/>
      <c r="AG157" s="76"/>
      <c r="AH157" s="76"/>
      <c r="AI157" s="76"/>
      <c r="AJ157" s="76"/>
      <c r="AK157" s="76"/>
      <c r="AL157" s="76"/>
      <c r="AM157" s="76"/>
      <c r="AN157" s="76"/>
      <c r="AO157" s="92"/>
      <c r="AP157" s="76"/>
      <c r="AQ157" s="76"/>
      <c r="AR157" s="76"/>
      <c r="AS157" s="76"/>
      <c r="AT157" s="76"/>
      <c r="AU157" s="76"/>
    </row>
    <row r="158" spans="1:47" ht="15.75" customHeight="1" thickBot="1" x14ac:dyDescent="0.45">
      <c r="A158" s="76"/>
      <c r="B158" s="92"/>
      <c r="C158" s="92"/>
      <c r="D158" s="76"/>
      <c r="E158" s="76"/>
      <c r="F158" s="76"/>
      <c r="G158" s="76"/>
      <c r="H158" s="76"/>
      <c r="I158" s="76"/>
      <c r="J158" s="76"/>
      <c r="K158" s="76"/>
      <c r="L158" s="76"/>
      <c r="M158" s="76"/>
      <c r="N158" s="76"/>
      <c r="O158" s="76"/>
      <c r="P158" s="76"/>
      <c r="Q158" s="76"/>
      <c r="R158" s="76"/>
      <c r="S158" s="76"/>
      <c r="T158" s="76"/>
      <c r="U158" s="76"/>
      <c r="V158" s="76"/>
      <c r="W158" s="76"/>
      <c r="X158" s="76"/>
      <c r="Y158" s="76"/>
      <c r="Z158" s="76"/>
      <c r="AA158" s="76"/>
      <c r="AB158" s="76"/>
      <c r="AC158" s="76"/>
      <c r="AD158" s="76"/>
      <c r="AE158" s="76"/>
      <c r="AF158" s="76"/>
      <c r="AG158" s="76"/>
      <c r="AH158" s="76"/>
      <c r="AI158" s="76"/>
      <c r="AJ158" s="76"/>
      <c r="AK158" s="76"/>
      <c r="AL158" s="76"/>
      <c r="AM158" s="76"/>
      <c r="AN158" s="76"/>
      <c r="AO158" s="92"/>
      <c r="AP158" s="76"/>
      <c r="AQ158" s="76"/>
      <c r="AR158" s="76"/>
      <c r="AS158" s="76"/>
      <c r="AT158" s="76"/>
      <c r="AU158" s="76"/>
    </row>
    <row r="159" spans="1:47" ht="15.75" customHeight="1" thickBot="1" x14ac:dyDescent="0.45">
      <c r="A159" s="76"/>
      <c r="B159" s="92"/>
      <c r="C159" s="92"/>
      <c r="D159" s="76"/>
      <c r="E159" s="76"/>
      <c r="F159" s="76"/>
      <c r="G159" s="76"/>
      <c r="H159" s="76"/>
      <c r="I159" s="76"/>
      <c r="J159" s="76"/>
      <c r="K159" s="76"/>
      <c r="L159" s="76"/>
      <c r="M159" s="76"/>
      <c r="N159" s="76"/>
      <c r="O159" s="76"/>
      <c r="P159" s="76"/>
      <c r="Q159" s="76"/>
      <c r="R159" s="76"/>
      <c r="S159" s="76"/>
      <c r="T159" s="76"/>
      <c r="U159" s="76"/>
      <c r="V159" s="76"/>
      <c r="W159" s="76"/>
      <c r="X159" s="76"/>
      <c r="Y159" s="76"/>
      <c r="Z159" s="76"/>
      <c r="AA159" s="76"/>
      <c r="AB159" s="76"/>
      <c r="AC159" s="76"/>
      <c r="AD159" s="76"/>
      <c r="AE159" s="76"/>
      <c r="AF159" s="76"/>
      <c r="AG159" s="76"/>
      <c r="AH159" s="76"/>
      <c r="AI159" s="76"/>
      <c r="AJ159" s="76"/>
      <c r="AK159" s="76"/>
      <c r="AL159" s="76"/>
      <c r="AM159" s="76"/>
      <c r="AN159" s="76"/>
      <c r="AO159" s="92"/>
      <c r="AP159" s="76"/>
      <c r="AQ159" s="76"/>
      <c r="AR159" s="76"/>
      <c r="AS159" s="76"/>
      <c r="AT159" s="76"/>
      <c r="AU159" s="76"/>
    </row>
    <row r="160" spans="1:47" ht="15.75" customHeight="1" thickBot="1" x14ac:dyDescent="0.45">
      <c r="A160" s="76"/>
      <c r="B160" s="92"/>
      <c r="C160" s="92"/>
      <c r="D160" s="76"/>
      <c r="E160" s="76"/>
      <c r="F160" s="76"/>
      <c r="G160" s="76"/>
      <c r="H160" s="76"/>
      <c r="I160" s="76"/>
      <c r="J160" s="76"/>
      <c r="K160" s="76"/>
      <c r="L160" s="76"/>
      <c r="M160" s="76"/>
      <c r="N160" s="76"/>
      <c r="O160" s="76"/>
      <c r="P160" s="76"/>
      <c r="Q160" s="76"/>
      <c r="R160" s="76"/>
      <c r="S160" s="76"/>
      <c r="T160" s="76"/>
      <c r="U160" s="76"/>
      <c r="V160" s="76"/>
      <c r="W160" s="76"/>
      <c r="X160" s="76"/>
      <c r="Y160" s="76"/>
      <c r="Z160" s="76"/>
      <c r="AA160" s="76"/>
      <c r="AB160" s="76"/>
      <c r="AC160" s="76"/>
      <c r="AD160" s="76"/>
      <c r="AE160" s="76"/>
      <c r="AF160" s="76"/>
      <c r="AG160" s="76"/>
      <c r="AH160" s="76"/>
      <c r="AI160" s="76"/>
      <c r="AJ160" s="76"/>
      <c r="AK160" s="76"/>
      <c r="AL160" s="76"/>
      <c r="AM160" s="76"/>
      <c r="AN160" s="76"/>
      <c r="AO160" s="92"/>
      <c r="AP160" s="76"/>
      <c r="AQ160" s="76"/>
      <c r="AR160" s="76"/>
      <c r="AS160" s="76"/>
      <c r="AT160" s="76"/>
      <c r="AU160" s="76"/>
    </row>
    <row r="161" spans="1:47" ht="15.75" customHeight="1" thickBot="1" x14ac:dyDescent="0.45">
      <c r="A161" s="76"/>
      <c r="B161" s="92"/>
      <c r="C161" s="92"/>
      <c r="D161" s="76"/>
      <c r="E161" s="76"/>
      <c r="F161" s="76"/>
      <c r="G161" s="76"/>
      <c r="H161" s="76"/>
      <c r="I161" s="76"/>
      <c r="J161" s="76"/>
      <c r="K161" s="76"/>
      <c r="L161" s="76"/>
      <c r="M161" s="76"/>
      <c r="N161" s="76"/>
      <c r="O161" s="76"/>
      <c r="P161" s="76"/>
      <c r="Q161" s="76"/>
      <c r="R161" s="76"/>
      <c r="S161" s="76"/>
      <c r="T161" s="76"/>
      <c r="U161" s="76"/>
      <c r="V161" s="76"/>
      <c r="W161" s="76"/>
      <c r="X161" s="76"/>
      <c r="Y161" s="76"/>
      <c r="Z161" s="76"/>
      <c r="AA161" s="76"/>
      <c r="AB161" s="76"/>
      <c r="AC161" s="76"/>
      <c r="AD161" s="76"/>
      <c r="AE161" s="76"/>
      <c r="AF161" s="76"/>
      <c r="AG161" s="76"/>
      <c r="AH161" s="76"/>
      <c r="AI161" s="76"/>
      <c r="AJ161" s="76"/>
      <c r="AK161" s="76"/>
      <c r="AL161" s="76"/>
      <c r="AM161" s="76"/>
      <c r="AN161" s="76"/>
      <c r="AO161" s="92"/>
      <c r="AP161" s="76"/>
      <c r="AQ161" s="76"/>
      <c r="AR161" s="76"/>
      <c r="AS161" s="76"/>
      <c r="AT161" s="76"/>
      <c r="AU161" s="76"/>
    </row>
    <row r="162" spans="1:47" ht="15.75" customHeight="1" thickBot="1" x14ac:dyDescent="0.45">
      <c r="A162" s="76"/>
      <c r="B162" s="92"/>
      <c r="C162" s="92"/>
      <c r="D162" s="76"/>
      <c r="E162" s="76"/>
      <c r="F162" s="76"/>
      <c r="G162" s="76"/>
      <c r="H162" s="76"/>
      <c r="I162" s="76"/>
      <c r="J162" s="76"/>
      <c r="K162" s="76"/>
      <c r="L162" s="76"/>
      <c r="M162" s="76"/>
      <c r="N162" s="76"/>
      <c r="O162" s="76"/>
      <c r="P162" s="76"/>
      <c r="Q162" s="76"/>
      <c r="R162" s="76"/>
      <c r="S162" s="76"/>
      <c r="T162" s="76"/>
      <c r="U162" s="76"/>
      <c r="V162" s="76"/>
      <c r="W162" s="76"/>
      <c r="X162" s="76"/>
      <c r="Y162" s="76"/>
      <c r="Z162" s="76"/>
      <c r="AA162" s="76"/>
      <c r="AB162" s="76"/>
      <c r="AC162" s="76"/>
      <c r="AD162" s="76"/>
      <c r="AE162" s="76"/>
      <c r="AF162" s="76"/>
      <c r="AG162" s="76"/>
      <c r="AH162" s="76"/>
      <c r="AI162" s="76"/>
      <c r="AJ162" s="76"/>
      <c r="AK162" s="76"/>
      <c r="AL162" s="76"/>
      <c r="AM162" s="76"/>
      <c r="AN162" s="76"/>
      <c r="AO162" s="92"/>
      <c r="AP162" s="76"/>
      <c r="AQ162" s="76"/>
      <c r="AR162" s="76"/>
      <c r="AS162" s="76"/>
      <c r="AT162" s="76"/>
      <c r="AU162" s="76"/>
    </row>
    <row r="163" spans="1:47" ht="15.75" customHeight="1" thickBot="1" x14ac:dyDescent="0.45">
      <c r="A163" s="76"/>
      <c r="B163" s="92"/>
      <c r="C163" s="92"/>
      <c r="D163" s="76"/>
      <c r="E163" s="76"/>
      <c r="F163" s="76"/>
      <c r="G163" s="76"/>
      <c r="H163" s="76"/>
      <c r="I163" s="76"/>
      <c r="J163" s="76"/>
      <c r="K163" s="76"/>
      <c r="L163" s="76"/>
      <c r="M163" s="76"/>
      <c r="N163" s="76"/>
      <c r="O163" s="76"/>
      <c r="P163" s="76"/>
      <c r="Q163" s="76"/>
      <c r="R163" s="76"/>
      <c r="S163" s="76"/>
      <c r="T163" s="76"/>
      <c r="U163" s="76"/>
      <c r="V163" s="76"/>
      <c r="W163" s="76"/>
      <c r="X163" s="76"/>
      <c r="Y163" s="76"/>
      <c r="Z163" s="76"/>
      <c r="AA163" s="76"/>
      <c r="AB163" s="76"/>
      <c r="AC163" s="76"/>
      <c r="AD163" s="76"/>
      <c r="AE163" s="76"/>
      <c r="AF163" s="76"/>
      <c r="AG163" s="76"/>
      <c r="AH163" s="76"/>
      <c r="AI163" s="76"/>
      <c r="AJ163" s="76"/>
      <c r="AK163" s="76"/>
      <c r="AL163" s="76"/>
      <c r="AM163" s="76"/>
      <c r="AN163" s="76"/>
      <c r="AO163" s="92"/>
      <c r="AP163" s="76"/>
      <c r="AQ163" s="76"/>
      <c r="AR163" s="76"/>
      <c r="AS163" s="76"/>
      <c r="AT163" s="76"/>
      <c r="AU163" s="76"/>
    </row>
    <row r="164" spans="1:47" ht="15.75" customHeight="1" thickBot="1" x14ac:dyDescent="0.45">
      <c r="A164" s="76"/>
      <c r="B164" s="92"/>
      <c r="C164" s="92"/>
      <c r="D164" s="76"/>
      <c r="E164" s="76"/>
      <c r="F164" s="76"/>
      <c r="G164" s="76"/>
      <c r="H164" s="76"/>
      <c r="I164" s="76"/>
      <c r="J164" s="76"/>
      <c r="K164" s="76"/>
      <c r="L164" s="76"/>
      <c r="M164" s="76"/>
      <c r="N164" s="76"/>
      <c r="O164" s="76"/>
      <c r="P164" s="76"/>
      <c r="Q164" s="76"/>
      <c r="R164" s="76"/>
      <c r="S164" s="76"/>
      <c r="T164" s="76"/>
      <c r="U164" s="76"/>
      <c r="V164" s="76"/>
      <c r="W164" s="76"/>
      <c r="X164" s="76"/>
      <c r="Y164" s="76"/>
      <c r="Z164" s="76"/>
      <c r="AA164" s="76"/>
      <c r="AB164" s="76"/>
      <c r="AC164" s="76"/>
      <c r="AD164" s="76"/>
      <c r="AE164" s="76"/>
      <c r="AF164" s="76"/>
      <c r="AG164" s="76"/>
      <c r="AH164" s="76"/>
      <c r="AI164" s="76"/>
      <c r="AJ164" s="76"/>
      <c r="AK164" s="76"/>
      <c r="AL164" s="76"/>
      <c r="AM164" s="76"/>
      <c r="AN164" s="76"/>
      <c r="AO164" s="92"/>
      <c r="AP164" s="76"/>
      <c r="AQ164" s="76"/>
      <c r="AR164" s="76"/>
      <c r="AS164" s="76"/>
      <c r="AT164" s="76"/>
      <c r="AU164" s="76"/>
    </row>
    <row r="165" spans="1:47" ht="15.75" customHeight="1" thickBot="1" x14ac:dyDescent="0.45">
      <c r="A165" s="76"/>
      <c r="B165" s="92"/>
      <c r="C165" s="92"/>
      <c r="D165" s="76"/>
      <c r="E165" s="76"/>
      <c r="F165" s="76"/>
      <c r="G165" s="76"/>
      <c r="H165" s="76"/>
      <c r="I165" s="76"/>
      <c r="J165" s="76"/>
      <c r="K165" s="76"/>
      <c r="L165" s="76"/>
      <c r="M165" s="76"/>
      <c r="N165" s="76"/>
      <c r="O165" s="76"/>
      <c r="P165" s="76"/>
      <c r="Q165" s="76"/>
      <c r="R165" s="76"/>
      <c r="S165" s="76"/>
      <c r="T165" s="76"/>
      <c r="U165" s="76"/>
      <c r="V165" s="76"/>
      <c r="W165" s="76"/>
      <c r="X165" s="76"/>
      <c r="Y165" s="76"/>
      <c r="Z165" s="76"/>
      <c r="AA165" s="76"/>
      <c r="AB165" s="76"/>
      <c r="AC165" s="76"/>
      <c r="AD165" s="76"/>
      <c r="AE165" s="76"/>
      <c r="AF165" s="76"/>
      <c r="AG165" s="76"/>
      <c r="AH165" s="76"/>
      <c r="AI165" s="76"/>
      <c r="AJ165" s="76"/>
      <c r="AK165" s="76"/>
      <c r="AL165" s="76"/>
      <c r="AM165" s="76"/>
      <c r="AN165" s="76"/>
      <c r="AO165" s="92"/>
      <c r="AP165" s="76"/>
      <c r="AQ165" s="76"/>
      <c r="AR165" s="76"/>
      <c r="AS165" s="76"/>
      <c r="AT165" s="76"/>
      <c r="AU165" s="76"/>
    </row>
    <row r="166" spans="1:47" ht="15.75" customHeight="1" thickBot="1" x14ac:dyDescent="0.45">
      <c r="A166" s="76"/>
      <c r="B166" s="92"/>
      <c r="C166" s="92"/>
      <c r="D166" s="76"/>
      <c r="E166" s="76"/>
      <c r="F166" s="76"/>
      <c r="G166" s="76"/>
      <c r="H166" s="76"/>
      <c r="I166" s="76"/>
      <c r="J166" s="76"/>
      <c r="K166" s="76"/>
      <c r="L166" s="76"/>
      <c r="M166" s="76"/>
      <c r="N166" s="76"/>
      <c r="O166" s="76"/>
      <c r="P166" s="76"/>
      <c r="Q166" s="76"/>
      <c r="R166" s="76"/>
      <c r="S166" s="76"/>
      <c r="T166" s="76"/>
      <c r="U166" s="76"/>
      <c r="V166" s="76"/>
      <c r="W166" s="76"/>
      <c r="X166" s="76"/>
      <c r="Y166" s="76"/>
      <c r="Z166" s="76"/>
      <c r="AA166" s="76"/>
      <c r="AB166" s="76"/>
      <c r="AC166" s="76"/>
      <c r="AD166" s="76"/>
      <c r="AE166" s="76"/>
      <c r="AF166" s="76"/>
      <c r="AG166" s="76"/>
      <c r="AH166" s="76"/>
      <c r="AI166" s="76"/>
      <c r="AJ166" s="76"/>
      <c r="AK166" s="76"/>
      <c r="AL166" s="76"/>
      <c r="AM166" s="76"/>
      <c r="AN166" s="76"/>
      <c r="AO166" s="92"/>
      <c r="AP166" s="76"/>
      <c r="AQ166" s="76"/>
      <c r="AR166" s="76"/>
      <c r="AS166" s="76"/>
      <c r="AT166" s="76"/>
      <c r="AU166" s="76"/>
    </row>
    <row r="167" spans="1:47" ht="15.75" customHeight="1" thickBot="1" x14ac:dyDescent="0.45">
      <c r="A167" s="76"/>
      <c r="B167" s="92"/>
      <c r="C167" s="92"/>
      <c r="D167" s="76"/>
      <c r="E167" s="76"/>
      <c r="F167" s="76"/>
      <c r="G167" s="76"/>
      <c r="H167" s="76"/>
      <c r="I167" s="76"/>
      <c r="J167" s="76"/>
      <c r="K167" s="76"/>
      <c r="L167" s="76"/>
      <c r="M167" s="76"/>
      <c r="N167" s="76"/>
      <c r="O167" s="76"/>
      <c r="P167" s="76"/>
      <c r="Q167" s="76"/>
      <c r="R167" s="76"/>
      <c r="S167" s="76"/>
      <c r="T167" s="76"/>
      <c r="U167" s="76"/>
      <c r="V167" s="76"/>
      <c r="W167" s="76"/>
      <c r="X167" s="76"/>
      <c r="Y167" s="76"/>
      <c r="Z167" s="76"/>
      <c r="AA167" s="76"/>
      <c r="AB167" s="76"/>
      <c r="AC167" s="76"/>
      <c r="AD167" s="76"/>
      <c r="AE167" s="76"/>
      <c r="AF167" s="76"/>
      <c r="AG167" s="76"/>
      <c r="AH167" s="76"/>
      <c r="AI167" s="76"/>
      <c r="AJ167" s="76"/>
      <c r="AK167" s="76"/>
      <c r="AL167" s="76"/>
      <c r="AM167" s="76"/>
      <c r="AN167" s="76"/>
      <c r="AO167" s="92"/>
      <c r="AP167" s="76"/>
      <c r="AQ167" s="76"/>
      <c r="AR167" s="76"/>
      <c r="AS167" s="76"/>
      <c r="AT167" s="76"/>
      <c r="AU167" s="76"/>
    </row>
    <row r="168" spans="1:47" ht="15.75" customHeight="1" thickBot="1" x14ac:dyDescent="0.45">
      <c r="A168" s="76"/>
      <c r="B168" s="92"/>
      <c r="C168" s="92"/>
      <c r="D168" s="76"/>
      <c r="E168" s="76"/>
      <c r="F168" s="76"/>
      <c r="G168" s="76"/>
      <c r="H168" s="76"/>
      <c r="I168" s="76"/>
      <c r="J168" s="76"/>
      <c r="K168" s="76"/>
      <c r="L168" s="76"/>
      <c r="M168" s="76"/>
      <c r="N168" s="76"/>
      <c r="O168" s="76"/>
      <c r="P168" s="76"/>
      <c r="Q168" s="76"/>
      <c r="R168" s="76"/>
      <c r="S168" s="76"/>
      <c r="T168" s="76"/>
      <c r="U168" s="76"/>
      <c r="V168" s="76"/>
      <c r="W168" s="76"/>
      <c r="X168" s="76"/>
      <c r="Y168" s="76"/>
      <c r="Z168" s="76"/>
      <c r="AA168" s="76"/>
      <c r="AB168" s="76"/>
      <c r="AC168" s="76"/>
      <c r="AD168" s="76"/>
      <c r="AE168" s="76"/>
      <c r="AF168" s="76"/>
      <c r="AG168" s="76"/>
      <c r="AH168" s="76"/>
      <c r="AI168" s="76"/>
      <c r="AJ168" s="76"/>
      <c r="AK168" s="76"/>
      <c r="AL168" s="76"/>
      <c r="AM168" s="76"/>
      <c r="AN168" s="76"/>
      <c r="AO168" s="92"/>
      <c r="AP168" s="76"/>
      <c r="AQ168" s="76"/>
      <c r="AR168" s="76"/>
      <c r="AS168" s="76"/>
      <c r="AT168" s="76"/>
      <c r="AU168" s="76"/>
    </row>
    <row r="169" spans="1:47" ht="15.75" customHeight="1" thickBot="1" x14ac:dyDescent="0.45">
      <c r="A169" s="76"/>
      <c r="B169" s="92"/>
      <c r="C169" s="92"/>
      <c r="D169" s="76"/>
      <c r="E169" s="76"/>
      <c r="F169" s="76"/>
      <c r="G169" s="76"/>
      <c r="H169" s="76"/>
      <c r="I169" s="76"/>
      <c r="J169" s="76"/>
      <c r="K169" s="76"/>
      <c r="L169" s="76"/>
      <c r="M169" s="76"/>
      <c r="N169" s="76"/>
      <c r="O169" s="76"/>
      <c r="P169" s="76"/>
      <c r="Q169" s="76"/>
      <c r="R169" s="76"/>
      <c r="S169" s="76"/>
      <c r="T169" s="76"/>
      <c r="U169" s="76"/>
      <c r="V169" s="76"/>
      <c r="W169" s="76"/>
      <c r="X169" s="76"/>
      <c r="Y169" s="76"/>
      <c r="Z169" s="76"/>
      <c r="AA169" s="76"/>
      <c r="AB169" s="76"/>
      <c r="AC169" s="76"/>
      <c r="AD169" s="76"/>
      <c r="AE169" s="76"/>
      <c r="AF169" s="76"/>
      <c r="AG169" s="76"/>
      <c r="AH169" s="76"/>
      <c r="AI169" s="76"/>
      <c r="AJ169" s="76"/>
      <c r="AK169" s="76"/>
      <c r="AL169" s="76"/>
      <c r="AM169" s="76"/>
      <c r="AN169" s="76"/>
      <c r="AO169" s="92"/>
      <c r="AP169" s="76"/>
      <c r="AQ169" s="76"/>
      <c r="AR169" s="76"/>
      <c r="AS169" s="76"/>
      <c r="AT169" s="76"/>
      <c r="AU169" s="76"/>
    </row>
    <row r="170" spans="1:47" ht="15.75" customHeight="1" thickBot="1" x14ac:dyDescent="0.45">
      <c r="A170" s="76"/>
      <c r="B170" s="92"/>
      <c r="C170" s="92"/>
      <c r="D170" s="76"/>
      <c r="E170" s="76"/>
      <c r="F170" s="76"/>
      <c r="G170" s="76"/>
      <c r="H170" s="76"/>
      <c r="I170" s="76"/>
      <c r="J170" s="76"/>
      <c r="K170" s="76"/>
      <c r="L170" s="76"/>
      <c r="M170" s="76"/>
      <c r="N170" s="76"/>
      <c r="O170" s="76"/>
      <c r="P170" s="76"/>
      <c r="Q170" s="76"/>
      <c r="R170" s="76"/>
      <c r="S170" s="76"/>
      <c r="T170" s="76"/>
      <c r="U170" s="76"/>
      <c r="V170" s="76"/>
      <c r="W170" s="76"/>
      <c r="X170" s="76"/>
      <c r="Y170" s="76"/>
      <c r="Z170" s="76"/>
      <c r="AA170" s="76"/>
      <c r="AB170" s="76"/>
      <c r="AC170" s="76"/>
      <c r="AD170" s="76"/>
      <c r="AE170" s="76"/>
      <c r="AF170" s="76"/>
      <c r="AG170" s="76"/>
      <c r="AH170" s="76"/>
      <c r="AI170" s="76"/>
      <c r="AJ170" s="76"/>
      <c r="AK170" s="76"/>
      <c r="AL170" s="76"/>
      <c r="AM170" s="76"/>
      <c r="AN170" s="76"/>
      <c r="AO170" s="92"/>
      <c r="AP170" s="76"/>
      <c r="AQ170" s="76"/>
      <c r="AR170" s="76"/>
      <c r="AS170" s="76"/>
      <c r="AT170" s="76"/>
      <c r="AU170" s="76"/>
    </row>
    <row r="171" spans="1:47" ht="15.75" customHeight="1" thickBot="1" x14ac:dyDescent="0.45">
      <c r="A171" s="76"/>
      <c r="B171" s="92"/>
      <c r="C171" s="92"/>
      <c r="D171" s="76"/>
      <c r="E171" s="76"/>
      <c r="F171" s="76"/>
      <c r="G171" s="76"/>
      <c r="H171" s="76"/>
      <c r="I171" s="76"/>
      <c r="J171" s="76"/>
      <c r="K171" s="76"/>
      <c r="L171" s="76"/>
      <c r="M171" s="76"/>
      <c r="N171" s="76"/>
      <c r="O171" s="76"/>
      <c r="P171" s="76"/>
      <c r="Q171" s="76"/>
      <c r="R171" s="76"/>
      <c r="S171" s="76"/>
      <c r="T171" s="76"/>
      <c r="U171" s="76"/>
      <c r="V171" s="76"/>
      <c r="W171" s="76"/>
      <c r="X171" s="76"/>
      <c r="Y171" s="76"/>
      <c r="Z171" s="76"/>
      <c r="AA171" s="76"/>
      <c r="AB171" s="76"/>
      <c r="AC171" s="76"/>
      <c r="AD171" s="76"/>
      <c r="AE171" s="76"/>
      <c r="AF171" s="76"/>
      <c r="AG171" s="76"/>
      <c r="AH171" s="76"/>
      <c r="AI171" s="76"/>
      <c r="AJ171" s="76"/>
      <c r="AK171" s="76"/>
      <c r="AL171" s="76"/>
      <c r="AM171" s="76"/>
      <c r="AN171" s="76"/>
      <c r="AO171" s="92"/>
      <c r="AP171" s="76"/>
      <c r="AQ171" s="76"/>
      <c r="AR171" s="76"/>
      <c r="AS171" s="76"/>
      <c r="AT171" s="76"/>
      <c r="AU171" s="76"/>
    </row>
    <row r="172" spans="1:47" ht="15.75" customHeight="1" thickBot="1" x14ac:dyDescent="0.45">
      <c r="A172" s="76"/>
      <c r="B172" s="92"/>
      <c r="C172" s="92"/>
      <c r="D172" s="76"/>
      <c r="E172" s="76"/>
      <c r="F172" s="76"/>
      <c r="G172" s="76"/>
      <c r="H172" s="76"/>
      <c r="I172" s="76"/>
      <c r="J172" s="76"/>
      <c r="K172" s="76"/>
      <c r="L172" s="76"/>
      <c r="M172" s="76"/>
      <c r="N172" s="76"/>
      <c r="O172" s="76"/>
      <c r="P172" s="76"/>
      <c r="Q172" s="76"/>
      <c r="R172" s="76"/>
      <c r="S172" s="76"/>
      <c r="T172" s="76"/>
      <c r="U172" s="76"/>
      <c r="V172" s="76"/>
      <c r="W172" s="76"/>
      <c r="X172" s="76"/>
      <c r="Y172" s="76"/>
      <c r="Z172" s="76"/>
      <c r="AA172" s="76"/>
      <c r="AB172" s="76"/>
      <c r="AC172" s="76"/>
      <c r="AD172" s="76"/>
      <c r="AE172" s="76"/>
      <c r="AF172" s="76"/>
      <c r="AG172" s="76"/>
      <c r="AH172" s="76"/>
      <c r="AI172" s="76"/>
      <c r="AJ172" s="76"/>
      <c r="AK172" s="76"/>
      <c r="AL172" s="76"/>
      <c r="AM172" s="76"/>
      <c r="AN172" s="76"/>
      <c r="AO172" s="92"/>
      <c r="AP172" s="76"/>
      <c r="AQ172" s="76"/>
      <c r="AR172" s="76"/>
      <c r="AS172" s="76"/>
      <c r="AT172" s="76"/>
      <c r="AU172" s="76"/>
    </row>
    <row r="173" spans="1:47" ht="15.75" customHeight="1" thickBot="1" x14ac:dyDescent="0.45">
      <c r="A173" s="76"/>
      <c r="B173" s="92"/>
      <c r="C173" s="92"/>
      <c r="D173" s="76"/>
      <c r="E173" s="76"/>
      <c r="F173" s="76"/>
      <c r="G173" s="76"/>
      <c r="H173" s="76"/>
      <c r="I173" s="76"/>
      <c r="J173" s="76"/>
      <c r="K173" s="76"/>
      <c r="L173" s="76"/>
      <c r="M173" s="76"/>
      <c r="N173" s="76"/>
      <c r="O173" s="76"/>
      <c r="P173" s="76"/>
      <c r="Q173" s="76"/>
      <c r="R173" s="76"/>
      <c r="S173" s="76"/>
      <c r="T173" s="76"/>
      <c r="U173" s="76"/>
      <c r="V173" s="76"/>
      <c r="W173" s="76"/>
      <c r="X173" s="76"/>
      <c r="Y173" s="76"/>
      <c r="Z173" s="76"/>
      <c r="AA173" s="76"/>
      <c r="AB173" s="76"/>
      <c r="AC173" s="76"/>
      <c r="AD173" s="76"/>
      <c r="AE173" s="76"/>
      <c r="AF173" s="76"/>
      <c r="AG173" s="76"/>
      <c r="AH173" s="76"/>
      <c r="AI173" s="76"/>
      <c r="AJ173" s="76"/>
      <c r="AK173" s="76"/>
      <c r="AL173" s="76"/>
      <c r="AM173" s="76"/>
      <c r="AN173" s="76"/>
      <c r="AO173" s="92"/>
      <c r="AP173" s="76"/>
      <c r="AQ173" s="76"/>
      <c r="AR173" s="76"/>
      <c r="AS173" s="76"/>
      <c r="AT173" s="76"/>
      <c r="AU173" s="76"/>
    </row>
    <row r="174" spans="1:47" ht="15.75" customHeight="1" thickBot="1" x14ac:dyDescent="0.45">
      <c r="A174" s="76"/>
      <c r="B174" s="92"/>
      <c r="C174" s="92"/>
      <c r="D174" s="76"/>
      <c r="E174" s="76"/>
      <c r="F174" s="76"/>
      <c r="G174" s="76"/>
      <c r="H174" s="76"/>
      <c r="I174" s="76"/>
      <c r="J174" s="76"/>
      <c r="K174" s="76"/>
      <c r="L174" s="76"/>
      <c r="M174" s="76"/>
      <c r="N174" s="76"/>
      <c r="O174" s="76"/>
      <c r="P174" s="76"/>
      <c r="Q174" s="76"/>
      <c r="R174" s="76"/>
      <c r="S174" s="76"/>
      <c r="T174" s="76"/>
      <c r="U174" s="76"/>
      <c r="V174" s="76"/>
      <c r="W174" s="76"/>
      <c r="X174" s="76"/>
      <c r="Y174" s="76"/>
      <c r="Z174" s="76"/>
      <c r="AA174" s="76"/>
      <c r="AB174" s="76"/>
      <c r="AC174" s="76"/>
      <c r="AD174" s="76"/>
      <c r="AE174" s="76"/>
      <c r="AF174" s="76"/>
      <c r="AG174" s="76"/>
      <c r="AH174" s="76"/>
      <c r="AI174" s="76"/>
      <c r="AJ174" s="76"/>
      <c r="AK174" s="76"/>
      <c r="AL174" s="76"/>
      <c r="AM174" s="76"/>
      <c r="AN174" s="76"/>
      <c r="AO174" s="92"/>
      <c r="AP174" s="76"/>
      <c r="AQ174" s="76"/>
      <c r="AR174" s="76"/>
      <c r="AS174" s="76"/>
      <c r="AT174" s="76"/>
      <c r="AU174" s="76"/>
    </row>
    <row r="175" spans="1:47" ht="15.75" customHeight="1" thickBot="1" x14ac:dyDescent="0.45">
      <c r="A175" s="76"/>
      <c r="B175" s="92"/>
      <c r="C175" s="92"/>
      <c r="D175" s="76"/>
      <c r="E175" s="76"/>
      <c r="F175" s="76"/>
      <c r="G175" s="76"/>
      <c r="H175" s="76"/>
      <c r="I175" s="76"/>
      <c r="J175" s="76"/>
      <c r="K175" s="76"/>
      <c r="L175" s="76"/>
      <c r="M175" s="76"/>
      <c r="N175" s="76"/>
      <c r="O175" s="76"/>
      <c r="P175" s="76"/>
      <c r="Q175" s="76"/>
      <c r="R175" s="76"/>
      <c r="S175" s="76"/>
      <c r="T175" s="76"/>
      <c r="U175" s="76"/>
      <c r="V175" s="76"/>
      <c r="W175" s="76"/>
      <c r="X175" s="76"/>
      <c r="Y175" s="76"/>
      <c r="Z175" s="76"/>
      <c r="AA175" s="76"/>
      <c r="AB175" s="76"/>
      <c r="AC175" s="76"/>
      <c r="AD175" s="76"/>
      <c r="AE175" s="76"/>
      <c r="AF175" s="76"/>
      <c r="AG175" s="76"/>
      <c r="AH175" s="76"/>
      <c r="AI175" s="76"/>
      <c r="AJ175" s="76"/>
      <c r="AK175" s="76"/>
      <c r="AL175" s="76"/>
      <c r="AM175" s="76"/>
      <c r="AN175" s="76"/>
      <c r="AO175" s="92"/>
      <c r="AP175" s="76"/>
      <c r="AQ175" s="76"/>
      <c r="AR175" s="76"/>
      <c r="AS175" s="76"/>
      <c r="AT175" s="76"/>
      <c r="AU175" s="76"/>
    </row>
    <row r="176" spans="1:47" ht="15.75" customHeight="1" thickBot="1" x14ac:dyDescent="0.45">
      <c r="A176" s="76"/>
      <c r="B176" s="92"/>
      <c r="C176" s="92"/>
      <c r="D176" s="76"/>
      <c r="E176" s="76"/>
      <c r="F176" s="76"/>
      <c r="G176" s="76"/>
      <c r="H176" s="76"/>
      <c r="I176" s="76"/>
      <c r="J176" s="76"/>
      <c r="K176" s="76"/>
      <c r="L176" s="76"/>
      <c r="M176" s="76"/>
      <c r="N176" s="76"/>
      <c r="O176" s="76"/>
      <c r="P176" s="76"/>
      <c r="Q176" s="76"/>
      <c r="R176" s="76"/>
      <c r="S176" s="76"/>
      <c r="T176" s="76"/>
      <c r="U176" s="76"/>
      <c r="V176" s="76"/>
      <c r="W176" s="76"/>
      <c r="X176" s="76"/>
      <c r="Y176" s="76"/>
      <c r="Z176" s="76"/>
      <c r="AA176" s="76"/>
      <c r="AB176" s="76"/>
      <c r="AC176" s="76"/>
      <c r="AD176" s="76"/>
      <c r="AE176" s="76"/>
      <c r="AF176" s="76"/>
      <c r="AG176" s="76"/>
      <c r="AH176" s="76"/>
      <c r="AI176" s="76"/>
      <c r="AJ176" s="76"/>
      <c r="AK176" s="76"/>
      <c r="AL176" s="76"/>
      <c r="AM176" s="76"/>
      <c r="AN176" s="76"/>
      <c r="AO176" s="92"/>
      <c r="AP176" s="76"/>
      <c r="AQ176" s="76"/>
      <c r="AR176" s="76"/>
      <c r="AS176" s="76"/>
      <c r="AT176" s="76"/>
      <c r="AU176" s="76"/>
    </row>
    <row r="177" spans="1:47" ht="15.75" customHeight="1" thickBot="1" x14ac:dyDescent="0.45">
      <c r="A177" s="76"/>
      <c r="B177" s="92"/>
      <c r="C177" s="92"/>
      <c r="D177" s="76"/>
      <c r="E177" s="76"/>
      <c r="F177" s="76"/>
      <c r="G177" s="76"/>
      <c r="H177" s="76"/>
      <c r="I177" s="76"/>
      <c r="J177" s="76"/>
      <c r="K177" s="76"/>
      <c r="L177" s="76"/>
      <c r="M177" s="76"/>
      <c r="N177" s="76"/>
      <c r="O177" s="76"/>
      <c r="P177" s="76"/>
      <c r="Q177" s="76"/>
      <c r="R177" s="76"/>
      <c r="S177" s="76"/>
      <c r="T177" s="76"/>
      <c r="U177" s="76"/>
      <c r="V177" s="76"/>
      <c r="W177" s="76"/>
      <c r="X177" s="76"/>
      <c r="Y177" s="76"/>
      <c r="Z177" s="76"/>
      <c r="AA177" s="76"/>
      <c r="AB177" s="76"/>
      <c r="AC177" s="76"/>
      <c r="AD177" s="76"/>
      <c r="AE177" s="76"/>
      <c r="AF177" s="76"/>
      <c r="AG177" s="76"/>
      <c r="AH177" s="76"/>
      <c r="AI177" s="76"/>
      <c r="AJ177" s="76"/>
      <c r="AK177" s="76"/>
      <c r="AL177" s="76"/>
      <c r="AM177" s="76"/>
      <c r="AN177" s="76"/>
      <c r="AO177" s="92"/>
      <c r="AP177" s="76"/>
      <c r="AQ177" s="76"/>
      <c r="AR177" s="76"/>
      <c r="AS177" s="76"/>
      <c r="AT177" s="76"/>
      <c r="AU177" s="76"/>
    </row>
    <row r="178" spans="1:47" ht="15.75" customHeight="1" thickBot="1" x14ac:dyDescent="0.45">
      <c r="A178" s="76"/>
      <c r="B178" s="92"/>
      <c r="C178" s="92"/>
      <c r="D178" s="76"/>
      <c r="E178" s="76"/>
      <c r="F178" s="76"/>
      <c r="G178" s="76"/>
      <c r="H178" s="76"/>
      <c r="I178" s="76"/>
      <c r="J178" s="76"/>
      <c r="K178" s="76"/>
      <c r="L178" s="76"/>
      <c r="M178" s="76"/>
      <c r="N178" s="76"/>
      <c r="O178" s="76"/>
      <c r="P178" s="76"/>
      <c r="Q178" s="76"/>
      <c r="R178" s="76"/>
      <c r="S178" s="76"/>
      <c r="T178" s="76"/>
      <c r="U178" s="76"/>
      <c r="V178" s="76"/>
      <c r="W178" s="76"/>
      <c r="X178" s="76"/>
      <c r="Y178" s="76"/>
      <c r="Z178" s="76"/>
      <c r="AA178" s="76"/>
      <c r="AB178" s="76"/>
      <c r="AC178" s="76"/>
      <c r="AD178" s="76"/>
      <c r="AE178" s="76"/>
      <c r="AF178" s="76"/>
      <c r="AG178" s="76"/>
      <c r="AH178" s="76"/>
      <c r="AI178" s="76"/>
      <c r="AJ178" s="76"/>
      <c r="AK178" s="76"/>
      <c r="AL178" s="76"/>
      <c r="AM178" s="76"/>
      <c r="AN178" s="76"/>
      <c r="AO178" s="92"/>
      <c r="AP178" s="76"/>
      <c r="AQ178" s="76"/>
      <c r="AR178" s="76"/>
      <c r="AS178" s="76"/>
      <c r="AT178" s="76"/>
      <c r="AU178" s="76"/>
    </row>
    <row r="179" spans="1:47" ht="15.75" customHeight="1" thickBot="1" x14ac:dyDescent="0.45">
      <c r="A179" s="76"/>
      <c r="B179" s="92"/>
      <c r="C179" s="92"/>
      <c r="D179" s="76"/>
      <c r="E179" s="76"/>
      <c r="F179" s="76"/>
      <c r="G179" s="76"/>
      <c r="H179" s="76"/>
      <c r="I179" s="76"/>
      <c r="J179" s="76"/>
      <c r="K179" s="76"/>
      <c r="L179" s="76"/>
      <c r="M179" s="76"/>
      <c r="N179" s="76"/>
      <c r="O179" s="76"/>
      <c r="P179" s="76"/>
      <c r="Q179" s="76"/>
      <c r="R179" s="76"/>
      <c r="S179" s="76"/>
      <c r="T179" s="76"/>
      <c r="U179" s="76"/>
      <c r="V179" s="76"/>
      <c r="W179" s="76"/>
      <c r="X179" s="76"/>
      <c r="Y179" s="76"/>
      <c r="Z179" s="76"/>
      <c r="AA179" s="76"/>
      <c r="AB179" s="76"/>
      <c r="AC179" s="76"/>
      <c r="AD179" s="76"/>
      <c r="AE179" s="76"/>
      <c r="AF179" s="76"/>
      <c r="AG179" s="76"/>
      <c r="AH179" s="76"/>
      <c r="AI179" s="76"/>
      <c r="AJ179" s="76"/>
      <c r="AK179" s="76"/>
      <c r="AL179" s="76"/>
      <c r="AM179" s="76"/>
      <c r="AN179" s="76"/>
      <c r="AO179" s="92"/>
      <c r="AP179" s="76"/>
      <c r="AQ179" s="76"/>
      <c r="AR179" s="76"/>
      <c r="AS179" s="76"/>
      <c r="AT179" s="76"/>
      <c r="AU179" s="76"/>
    </row>
    <row r="180" spans="1:47" ht="15.75" customHeight="1" thickBot="1" x14ac:dyDescent="0.45">
      <c r="A180" s="76"/>
      <c r="B180" s="92"/>
      <c r="C180" s="92"/>
      <c r="D180" s="76"/>
      <c r="E180" s="76"/>
      <c r="F180" s="76"/>
      <c r="G180" s="76"/>
      <c r="H180" s="76"/>
      <c r="I180" s="76"/>
      <c r="J180" s="76"/>
      <c r="K180" s="76"/>
      <c r="L180" s="76"/>
      <c r="M180" s="76"/>
      <c r="N180" s="76"/>
      <c r="O180" s="76"/>
      <c r="P180" s="76"/>
      <c r="Q180" s="76"/>
      <c r="R180" s="76"/>
      <c r="S180" s="76"/>
      <c r="T180" s="76"/>
      <c r="U180" s="76"/>
      <c r="V180" s="76"/>
      <c r="W180" s="76"/>
      <c r="X180" s="76"/>
      <c r="Y180" s="76"/>
      <c r="Z180" s="76"/>
      <c r="AA180" s="76"/>
      <c r="AB180" s="76"/>
      <c r="AC180" s="76"/>
      <c r="AD180" s="76"/>
      <c r="AE180" s="76"/>
      <c r="AF180" s="76"/>
      <c r="AG180" s="76"/>
      <c r="AH180" s="76"/>
      <c r="AI180" s="76"/>
      <c r="AJ180" s="76"/>
      <c r="AK180" s="76"/>
      <c r="AL180" s="76"/>
      <c r="AM180" s="76"/>
      <c r="AN180" s="76"/>
      <c r="AO180" s="92"/>
      <c r="AP180" s="76"/>
      <c r="AQ180" s="76"/>
      <c r="AR180" s="76"/>
      <c r="AS180" s="76"/>
      <c r="AT180" s="76"/>
      <c r="AU180" s="76"/>
    </row>
    <row r="181" spans="1:47" ht="15.75" customHeight="1" thickBot="1" x14ac:dyDescent="0.45">
      <c r="A181" s="76"/>
      <c r="B181" s="92"/>
      <c r="C181" s="92"/>
      <c r="D181" s="76"/>
      <c r="E181" s="76"/>
      <c r="F181" s="76"/>
      <c r="G181" s="76"/>
      <c r="H181" s="76"/>
      <c r="I181" s="76"/>
      <c r="J181" s="76"/>
      <c r="K181" s="76"/>
      <c r="L181" s="76"/>
      <c r="M181" s="76"/>
      <c r="N181" s="76"/>
      <c r="O181" s="76"/>
      <c r="P181" s="76"/>
      <c r="Q181" s="76"/>
      <c r="R181" s="76"/>
      <c r="S181" s="76"/>
      <c r="T181" s="76"/>
      <c r="U181" s="76"/>
      <c r="V181" s="76"/>
      <c r="W181" s="76"/>
      <c r="X181" s="76"/>
      <c r="Y181" s="76"/>
      <c r="Z181" s="76"/>
      <c r="AA181" s="76"/>
      <c r="AB181" s="76"/>
      <c r="AC181" s="76"/>
      <c r="AD181" s="76"/>
      <c r="AE181" s="76"/>
      <c r="AF181" s="76"/>
      <c r="AG181" s="76"/>
      <c r="AH181" s="76"/>
      <c r="AI181" s="76"/>
      <c r="AJ181" s="76"/>
      <c r="AK181" s="76"/>
      <c r="AL181" s="76"/>
      <c r="AM181" s="76"/>
      <c r="AN181" s="76"/>
      <c r="AO181" s="92"/>
      <c r="AP181" s="76"/>
      <c r="AQ181" s="76"/>
      <c r="AR181" s="76"/>
      <c r="AS181" s="76"/>
      <c r="AT181" s="76"/>
      <c r="AU181" s="76"/>
    </row>
    <row r="182" spans="1:47" ht="15.75" customHeight="1" thickBot="1" x14ac:dyDescent="0.45">
      <c r="A182" s="76"/>
      <c r="B182" s="92"/>
      <c r="C182" s="92"/>
      <c r="D182" s="76"/>
      <c r="E182" s="76"/>
      <c r="F182" s="76"/>
      <c r="G182" s="76"/>
      <c r="H182" s="76"/>
      <c r="I182" s="76"/>
      <c r="J182" s="76"/>
      <c r="K182" s="76"/>
      <c r="L182" s="76"/>
      <c r="M182" s="76"/>
      <c r="N182" s="76"/>
      <c r="O182" s="76"/>
      <c r="P182" s="76"/>
      <c r="Q182" s="76"/>
      <c r="R182" s="76"/>
      <c r="S182" s="76"/>
      <c r="T182" s="76"/>
      <c r="U182" s="76"/>
      <c r="V182" s="76"/>
      <c r="W182" s="76"/>
      <c r="X182" s="76"/>
      <c r="Y182" s="76"/>
      <c r="Z182" s="76"/>
      <c r="AA182" s="76"/>
      <c r="AB182" s="76"/>
      <c r="AC182" s="76"/>
      <c r="AD182" s="76"/>
      <c r="AE182" s="76"/>
      <c r="AF182" s="76"/>
      <c r="AG182" s="76"/>
      <c r="AH182" s="76"/>
      <c r="AI182" s="76"/>
      <c r="AJ182" s="76"/>
      <c r="AK182" s="76"/>
      <c r="AL182" s="76"/>
      <c r="AM182" s="76"/>
      <c r="AN182" s="76"/>
      <c r="AO182" s="92"/>
      <c r="AP182" s="76"/>
      <c r="AQ182" s="76"/>
      <c r="AR182" s="76"/>
      <c r="AS182" s="76"/>
      <c r="AT182" s="76"/>
      <c r="AU182" s="76"/>
    </row>
    <row r="183" spans="1:47" ht="15.75" customHeight="1" thickBot="1" x14ac:dyDescent="0.45">
      <c r="A183" s="76"/>
      <c r="B183" s="92"/>
      <c r="C183" s="92"/>
      <c r="D183" s="76"/>
      <c r="E183" s="76"/>
      <c r="F183" s="76"/>
      <c r="G183" s="76"/>
      <c r="H183" s="76"/>
      <c r="I183" s="76"/>
      <c r="J183" s="76"/>
      <c r="K183" s="76"/>
      <c r="L183" s="76"/>
      <c r="M183" s="76"/>
      <c r="N183" s="76"/>
      <c r="O183" s="76"/>
      <c r="P183" s="76"/>
      <c r="Q183" s="76"/>
      <c r="R183" s="76"/>
      <c r="S183" s="76"/>
      <c r="T183" s="76"/>
      <c r="U183" s="76"/>
      <c r="V183" s="76"/>
      <c r="W183" s="76"/>
      <c r="X183" s="76"/>
      <c r="Y183" s="76"/>
      <c r="Z183" s="76"/>
      <c r="AA183" s="76"/>
      <c r="AB183" s="76"/>
      <c r="AC183" s="76"/>
      <c r="AD183" s="76"/>
      <c r="AE183" s="76"/>
      <c r="AF183" s="76"/>
      <c r="AG183" s="76"/>
      <c r="AH183" s="76"/>
      <c r="AI183" s="76"/>
      <c r="AJ183" s="76"/>
      <c r="AK183" s="76"/>
      <c r="AL183" s="76"/>
      <c r="AM183" s="76"/>
      <c r="AN183" s="76"/>
      <c r="AO183" s="92"/>
      <c r="AP183" s="76"/>
      <c r="AQ183" s="76"/>
      <c r="AR183" s="76"/>
      <c r="AS183" s="76"/>
      <c r="AT183" s="76"/>
      <c r="AU183" s="76"/>
    </row>
    <row r="184" spans="1:47" ht="15.75" customHeight="1" thickBot="1" x14ac:dyDescent="0.45">
      <c r="A184" s="76"/>
      <c r="B184" s="92"/>
      <c r="C184" s="92"/>
      <c r="D184" s="76"/>
      <c r="E184" s="76"/>
      <c r="F184" s="76"/>
      <c r="G184" s="76"/>
      <c r="H184" s="76"/>
      <c r="I184" s="76"/>
      <c r="J184" s="76"/>
      <c r="K184" s="76"/>
      <c r="L184" s="76"/>
      <c r="M184" s="76"/>
      <c r="N184" s="76"/>
      <c r="O184" s="76"/>
      <c r="P184" s="76"/>
      <c r="Q184" s="76"/>
      <c r="R184" s="76"/>
      <c r="S184" s="76"/>
      <c r="T184" s="76"/>
      <c r="U184" s="76"/>
      <c r="V184" s="76"/>
      <c r="W184" s="76"/>
      <c r="X184" s="76"/>
      <c r="Y184" s="76"/>
      <c r="Z184" s="76"/>
      <c r="AA184" s="76"/>
      <c r="AB184" s="76"/>
      <c r="AC184" s="76"/>
      <c r="AD184" s="76"/>
      <c r="AE184" s="76"/>
      <c r="AF184" s="76"/>
      <c r="AG184" s="76"/>
      <c r="AH184" s="76"/>
      <c r="AI184" s="76"/>
      <c r="AJ184" s="76"/>
      <c r="AK184" s="76"/>
      <c r="AL184" s="76"/>
      <c r="AM184" s="76"/>
      <c r="AN184" s="76"/>
      <c r="AO184" s="92"/>
      <c r="AP184" s="76"/>
      <c r="AQ184" s="76"/>
      <c r="AR184" s="76"/>
      <c r="AS184" s="76"/>
      <c r="AT184" s="76"/>
      <c r="AU184" s="76"/>
    </row>
    <row r="185" spans="1:47" ht="15.75" customHeight="1" thickBot="1" x14ac:dyDescent="0.45">
      <c r="A185" s="76"/>
      <c r="B185" s="92"/>
      <c r="C185" s="92"/>
      <c r="D185" s="76"/>
      <c r="E185" s="76"/>
      <c r="F185" s="76"/>
      <c r="G185" s="76"/>
      <c r="H185" s="76"/>
      <c r="I185" s="76"/>
      <c r="J185" s="76"/>
      <c r="K185" s="76"/>
      <c r="L185" s="76"/>
      <c r="M185" s="76"/>
      <c r="N185" s="76"/>
      <c r="O185" s="76"/>
      <c r="P185" s="76"/>
      <c r="Q185" s="76"/>
      <c r="R185" s="76"/>
      <c r="S185" s="76"/>
      <c r="T185" s="76"/>
      <c r="U185" s="76"/>
      <c r="V185" s="76"/>
      <c r="W185" s="76"/>
      <c r="X185" s="76"/>
      <c r="Y185" s="76"/>
      <c r="Z185" s="76"/>
      <c r="AA185" s="76"/>
      <c r="AB185" s="76"/>
      <c r="AC185" s="76"/>
      <c r="AD185" s="76"/>
      <c r="AE185" s="76"/>
      <c r="AF185" s="76"/>
      <c r="AG185" s="76"/>
      <c r="AH185" s="76"/>
      <c r="AI185" s="76"/>
      <c r="AJ185" s="76"/>
      <c r="AK185" s="76"/>
      <c r="AL185" s="76"/>
      <c r="AM185" s="76"/>
      <c r="AN185" s="76"/>
      <c r="AO185" s="92"/>
      <c r="AP185" s="76"/>
      <c r="AQ185" s="76"/>
      <c r="AR185" s="76"/>
      <c r="AS185" s="76"/>
      <c r="AT185" s="76"/>
      <c r="AU185" s="76"/>
    </row>
    <row r="186" spans="1:47" ht="15.75" customHeight="1" thickBot="1" x14ac:dyDescent="0.45">
      <c r="A186" s="76"/>
      <c r="B186" s="92"/>
      <c r="C186" s="92"/>
      <c r="D186" s="76"/>
      <c r="E186" s="76"/>
      <c r="F186" s="76"/>
      <c r="G186" s="76"/>
      <c r="H186" s="76"/>
      <c r="I186" s="76"/>
      <c r="J186" s="76"/>
      <c r="K186" s="76"/>
      <c r="L186" s="76"/>
      <c r="M186" s="76"/>
      <c r="N186" s="76"/>
      <c r="O186" s="76"/>
      <c r="P186" s="76"/>
      <c r="Q186" s="76"/>
      <c r="R186" s="76"/>
      <c r="S186" s="76"/>
      <c r="T186" s="76"/>
      <c r="U186" s="76"/>
      <c r="V186" s="76"/>
      <c r="W186" s="76"/>
      <c r="X186" s="76"/>
      <c r="Y186" s="76"/>
      <c r="Z186" s="76"/>
      <c r="AA186" s="76"/>
      <c r="AB186" s="76"/>
      <c r="AC186" s="76"/>
      <c r="AD186" s="76"/>
      <c r="AE186" s="76"/>
      <c r="AF186" s="76"/>
      <c r="AG186" s="76"/>
      <c r="AH186" s="76"/>
      <c r="AI186" s="76"/>
      <c r="AJ186" s="76"/>
      <c r="AK186" s="76"/>
      <c r="AL186" s="76"/>
      <c r="AM186" s="76"/>
      <c r="AN186" s="76"/>
      <c r="AO186" s="92"/>
      <c r="AP186" s="76"/>
      <c r="AQ186" s="76"/>
      <c r="AR186" s="76"/>
      <c r="AS186" s="76"/>
      <c r="AT186" s="76"/>
      <c r="AU186" s="76"/>
    </row>
    <row r="187" spans="1:47" ht="15.75" customHeight="1" thickBot="1" x14ac:dyDescent="0.45">
      <c r="A187" s="76"/>
      <c r="B187" s="92"/>
      <c r="C187" s="92"/>
      <c r="D187" s="76"/>
      <c r="E187" s="76"/>
      <c r="F187" s="76"/>
      <c r="G187" s="76"/>
      <c r="H187" s="76"/>
      <c r="I187" s="76"/>
      <c r="J187" s="76"/>
      <c r="K187" s="76"/>
      <c r="L187" s="76"/>
      <c r="M187" s="76"/>
      <c r="N187" s="76"/>
      <c r="O187" s="76"/>
      <c r="P187" s="76"/>
      <c r="Q187" s="76"/>
      <c r="R187" s="76"/>
      <c r="S187" s="76"/>
      <c r="T187" s="76"/>
      <c r="U187" s="76"/>
      <c r="V187" s="76"/>
      <c r="W187" s="76"/>
      <c r="X187" s="76"/>
      <c r="Y187" s="76"/>
      <c r="Z187" s="76"/>
      <c r="AA187" s="76"/>
      <c r="AB187" s="76"/>
      <c r="AC187" s="76"/>
      <c r="AD187" s="76"/>
      <c r="AE187" s="76"/>
      <c r="AF187" s="76"/>
      <c r="AG187" s="76"/>
      <c r="AH187" s="76"/>
      <c r="AI187" s="76"/>
      <c r="AJ187" s="76"/>
      <c r="AK187" s="76"/>
      <c r="AL187" s="76"/>
      <c r="AM187" s="76"/>
      <c r="AN187" s="76"/>
      <c r="AO187" s="92"/>
      <c r="AP187" s="76"/>
      <c r="AQ187" s="76"/>
      <c r="AR187" s="76"/>
      <c r="AS187" s="76"/>
      <c r="AT187" s="76"/>
      <c r="AU187" s="76"/>
    </row>
    <row r="188" spans="1:47" ht="15.75" customHeight="1" thickBot="1" x14ac:dyDescent="0.45">
      <c r="A188" s="76"/>
      <c r="B188" s="92"/>
      <c r="C188" s="92"/>
      <c r="D188" s="76"/>
      <c r="E188" s="76"/>
      <c r="F188" s="76"/>
      <c r="G188" s="76"/>
      <c r="H188" s="76"/>
      <c r="I188" s="76"/>
      <c r="J188" s="76"/>
      <c r="K188" s="76"/>
      <c r="L188" s="76"/>
      <c r="M188" s="76"/>
      <c r="N188" s="76"/>
      <c r="O188" s="76"/>
      <c r="P188" s="76"/>
      <c r="Q188" s="76"/>
      <c r="R188" s="76"/>
      <c r="S188" s="76"/>
      <c r="T188" s="76"/>
      <c r="U188" s="76"/>
      <c r="V188" s="76"/>
      <c r="W188" s="76"/>
      <c r="X188" s="76"/>
      <c r="Y188" s="76"/>
      <c r="Z188" s="76"/>
      <c r="AA188" s="76"/>
      <c r="AB188" s="76"/>
      <c r="AC188" s="76"/>
      <c r="AD188" s="76"/>
      <c r="AE188" s="76"/>
      <c r="AF188" s="76"/>
      <c r="AG188" s="76"/>
      <c r="AH188" s="76"/>
      <c r="AI188" s="76"/>
      <c r="AJ188" s="76"/>
      <c r="AK188" s="76"/>
      <c r="AL188" s="76"/>
      <c r="AM188" s="76"/>
      <c r="AN188" s="76"/>
      <c r="AO188" s="92"/>
      <c r="AP188" s="76"/>
      <c r="AQ188" s="76"/>
      <c r="AR188" s="76"/>
      <c r="AS188" s="76"/>
      <c r="AT188" s="76"/>
      <c r="AU188" s="76"/>
    </row>
    <row r="189" spans="1:47" ht="15.75" customHeight="1" thickBot="1" x14ac:dyDescent="0.45">
      <c r="A189" s="76"/>
      <c r="B189" s="92"/>
      <c r="C189" s="92"/>
      <c r="D189" s="76"/>
      <c r="E189" s="76"/>
      <c r="F189" s="76"/>
      <c r="G189" s="76"/>
      <c r="H189" s="76"/>
      <c r="I189" s="76"/>
      <c r="J189" s="76"/>
      <c r="K189" s="76"/>
      <c r="L189" s="76"/>
      <c r="M189" s="76"/>
      <c r="N189" s="76"/>
      <c r="O189" s="76"/>
      <c r="P189" s="76"/>
      <c r="Q189" s="76"/>
      <c r="R189" s="76"/>
      <c r="S189" s="76"/>
      <c r="T189" s="76"/>
      <c r="U189" s="76"/>
      <c r="V189" s="76"/>
      <c r="W189" s="76"/>
      <c r="X189" s="76"/>
      <c r="Y189" s="76"/>
      <c r="Z189" s="76"/>
      <c r="AA189" s="76"/>
      <c r="AB189" s="76"/>
      <c r="AC189" s="76"/>
      <c r="AD189" s="76"/>
      <c r="AE189" s="76"/>
      <c r="AF189" s="76"/>
      <c r="AG189" s="76"/>
      <c r="AH189" s="76"/>
      <c r="AI189" s="76"/>
      <c r="AJ189" s="76"/>
      <c r="AK189" s="76"/>
      <c r="AL189" s="76"/>
      <c r="AM189" s="76"/>
      <c r="AN189" s="76"/>
      <c r="AO189" s="92"/>
      <c r="AP189" s="76"/>
      <c r="AQ189" s="76"/>
      <c r="AR189" s="76"/>
      <c r="AS189" s="76"/>
      <c r="AT189" s="76"/>
      <c r="AU189" s="76"/>
    </row>
    <row r="190" spans="1:47" ht="15.75" customHeight="1" thickBot="1" x14ac:dyDescent="0.45">
      <c r="A190" s="76"/>
      <c r="B190" s="92"/>
      <c r="C190" s="92"/>
      <c r="D190" s="76"/>
      <c r="E190" s="76"/>
      <c r="F190" s="76"/>
      <c r="G190" s="76"/>
      <c r="H190" s="76"/>
      <c r="I190" s="76"/>
      <c r="J190" s="76"/>
      <c r="K190" s="76"/>
      <c r="L190" s="76"/>
      <c r="M190" s="76"/>
      <c r="N190" s="76"/>
      <c r="O190" s="76"/>
      <c r="P190" s="76"/>
      <c r="Q190" s="76"/>
      <c r="R190" s="76"/>
      <c r="S190" s="76"/>
      <c r="T190" s="76"/>
      <c r="U190" s="76"/>
      <c r="V190" s="76"/>
      <c r="W190" s="76"/>
      <c r="X190" s="76"/>
      <c r="Y190" s="76"/>
      <c r="Z190" s="76"/>
      <c r="AA190" s="76"/>
      <c r="AB190" s="76"/>
      <c r="AC190" s="76"/>
      <c r="AD190" s="76"/>
      <c r="AE190" s="76"/>
      <c r="AF190" s="76"/>
      <c r="AG190" s="76"/>
      <c r="AH190" s="76"/>
      <c r="AI190" s="76"/>
      <c r="AJ190" s="76"/>
      <c r="AK190" s="76"/>
      <c r="AL190" s="76"/>
      <c r="AM190" s="76"/>
      <c r="AN190" s="76"/>
      <c r="AO190" s="92"/>
      <c r="AP190" s="76"/>
      <c r="AQ190" s="76"/>
      <c r="AR190" s="76"/>
      <c r="AS190" s="76"/>
      <c r="AT190" s="76"/>
      <c r="AU190" s="76"/>
    </row>
    <row r="191" spans="1:47" ht="15.75" customHeight="1" thickBot="1" x14ac:dyDescent="0.45">
      <c r="A191" s="76"/>
      <c r="B191" s="92"/>
      <c r="C191" s="92"/>
      <c r="D191" s="76"/>
      <c r="E191" s="76"/>
      <c r="F191" s="76"/>
      <c r="G191" s="76"/>
      <c r="H191" s="76"/>
      <c r="I191" s="76"/>
      <c r="J191" s="76"/>
      <c r="K191" s="76"/>
      <c r="L191" s="76"/>
      <c r="M191" s="76"/>
      <c r="N191" s="76"/>
      <c r="O191" s="76"/>
      <c r="P191" s="76"/>
      <c r="Q191" s="76"/>
      <c r="R191" s="76"/>
      <c r="S191" s="76"/>
      <c r="T191" s="76"/>
      <c r="U191" s="76"/>
      <c r="V191" s="76"/>
      <c r="W191" s="76"/>
      <c r="X191" s="76"/>
      <c r="Y191" s="76"/>
      <c r="Z191" s="76"/>
      <c r="AA191" s="76"/>
      <c r="AB191" s="76"/>
      <c r="AC191" s="76"/>
      <c r="AD191" s="76"/>
      <c r="AE191" s="76"/>
      <c r="AF191" s="76"/>
      <c r="AG191" s="76"/>
      <c r="AH191" s="76"/>
      <c r="AI191" s="76"/>
      <c r="AJ191" s="76"/>
      <c r="AK191" s="76"/>
      <c r="AL191" s="76"/>
      <c r="AM191" s="76"/>
      <c r="AN191" s="76"/>
      <c r="AO191" s="92"/>
      <c r="AP191" s="76"/>
      <c r="AQ191" s="76"/>
      <c r="AR191" s="76"/>
      <c r="AS191" s="76"/>
      <c r="AT191" s="76"/>
      <c r="AU191" s="76"/>
    </row>
    <row r="192" spans="1:47" ht="15.75" customHeight="1" thickBot="1" x14ac:dyDescent="0.45">
      <c r="A192" s="76"/>
      <c r="B192" s="92"/>
      <c r="C192" s="92"/>
      <c r="D192" s="76"/>
      <c r="E192" s="76"/>
      <c r="F192" s="76"/>
      <c r="G192" s="76"/>
      <c r="H192" s="76"/>
      <c r="I192" s="76"/>
      <c r="J192" s="76"/>
      <c r="K192" s="76"/>
      <c r="L192" s="76"/>
      <c r="M192" s="76"/>
      <c r="N192" s="76"/>
      <c r="O192" s="76"/>
      <c r="P192" s="76"/>
      <c r="Q192" s="76"/>
      <c r="R192" s="76"/>
      <c r="S192" s="76"/>
      <c r="T192" s="76"/>
      <c r="U192" s="76"/>
      <c r="V192" s="76"/>
      <c r="W192" s="76"/>
      <c r="X192" s="76"/>
      <c r="Y192" s="76"/>
      <c r="Z192" s="76"/>
      <c r="AA192" s="76"/>
      <c r="AB192" s="76"/>
      <c r="AC192" s="76"/>
      <c r="AD192" s="76"/>
      <c r="AE192" s="76"/>
      <c r="AF192" s="76"/>
      <c r="AG192" s="76"/>
      <c r="AH192" s="76"/>
      <c r="AI192" s="76"/>
      <c r="AJ192" s="76"/>
      <c r="AK192" s="76"/>
      <c r="AL192" s="76"/>
      <c r="AM192" s="76"/>
      <c r="AN192" s="76"/>
      <c r="AO192" s="92"/>
      <c r="AP192" s="76"/>
      <c r="AQ192" s="76"/>
      <c r="AR192" s="76"/>
      <c r="AS192" s="76"/>
      <c r="AT192" s="76"/>
      <c r="AU192" s="76"/>
    </row>
    <row r="193" spans="1:47" ht="15.75" customHeight="1" thickBot="1" x14ac:dyDescent="0.45">
      <c r="A193" s="76"/>
      <c r="B193" s="92"/>
      <c r="C193" s="92"/>
      <c r="D193" s="76"/>
      <c r="E193" s="76"/>
      <c r="F193" s="76"/>
      <c r="G193" s="76"/>
      <c r="H193" s="76"/>
      <c r="I193" s="76"/>
      <c r="J193" s="76"/>
      <c r="K193" s="76"/>
      <c r="L193" s="76"/>
      <c r="M193" s="76"/>
      <c r="N193" s="76"/>
      <c r="O193" s="76"/>
      <c r="P193" s="76"/>
      <c r="Q193" s="76"/>
      <c r="R193" s="76"/>
      <c r="S193" s="76"/>
      <c r="T193" s="76"/>
      <c r="U193" s="76"/>
      <c r="V193" s="76"/>
      <c r="W193" s="76"/>
      <c r="X193" s="76"/>
      <c r="Y193" s="76"/>
      <c r="Z193" s="76"/>
      <c r="AA193" s="76"/>
      <c r="AB193" s="76"/>
      <c r="AC193" s="76"/>
      <c r="AD193" s="76"/>
      <c r="AE193" s="76"/>
      <c r="AF193" s="76"/>
      <c r="AG193" s="76"/>
      <c r="AH193" s="76"/>
      <c r="AI193" s="76"/>
      <c r="AJ193" s="76"/>
      <c r="AK193" s="76"/>
      <c r="AL193" s="76"/>
      <c r="AM193" s="76"/>
      <c r="AN193" s="76"/>
      <c r="AO193" s="92"/>
      <c r="AP193" s="76"/>
      <c r="AQ193" s="76"/>
      <c r="AR193" s="76"/>
      <c r="AS193" s="76"/>
      <c r="AT193" s="76"/>
      <c r="AU193" s="76"/>
    </row>
    <row r="194" spans="1:47" ht="15.75" customHeight="1" thickBot="1" x14ac:dyDescent="0.45">
      <c r="A194" s="76"/>
      <c r="B194" s="92"/>
      <c r="C194" s="92"/>
      <c r="D194" s="76"/>
      <c r="E194" s="76"/>
      <c r="F194" s="76"/>
      <c r="G194" s="76"/>
      <c r="H194" s="76"/>
      <c r="I194" s="76"/>
      <c r="J194" s="76"/>
      <c r="K194" s="76"/>
      <c r="L194" s="76"/>
      <c r="M194" s="76"/>
      <c r="N194" s="76"/>
      <c r="O194" s="76"/>
      <c r="P194" s="76"/>
      <c r="Q194" s="76"/>
      <c r="R194" s="76"/>
      <c r="S194" s="76"/>
      <c r="T194" s="76"/>
      <c r="U194" s="76"/>
      <c r="V194" s="76"/>
      <c r="W194" s="76"/>
      <c r="X194" s="76"/>
      <c r="Y194" s="76"/>
      <c r="Z194" s="76"/>
      <c r="AA194" s="76"/>
      <c r="AB194" s="76"/>
      <c r="AC194" s="76"/>
      <c r="AD194" s="76"/>
      <c r="AE194" s="76"/>
      <c r="AF194" s="76"/>
      <c r="AG194" s="76"/>
      <c r="AH194" s="76"/>
      <c r="AI194" s="76"/>
      <c r="AJ194" s="76"/>
      <c r="AK194" s="76"/>
      <c r="AL194" s="76"/>
      <c r="AM194" s="76"/>
      <c r="AN194" s="76"/>
      <c r="AO194" s="92"/>
      <c r="AP194" s="76"/>
      <c r="AQ194" s="76"/>
      <c r="AR194" s="76"/>
      <c r="AS194" s="76"/>
      <c r="AT194" s="76"/>
      <c r="AU194" s="76"/>
    </row>
    <row r="195" spans="1:47" ht="15.75" customHeight="1" thickBot="1" x14ac:dyDescent="0.45">
      <c r="A195" s="76"/>
      <c r="B195" s="92"/>
      <c r="C195" s="92"/>
      <c r="D195" s="76"/>
      <c r="E195" s="76"/>
      <c r="F195" s="76"/>
      <c r="G195" s="76"/>
      <c r="H195" s="76"/>
      <c r="I195" s="76"/>
      <c r="J195" s="76"/>
      <c r="K195" s="76"/>
      <c r="L195" s="76"/>
      <c r="M195" s="76"/>
      <c r="N195" s="76"/>
      <c r="O195" s="76"/>
      <c r="P195" s="76"/>
      <c r="Q195" s="76"/>
      <c r="R195" s="76"/>
      <c r="S195" s="76"/>
      <c r="T195" s="76"/>
      <c r="U195" s="76"/>
      <c r="V195" s="76"/>
      <c r="W195" s="76"/>
      <c r="X195" s="76"/>
      <c r="Y195" s="76"/>
      <c r="Z195" s="76"/>
      <c r="AA195" s="76"/>
      <c r="AB195" s="76"/>
      <c r="AC195" s="76"/>
      <c r="AD195" s="76"/>
      <c r="AE195" s="76"/>
      <c r="AF195" s="76"/>
      <c r="AG195" s="76"/>
      <c r="AH195" s="76"/>
      <c r="AI195" s="76"/>
      <c r="AJ195" s="76"/>
      <c r="AK195" s="76"/>
      <c r="AL195" s="76"/>
      <c r="AM195" s="76"/>
      <c r="AN195" s="76"/>
      <c r="AO195" s="92"/>
      <c r="AP195" s="76"/>
      <c r="AQ195" s="76"/>
      <c r="AR195" s="76"/>
      <c r="AS195" s="76"/>
      <c r="AT195" s="76"/>
      <c r="AU195" s="76"/>
    </row>
    <row r="196" spans="1:47" ht="15.75" customHeight="1" thickBot="1" x14ac:dyDescent="0.45">
      <c r="A196" s="76"/>
      <c r="B196" s="92"/>
      <c r="C196" s="92"/>
      <c r="D196" s="76"/>
      <c r="E196" s="76"/>
      <c r="F196" s="76"/>
      <c r="G196" s="76"/>
      <c r="H196" s="76"/>
      <c r="I196" s="76"/>
      <c r="J196" s="76"/>
      <c r="K196" s="76"/>
      <c r="L196" s="76"/>
      <c r="M196" s="76"/>
      <c r="N196" s="76"/>
      <c r="O196" s="76"/>
      <c r="P196" s="76"/>
      <c r="Q196" s="76"/>
      <c r="R196" s="76"/>
      <c r="S196" s="76"/>
      <c r="T196" s="76"/>
      <c r="U196" s="76"/>
      <c r="V196" s="76"/>
      <c r="W196" s="76"/>
      <c r="X196" s="76"/>
      <c r="Y196" s="76"/>
      <c r="Z196" s="76"/>
      <c r="AA196" s="76"/>
      <c r="AB196" s="76"/>
      <c r="AC196" s="76"/>
      <c r="AD196" s="76"/>
      <c r="AE196" s="76"/>
      <c r="AF196" s="76"/>
      <c r="AG196" s="76"/>
      <c r="AH196" s="76"/>
      <c r="AI196" s="76"/>
      <c r="AJ196" s="76"/>
      <c r="AK196" s="76"/>
      <c r="AL196" s="76"/>
      <c r="AM196" s="76"/>
      <c r="AN196" s="76"/>
      <c r="AO196" s="92"/>
      <c r="AP196" s="76"/>
      <c r="AQ196" s="76"/>
      <c r="AR196" s="76"/>
      <c r="AS196" s="76"/>
      <c r="AT196" s="76"/>
      <c r="AU196" s="76"/>
    </row>
    <row r="197" spans="1:47" ht="15.75" customHeight="1" thickBot="1" x14ac:dyDescent="0.45">
      <c r="A197" s="76"/>
      <c r="B197" s="92"/>
      <c r="C197" s="92"/>
      <c r="D197" s="76"/>
      <c r="E197" s="76"/>
      <c r="F197" s="76"/>
      <c r="G197" s="76"/>
      <c r="H197" s="76"/>
      <c r="I197" s="76"/>
      <c r="J197" s="76"/>
      <c r="K197" s="76"/>
      <c r="L197" s="76"/>
      <c r="M197" s="76"/>
      <c r="N197" s="76"/>
      <c r="O197" s="76"/>
      <c r="P197" s="76"/>
      <c r="Q197" s="76"/>
      <c r="R197" s="76"/>
      <c r="S197" s="76"/>
      <c r="T197" s="76"/>
      <c r="U197" s="76"/>
      <c r="V197" s="76"/>
      <c r="W197" s="76"/>
      <c r="X197" s="76"/>
      <c r="Y197" s="76"/>
      <c r="Z197" s="76"/>
      <c r="AA197" s="76"/>
      <c r="AB197" s="76"/>
      <c r="AC197" s="76"/>
      <c r="AD197" s="76"/>
      <c r="AE197" s="76"/>
      <c r="AF197" s="76"/>
      <c r="AG197" s="76"/>
      <c r="AH197" s="76"/>
      <c r="AI197" s="76"/>
      <c r="AJ197" s="76"/>
      <c r="AK197" s="76"/>
      <c r="AL197" s="76"/>
      <c r="AM197" s="76"/>
      <c r="AN197" s="76"/>
      <c r="AO197" s="92"/>
      <c r="AP197" s="76"/>
      <c r="AQ197" s="76"/>
      <c r="AR197" s="76"/>
      <c r="AS197" s="76"/>
      <c r="AT197" s="76"/>
      <c r="AU197" s="76"/>
    </row>
    <row r="198" spans="1:47" ht="15.75" customHeight="1" thickBot="1" x14ac:dyDescent="0.45">
      <c r="A198" s="76"/>
      <c r="B198" s="92"/>
      <c r="C198" s="92"/>
      <c r="D198" s="76"/>
      <c r="E198" s="76"/>
      <c r="F198" s="76"/>
      <c r="G198" s="76"/>
      <c r="H198" s="76"/>
      <c r="I198" s="76"/>
      <c r="J198" s="76"/>
      <c r="K198" s="76"/>
      <c r="L198" s="76"/>
      <c r="M198" s="76"/>
      <c r="N198" s="76"/>
      <c r="O198" s="76"/>
      <c r="P198" s="76"/>
      <c r="Q198" s="76"/>
      <c r="R198" s="76"/>
      <c r="S198" s="76"/>
      <c r="T198" s="76"/>
      <c r="U198" s="76"/>
      <c r="V198" s="76"/>
      <c r="W198" s="76"/>
      <c r="X198" s="76"/>
      <c r="Y198" s="76"/>
      <c r="Z198" s="76"/>
      <c r="AA198" s="76"/>
      <c r="AB198" s="76"/>
      <c r="AC198" s="76"/>
      <c r="AD198" s="76"/>
      <c r="AE198" s="76"/>
      <c r="AF198" s="76"/>
      <c r="AG198" s="76"/>
      <c r="AH198" s="76"/>
      <c r="AI198" s="76"/>
      <c r="AJ198" s="76"/>
      <c r="AK198" s="76"/>
      <c r="AL198" s="76"/>
      <c r="AM198" s="76"/>
      <c r="AN198" s="76"/>
      <c r="AO198" s="92"/>
      <c r="AP198" s="76"/>
      <c r="AQ198" s="76"/>
      <c r="AR198" s="76"/>
      <c r="AS198" s="76"/>
      <c r="AT198" s="76"/>
      <c r="AU198" s="76"/>
    </row>
    <row r="199" spans="1:47" ht="15.75" customHeight="1" thickBot="1" x14ac:dyDescent="0.45">
      <c r="A199" s="76"/>
      <c r="B199" s="92"/>
      <c r="C199" s="92"/>
      <c r="D199" s="76"/>
      <c r="E199" s="76"/>
      <c r="F199" s="76"/>
      <c r="G199" s="76"/>
      <c r="H199" s="76"/>
      <c r="I199" s="76"/>
      <c r="J199" s="76"/>
      <c r="K199" s="76"/>
      <c r="L199" s="76"/>
      <c r="M199" s="76"/>
      <c r="N199" s="76"/>
      <c r="O199" s="76"/>
      <c r="P199" s="76"/>
      <c r="Q199" s="76"/>
      <c r="R199" s="76"/>
      <c r="S199" s="76"/>
      <c r="T199" s="76"/>
      <c r="U199" s="76"/>
      <c r="V199" s="76"/>
      <c r="W199" s="76"/>
      <c r="X199" s="76"/>
      <c r="Y199" s="76"/>
      <c r="Z199" s="76"/>
      <c r="AA199" s="76"/>
      <c r="AB199" s="76"/>
      <c r="AC199" s="76"/>
      <c r="AD199" s="76"/>
      <c r="AE199" s="76"/>
      <c r="AF199" s="76"/>
      <c r="AG199" s="76"/>
      <c r="AH199" s="76"/>
      <c r="AI199" s="76"/>
      <c r="AJ199" s="76"/>
      <c r="AK199" s="76"/>
      <c r="AL199" s="76"/>
      <c r="AM199" s="76"/>
      <c r="AN199" s="76"/>
      <c r="AO199" s="92"/>
      <c r="AP199" s="76"/>
      <c r="AQ199" s="76"/>
      <c r="AR199" s="76"/>
      <c r="AS199" s="76"/>
      <c r="AT199" s="76"/>
      <c r="AU199" s="76"/>
    </row>
    <row r="200" spans="1:47" ht="15.75" customHeight="1" thickBot="1" x14ac:dyDescent="0.45">
      <c r="A200" s="76"/>
      <c r="B200" s="92"/>
      <c r="C200" s="92"/>
      <c r="D200" s="76"/>
      <c r="E200" s="76"/>
      <c r="F200" s="76"/>
      <c r="G200" s="76"/>
      <c r="H200" s="76"/>
      <c r="I200" s="76"/>
      <c r="J200" s="76"/>
      <c r="K200" s="76"/>
      <c r="L200" s="76"/>
      <c r="M200" s="76"/>
      <c r="N200" s="76"/>
      <c r="O200" s="76"/>
      <c r="P200" s="76"/>
      <c r="Q200" s="76"/>
      <c r="R200" s="76"/>
      <c r="S200" s="76"/>
      <c r="T200" s="76"/>
      <c r="U200" s="76"/>
      <c r="V200" s="76"/>
      <c r="W200" s="76"/>
      <c r="X200" s="76"/>
      <c r="Y200" s="76"/>
      <c r="Z200" s="76"/>
      <c r="AA200" s="76"/>
      <c r="AB200" s="76"/>
      <c r="AC200" s="76"/>
      <c r="AD200" s="76"/>
      <c r="AE200" s="76"/>
      <c r="AF200" s="76"/>
      <c r="AG200" s="76"/>
      <c r="AH200" s="76"/>
      <c r="AI200" s="76"/>
      <c r="AJ200" s="76"/>
      <c r="AK200" s="76"/>
      <c r="AL200" s="76"/>
      <c r="AM200" s="76"/>
      <c r="AN200" s="76"/>
      <c r="AO200" s="92"/>
      <c r="AP200" s="76"/>
      <c r="AQ200" s="76"/>
      <c r="AR200" s="76"/>
      <c r="AS200" s="76"/>
      <c r="AT200" s="76"/>
      <c r="AU200" s="76"/>
    </row>
    <row r="201" spans="1:47" ht="15.75" customHeight="1" thickBot="1" x14ac:dyDescent="0.45">
      <c r="A201" s="76"/>
      <c r="B201" s="92"/>
      <c r="C201" s="92"/>
      <c r="D201" s="76"/>
      <c r="E201" s="76"/>
      <c r="F201" s="76"/>
      <c r="G201" s="76"/>
      <c r="H201" s="76"/>
      <c r="I201" s="76"/>
      <c r="J201" s="76"/>
      <c r="K201" s="76"/>
      <c r="L201" s="76"/>
      <c r="M201" s="76"/>
      <c r="N201" s="76"/>
      <c r="O201" s="76"/>
      <c r="P201" s="76"/>
      <c r="Q201" s="76"/>
      <c r="R201" s="76"/>
      <c r="S201" s="76"/>
      <c r="T201" s="76"/>
      <c r="U201" s="76"/>
      <c r="V201" s="76"/>
      <c r="W201" s="76"/>
      <c r="X201" s="76"/>
      <c r="Y201" s="76"/>
      <c r="Z201" s="76"/>
      <c r="AA201" s="76"/>
      <c r="AB201" s="76"/>
      <c r="AC201" s="76"/>
      <c r="AD201" s="76"/>
      <c r="AE201" s="76"/>
      <c r="AF201" s="76"/>
      <c r="AG201" s="76"/>
      <c r="AH201" s="76"/>
      <c r="AI201" s="76"/>
      <c r="AJ201" s="76"/>
      <c r="AK201" s="76"/>
      <c r="AL201" s="76"/>
      <c r="AM201" s="76"/>
      <c r="AN201" s="76"/>
      <c r="AO201" s="92"/>
      <c r="AP201" s="76"/>
      <c r="AQ201" s="76"/>
      <c r="AR201" s="76"/>
      <c r="AS201" s="76"/>
      <c r="AT201" s="76"/>
      <c r="AU201" s="76"/>
    </row>
    <row r="202" spans="1:47" ht="15.75" customHeight="1" thickBot="1" x14ac:dyDescent="0.45">
      <c r="A202" s="76"/>
      <c r="B202" s="92"/>
      <c r="C202" s="92"/>
      <c r="D202" s="76"/>
      <c r="E202" s="76"/>
      <c r="F202" s="76"/>
      <c r="G202" s="76"/>
      <c r="H202" s="76"/>
      <c r="I202" s="76"/>
      <c r="J202" s="76"/>
      <c r="K202" s="76"/>
      <c r="L202" s="76"/>
      <c r="M202" s="76"/>
      <c r="N202" s="76"/>
      <c r="O202" s="76"/>
      <c r="P202" s="76"/>
      <c r="Q202" s="76"/>
      <c r="R202" s="76"/>
      <c r="S202" s="76"/>
      <c r="T202" s="76"/>
      <c r="U202" s="76"/>
      <c r="V202" s="76"/>
      <c r="W202" s="76"/>
      <c r="X202" s="76"/>
      <c r="Y202" s="76"/>
      <c r="Z202" s="76"/>
      <c r="AA202" s="76"/>
      <c r="AB202" s="76"/>
      <c r="AC202" s="76"/>
      <c r="AD202" s="76"/>
      <c r="AE202" s="76"/>
      <c r="AF202" s="76"/>
      <c r="AG202" s="76"/>
      <c r="AH202" s="76"/>
      <c r="AI202" s="76"/>
      <c r="AJ202" s="76"/>
      <c r="AK202" s="76"/>
      <c r="AL202" s="76"/>
      <c r="AM202" s="76"/>
      <c r="AN202" s="76"/>
      <c r="AO202" s="92"/>
      <c r="AP202" s="76"/>
      <c r="AQ202" s="76"/>
      <c r="AR202" s="76"/>
      <c r="AS202" s="76"/>
      <c r="AT202" s="76"/>
      <c r="AU202" s="76"/>
    </row>
    <row r="203" spans="1:47" ht="15.75" customHeight="1" thickBot="1" x14ac:dyDescent="0.45">
      <c r="A203" s="76"/>
      <c r="B203" s="92"/>
      <c r="C203" s="92"/>
      <c r="D203" s="76"/>
      <c r="E203" s="76"/>
      <c r="F203" s="76"/>
      <c r="G203" s="76"/>
      <c r="H203" s="76"/>
      <c r="I203" s="76"/>
      <c r="J203" s="76"/>
      <c r="K203" s="76"/>
      <c r="L203" s="76"/>
      <c r="M203" s="76"/>
      <c r="N203" s="76"/>
      <c r="O203" s="76"/>
      <c r="P203" s="76"/>
      <c r="Q203" s="76"/>
      <c r="R203" s="76"/>
      <c r="S203" s="76"/>
      <c r="T203" s="76"/>
      <c r="U203" s="76"/>
      <c r="V203" s="76"/>
      <c r="W203" s="76"/>
      <c r="X203" s="76"/>
      <c r="Y203" s="76"/>
      <c r="Z203" s="76"/>
      <c r="AA203" s="76"/>
      <c r="AB203" s="76"/>
      <c r="AC203" s="76"/>
      <c r="AD203" s="76"/>
      <c r="AE203" s="76"/>
      <c r="AF203" s="76"/>
      <c r="AG203" s="76"/>
      <c r="AH203" s="76"/>
      <c r="AI203" s="76"/>
      <c r="AJ203" s="76"/>
      <c r="AK203" s="76"/>
      <c r="AL203" s="76"/>
      <c r="AM203" s="76"/>
      <c r="AN203" s="76"/>
      <c r="AO203" s="92"/>
      <c r="AP203" s="76"/>
      <c r="AQ203" s="76"/>
      <c r="AR203" s="76"/>
      <c r="AS203" s="76"/>
      <c r="AT203" s="76"/>
      <c r="AU203" s="76"/>
    </row>
    <row r="204" spans="1:47" ht="15.75" customHeight="1" thickBot="1" x14ac:dyDescent="0.45">
      <c r="A204" s="76"/>
      <c r="B204" s="92"/>
      <c r="C204" s="92"/>
      <c r="D204" s="76"/>
      <c r="E204" s="76"/>
      <c r="F204" s="76"/>
      <c r="G204" s="76"/>
      <c r="H204" s="76"/>
      <c r="I204" s="76"/>
      <c r="J204" s="76"/>
      <c r="K204" s="76"/>
      <c r="L204" s="76"/>
      <c r="M204" s="76"/>
      <c r="N204" s="76"/>
      <c r="O204" s="76"/>
      <c r="P204" s="76"/>
      <c r="Q204" s="76"/>
      <c r="R204" s="76"/>
      <c r="S204" s="76"/>
      <c r="T204" s="76"/>
      <c r="U204" s="76"/>
      <c r="V204" s="76"/>
      <c r="W204" s="76"/>
      <c r="X204" s="76"/>
      <c r="Y204" s="76"/>
      <c r="Z204" s="76"/>
      <c r="AA204" s="76"/>
      <c r="AB204" s="76"/>
      <c r="AC204" s="76"/>
      <c r="AD204" s="76"/>
      <c r="AE204" s="76"/>
      <c r="AF204" s="76"/>
      <c r="AG204" s="76"/>
      <c r="AH204" s="76"/>
      <c r="AI204" s="76"/>
      <c r="AJ204" s="76"/>
      <c r="AK204" s="76"/>
      <c r="AL204" s="76"/>
      <c r="AM204" s="76"/>
      <c r="AN204" s="76"/>
      <c r="AO204" s="92"/>
      <c r="AP204" s="76"/>
      <c r="AQ204" s="76"/>
      <c r="AR204" s="76"/>
      <c r="AS204" s="76"/>
      <c r="AT204" s="76"/>
      <c r="AU204" s="76"/>
    </row>
    <row r="205" spans="1:47" ht="15.75" customHeight="1" thickBot="1" x14ac:dyDescent="0.45">
      <c r="A205" s="76"/>
      <c r="B205" s="92"/>
      <c r="C205" s="92"/>
      <c r="D205" s="76"/>
      <c r="E205" s="76"/>
      <c r="F205" s="76"/>
      <c r="G205" s="76"/>
      <c r="H205" s="76"/>
      <c r="I205" s="76"/>
      <c r="J205" s="76"/>
      <c r="K205" s="76"/>
      <c r="L205" s="76"/>
      <c r="M205" s="76"/>
      <c r="N205" s="76"/>
      <c r="O205" s="76"/>
      <c r="P205" s="76"/>
      <c r="Q205" s="76"/>
      <c r="R205" s="76"/>
      <c r="S205" s="76"/>
      <c r="T205" s="76"/>
      <c r="U205" s="76"/>
      <c r="V205" s="76"/>
      <c r="W205" s="76"/>
      <c r="X205" s="76"/>
      <c r="Y205" s="76"/>
      <c r="Z205" s="76"/>
      <c r="AA205" s="76"/>
      <c r="AB205" s="76"/>
      <c r="AC205" s="76"/>
      <c r="AD205" s="76"/>
      <c r="AE205" s="76"/>
      <c r="AF205" s="76"/>
      <c r="AG205" s="76"/>
      <c r="AH205" s="76"/>
      <c r="AI205" s="76"/>
      <c r="AJ205" s="76"/>
      <c r="AK205" s="76"/>
      <c r="AL205" s="76"/>
      <c r="AM205" s="76"/>
      <c r="AN205" s="76"/>
      <c r="AO205" s="92"/>
      <c r="AP205" s="76"/>
      <c r="AQ205" s="76"/>
      <c r="AR205" s="76"/>
      <c r="AS205" s="76"/>
      <c r="AT205" s="76"/>
      <c r="AU205" s="76"/>
    </row>
    <row r="206" spans="1:47" ht="15.75" customHeight="1" thickBot="1" x14ac:dyDescent="0.45">
      <c r="A206" s="76"/>
      <c r="B206" s="92"/>
      <c r="C206" s="92"/>
      <c r="D206" s="76"/>
      <c r="E206" s="76"/>
      <c r="F206" s="76"/>
      <c r="G206" s="76"/>
      <c r="H206" s="76"/>
      <c r="I206" s="76"/>
      <c r="J206" s="76"/>
      <c r="K206" s="76"/>
      <c r="L206" s="76"/>
      <c r="M206" s="76"/>
      <c r="N206" s="76"/>
      <c r="O206" s="76"/>
      <c r="P206" s="76"/>
      <c r="Q206" s="76"/>
      <c r="R206" s="76"/>
      <c r="S206" s="76"/>
      <c r="T206" s="76"/>
      <c r="U206" s="76"/>
      <c r="V206" s="76"/>
      <c r="W206" s="76"/>
      <c r="X206" s="76"/>
      <c r="Y206" s="76"/>
      <c r="Z206" s="76"/>
      <c r="AA206" s="76"/>
      <c r="AB206" s="76"/>
      <c r="AC206" s="76"/>
      <c r="AD206" s="76"/>
      <c r="AE206" s="76"/>
      <c r="AF206" s="76"/>
      <c r="AG206" s="76"/>
      <c r="AH206" s="76"/>
      <c r="AI206" s="76"/>
      <c r="AJ206" s="76"/>
      <c r="AK206" s="76"/>
      <c r="AL206" s="76"/>
      <c r="AM206" s="76"/>
      <c r="AN206" s="76"/>
      <c r="AO206" s="92"/>
      <c r="AP206" s="76"/>
      <c r="AQ206" s="76"/>
      <c r="AR206" s="76"/>
      <c r="AS206" s="76"/>
      <c r="AT206" s="76"/>
      <c r="AU206" s="76"/>
    </row>
    <row r="207" spans="1:47" ht="15.75" customHeight="1" thickBot="1" x14ac:dyDescent="0.45">
      <c r="A207" s="76"/>
      <c r="B207" s="92"/>
      <c r="C207" s="92"/>
      <c r="D207" s="76"/>
      <c r="E207" s="76"/>
      <c r="F207" s="76"/>
      <c r="G207" s="76"/>
      <c r="H207" s="76"/>
      <c r="I207" s="76"/>
      <c r="J207" s="76"/>
      <c r="K207" s="76"/>
      <c r="L207" s="76"/>
      <c r="M207" s="76"/>
      <c r="N207" s="76"/>
      <c r="O207" s="76"/>
      <c r="P207" s="76"/>
      <c r="Q207" s="76"/>
      <c r="R207" s="76"/>
      <c r="S207" s="76"/>
      <c r="T207" s="76"/>
      <c r="U207" s="76"/>
      <c r="V207" s="76"/>
      <c r="W207" s="76"/>
      <c r="X207" s="76"/>
      <c r="Y207" s="76"/>
      <c r="Z207" s="76"/>
      <c r="AA207" s="76"/>
      <c r="AB207" s="76"/>
      <c r="AC207" s="76"/>
      <c r="AD207" s="76"/>
      <c r="AE207" s="76"/>
      <c r="AF207" s="76"/>
      <c r="AG207" s="76"/>
      <c r="AH207" s="76"/>
      <c r="AI207" s="76"/>
      <c r="AJ207" s="76"/>
      <c r="AK207" s="76"/>
      <c r="AL207" s="76"/>
      <c r="AM207" s="76"/>
      <c r="AN207" s="76"/>
      <c r="AO207" s="92"/>
      <c r="AP207" s="76"/>
      <c r="AQ207" s="76"/>
      <c r="AR207" s="76"/>
      <c r="AS207" s="76"/>
      <c r="AT207" s="76"/>
      <c r="AU207" s="76"/>
    </row>
    <row r="208" spans="1:47" ht="15.75" customHeight="1" thickBot="1" x14ac:dyDescent="0.45">
      <c r="A208" s="76"/>
      <c r="B208" s="92"/>
      <c r="C208" s="92"/>
      <c r="D208" s="76"/>
      <c r="E208" s="76"/>
      <c r="F208" s="76"/>
      <c r="G208" s="76"/>
      <c r="H208" s="76"/>
      <c r="I208" s="76"/>
      <c r="J208" s="76"/>
      <c r="K208" s="76"/>
      <c r="L208" s="76"/>
      <c r="M208" s="76"/>
      <c r="N208" s="76"/>
      <c r="O208" s="76"/>
      <c r="P208" s="76"/>
      <c r="Q208" s="76"/>
      <c r="R208" s="76"/>
      <c r="S208" s="76"/>
      <c r="T208" s="76"/>
      <c r="U208" s="76"/>
      <c r="V208" s="76"/>
      <c r="W208" s="76"/>
      <c r="X208" s="76"/>
      <c r="Y208" s="76"/>
      <c r="Z208" s="76"/>
      <c r="AA208" s="76"/>
      <c r="AB208" s="76"/>
      <c r="AC208" s="76"/>
      <c r="AD208" s="76"/>
      <c r="AE208" s="76"/>
      <c r="AF208" s="76"/>
      <c r="AG208" s="76"/>
      <c r="AH208" s="76"/>
      <c r="AI208" s="76"/>
      <c r="AJ208" s="76"/>
      <c r="AK208" s="76"/>
      <c r="AL208" s="76"/>
      <c r="AM208" s="76"/>
      <c r="AN208" s="76"/>
      <c r="AO208" s="92"/>
      <c r="AP208" s="76"/>
      <c r="AQ208" s="76"/>
      <c r="AR208" s="76"/>
      <c r="AS208" s="76"/>
      <c r="AT208" s="76"/>
      <c r="AU208" s="76"/>
    </row>
    <row r="209" spans="1:47" ht="15.75" customHeight="1" thickBot="1" x14ac:dyDescent="0.45">
      <c r="A209" s="76"/>
      <c r="B209" s="92"/>
      <c r="C209" s="92"/>
      <c r="D209" s="76"/>
      <c r="E209" s="76"/>
      <c r="F209" s="76"/>
      <c r="G209" s="76"/>
      <c r="H209" s="76"/>
      <c r="I209" s="76"/>
      <c r="J209" s="76"/>
      <c r="K209" s="76"/>
      <c r="L209" s="76"/>
      <c r="M209" s="76"/>
      <c r="N209" s="76"/>
      <c r="O209" s="76"/>
      <c r="P209" s="76"/>
      <c r="Q209" s="76"/>
      <c r="R209" s="76"/>
      <c r="S209" s="76"/>
      <c r="T209" s="76"/>
      <c r="U209" s="76"/>
      <c r="V209" s="76"/>
      <c r="W209" s="76"/>
      <c r="X209" s="76"/>
      <c r="Y209" s="76"/>
      <c r="Z209" s="76"/>
      <c r="AA209" s="76"/>
      <c r="AB209" s="76"/>
      <c r="AC209" s="76"/>
      <c r="AD209" s="76"/>
      <c r="AE209" s="76"/>
      <c r="AF209" s="76"/>
      <c r="AG209" s="76"/>
      <c r="AH209" s="76"/>
      <c r="AI209" s="76"/>
      <c r="AJ209" s="76"/>
      <c r="AK209" s="76"/>
      <c r="AL209" s="76"/>
      <c r="AM209" s="76"/>
      <c r="AN209" s="76"/>
      <c r="AO209" s="92"/>
      <c r="AP209" s="76"/>
      <c r="AQ209" s="76"/>
      <c r="AR209" s="76"/>
      <c r="AS209" s="76"/>
      <c r="AT209" s="76"/>
      <c r="AU209" s="76"/>
    </row>
    <row r="210" spans="1:47" ht="15.75" customHeight="1" thickBot="1" x14ac:dyDescent="0.45">
      <c r="A210" s="76"/>
      <c r="B210" s="92"/>
      <c r="C210" s="92"/>
      <c r="D210" s="76"/>
      <c r="E210" s="76"/>
      <c r="F210" s="76"/>
      <c r="G210" s="76"/>
      <c r="H210" s="76"/>
      <c r="I210" s="76"/>
      <c r="J210" s="76"/>
      <c r="K210" s="76"/>
      <c r="L210" s="76"/>
      <c r="M210" s="76"/>
      <c r="N210" s="76"/>
      <c r="O210" s="76"/>
      <c r="P210" s="76"/>
      <c r="Q210" s="76"/>
      <c r="R210" s="76"/>
      <c r="S210" s="76"/>
      <c r="T210" s="76"/>
      <c r="U210" s="76"/>
      <c r="V210" s="76"/>
      <c r="W210" s="76"/>
      <c r="X210" s="76"/>
      <c r="Y210" s="76"/>
      <c r="Z210" s="76"/>
      <c r="AA210" s="76"/>
      <c r="AB210" s="76"/>
      <c r="AC210" s="76"/>
      <c r="AD210" s="76"/>
      <c r="AE210" s="76"/>
      <c r="AF210" s="76"/>
      <c r="AG210" s="76"/>
      <c r="AH210" s="76"/>
      <c r="AI210" s="76"/>
      <c r="AJ210" s="76"/>
      <c r="AK210" s="76"/>
      <c r="AL210" s="76"/>
      <c r="AM210" s="76"/>
      <c r="AN210" s="76"/>
      <c r="AO210" s="92"/>
      <c r="AP210" s="76"/>
      <c r="AQ210" s="76"/>
      <c r="AR210" s="76"/>
      <c r="AS210" s="76"/>
      <c r="AT210" s="76"/>
      <c r="AU210" s="76"/>
    </row>
    <row r="211" spans="1:47" ht="15.75" customHeight="1" thickBot="1" x14ac:dyDescent="0.45">
      <c r="A211" s="76"/>
      <c r="B211" s="92"/>
      <c r="C211" s="92"/>
      <c r="D211" s="76"/>
      <c r="E211" s="76"/>
      <c r="F211" s="76"/>
      <c r="G211" s="76"/>
      <c r="H211" s="76"/>
      <c r="I211" s="76"/>
      <c r="J211" s="76"/>
      <c r="K211" s="76"/>
      <c r="L211" s="76"/>
      <c r="M211" s="76"/>
      <c r="N211" s="76"/>
      <c r="O211" s="76"/>
      <c r="P211" s="76"/>
      <c r="Q211" s="76"/>
      <c r="R211" s="76"/>
      <c r="S211" s="76"/>
      <c r="T211" s="76"/>
      <c r="U211" s="76"/>
      <c r="V211" s="76"/>
      <c r="W211" s="76"/>
      <c r="X211" s="76"/>
      <c r="Y211" s="76"/>
      <c r="Z211" s="76"/>
      <c r="AA211" s="76"/>
      <c r="AB211" s="76"/>
      <c r="AC211" s="76"/>
      <c r="AD211" s="76"/>
      <c r="AE211" s="76"/>
      <c r="AF211" s="76"/>
      <c r="AG211" s="76"/>
      <c r="AH211" s="76"/>
      <c r="AI211" s="76"/>
      <c r="AJ211" s="76"/>
      <c r="AK211" s="76"/>
      <c r="AL211" s="76"/>
      <c r="AM211" s="76"/>
      <c r="AN211" s="76"/>
      <c r="AO211" s="92"/>
      <c r="AP211" s="76"/>
      <c r="AQ211" s="76"/>
      <c r="AR211" s="76"/>
      <c r="AS211" s="76"/>
      <c r="AT211" s="76"/>
      <c r="AU211" s="76"/>
    </row>
    <row r="212" spans="1:47" ht="15.75" customHeight="1" thickBot="1" x14ac:dyDescent="0.45">
      <c r="A212" s="76"/>
      <c r="B212" s="92"/>
      <c r="C212" s="92"/>
      <c r="D212" s="76"/>
      <c r="E212" s="76"/>
      <c r="F212" s="76"/>
      <c r="G212" s="76"/>
      <c r="H212" s="76"/>
      <c r="I212" s="76"/>
      <c r="J212" s="76"/>
      <c r="K212" s="76"/>
      <c r="L212" s="76"/>
      <c r="M212" s="76"/>
      <c r="N212" s="76"/>
      <c r="O212" s="76"/>
      <c r="P212" s="76"/>
      <c r="Q212" s="76"/>
      <c r="R212" s="76"/>
      <c r="S212" s="76"/>
      <c r="T212" s="76"/>
      <c r="U212" s="76"/>
      <c r="V212" s="76"/>
      <c r="W212" s="76"/>
      <c r="X212" s="76"/>
      <c r="Y212" s="76"/>
      <c r="Z212" s="76"/>
      <c r="AA212" s="76"/>
      <c r="AB212" s="76"/>
      <c r="AC212" s="76"/>
      <c r="AD212" s="76"/>
      <c r="AE212" s="76"/>
      <c r="AF212" s="76"/>
      <c r="AG212" s="76"/>
      <c r="AH212" s="76"/>
      <c r="AI212" s="76"/>
      <c r="AJ212" s="76"/>
      <c r="AK212" s="76"/>
      <c r="AL212" s="76"/>
      <c r="AM212" s="76"/>
      <c r="AN212" s="76"/>
      <c r="AO212" s="92"/>
      <c r="AP212" s="76"/>
      <c r="AQ212" s="76"/>
      <c r="AR212" s="76"/>
      <c r="AS212" s="76"/>
      <c r="AT212" s="76"/>
      <c r="AU212" s="76"/>
    </row>
    <row r="213" spans="1:47" ht="15.75" customHeight="1" thickBot="1" x14ac:dyDescent="0.45">
      <c r="A213" s="76"/>
      <c r="B213" s="92"/>
      <c r="C213" s="92"/>
      <c r="D213" s="76"/>
      <c r="E213" s="76"/>
      <c r="F213" s="76"/>
      <c r="G213" s="76"/>
      <c r="H213" s="76"/>
      <c r="I213" s="76"/>
      <c r="J213" s="76"/>
      <c r="K213" s="76"/>
      <c r="L213" s="76"/>
      <c r="M213" s="76"/>
      <c r="N213" s="76"/>
      <c r="O213" s="76"/>
      <c r="P213" s="76"/>
      <c r="Q213" s="76"/>
      <c r="R213" s="76"/>
      <c r="S213" s="76"/>
      <c r="T213" s="76"/>
      <c r="U213" s="76"/>
      <c r="V213" s="76"/>
      <c r="W213" s="76"/>
      <c r="X213" s="76"/>
      <c r="Y213" s="76"/>
      <c r="Z213" s="76"/>
      <c r="AA213" s="76"/>
      <c r="AB213" s="76"/>
      <c r="AC213" s="76"/>
      <c r="AD213" s="76"/>
      <c r="AE213" s="76"/>
      <c r="AF213" s="76"/>
      <c r="AG213" s="76"/>
      <c r="AH213" s="76"/>
      <c r="AI213" s="76"/>
      <c r="AJ213" s="76"/>
      <c r="AK213" s="76"/>
      <c r="AL213" s="76"/>
      <c r="AM213" s="76"/>
      <c r="AN213" s="76"/>
      <c r="AO213" s="92"/>
      <c r="AP213" s="76"/>
      <c r="AQ213" s="76"/>
      <c r="AR213" s="76"/>
      <c r="AS213" s="76"/>
      <c r="AT213" s="76"/>
      <c r="AU213" s="76"/>
    </row>
    <row r="214" spans="1:47" ht="15.75" customHeight="1" thickBot="1" x14ac:dyDescent="0.45">
      <c r="A214" s="76"/>
      <c r="B214" s="92"/>
      <c r="C214" s="92"/>
      <c r="D214" s="76"/>
      <c r="E214" s="76"/>
      <c r="F214" s="76"/>
      <c r="G214" s="76"/>
      <c r="H214" s="76"/>
      <c r="I214" s="76"/>
      <c r="J214" s="76"/>
      <c r="K214" s="76"/>
      <c r="L214" s="76"/>
      <c r="M214" s="76"/>
      <c r="N214" s="76"/>
      <c r="O214" s="76"/>
      <c r="P214" s="76"/>
      <c r="Q214" s="76"/>
      <c r="R214" s="76"/>
      <c r="S214" s="76"/>
      <c r="T214" s="76"/>
      <c r="U214" s="76"/>
      <c r="V214" s="76"/>
      <c r="W214" s="76"/>
      <c r="X214" s="76"/>
      <c r="Y214" s="76"/>
      <c r="Z214" s="76"/>
      <c r="AA214" s="76"/>
      <c r="AB214" s="76"/>
      <c r="AC214" s="76"/>
      <c r="AD214" s="76"/>
      <c r="AE214" s="76"/>
      <c r="AF214" s="76"/>
      <c r="AG214" s="76"/>
      <c r="AH214" s="76"/>
      <c r="AI214" s="76"/>
      <c r="AJ214" s="76"/>
      <c r="AK214" s="76"/>
      <c r="AL214" s="76"/>
      <c r="AM214" s="76"/>
      <c r="AN214" s="76"/>
      <c r="AO214" s="92"/>
      <c r="AP214" s="76"/>
      <c r="AQ214" s="76"/>
      <c r="AR214" s="76"/>
      <c r="AS214" s="76"/>
      <c r="AT214" s="76"/>
      <c r="AU214" s="76"/>
    </row>
    <row r="215" spans="1:47" ht="15.75" customHeight="1" thickBot="1" x14ac:dyDescent="0.45">
      <c r="A215" s="76"/>
      <c r="B215" s="92"/>
      <c r="C215" s="92"/>
      <c r="D215" s="76"/>
      <c r="E215" s="76"/>
      <c r="F215" s="76"/>
      <c r="G215" s="76"/>
      <c r="H215" s="76"/>
      <c r="I215" s="76"/>
      <c r="J215" s="76"/>
      <c r="K215" s="76"/>
      <c r="L215" s="76"/>
      <c r="M215" s="76"/>
      <c r="N215" s="76"/>
      <c r="O215" s="76"/>
      <c r="P215" s="76"/>
      <c r="Q215" s="76"/>
      <c r="R215" s="76"/>
      <c r="S215" s="76"/>
      <c r="T215" s="76"/>
      <c r="U215" s="76"/>
      <c r="V215" s="76"/>
      <c r="W215" s="76"/>
      <c r="X215" s="76"/>
      <c r="Y215" s="76"/>
      <c r="Z215" s="76"/>
      <c r="AA215" s="76"/>
      <c r="AB215" s="76"/>
      <c r="AC215" s="76"/>
      <c r="AD215" s="76"/>
      <c r="AE215" s="76"/>
      <c r="AF215" s="76"/>
      <c r="AG215" s="76"/>
      <c r="AH215" s="76"/>
      <c r="AI215" s="76"/>
      <c r="AJ215" s="76"/>
      <c r="AK215" s="76"/>
      <c r="AL215" s="76"/>
      <c r="AM215" s="76"/>
      <c r="AN215" s="76"/>
      <c r="AO215" s="92"/>
      <c r="AP215" s="76"/>
      <c r="AQ215" s="76"/>
      <c r="AR215" s="76"/>
      <c r="AS215" s="76"/>
      <c r="AT215" s="76"/>
      <c r="AU215" s="76"/>
    </row>
    <row r="216" spans="1:47" ht="15.75" customHeight="1" thickBot="1" x14ac:dyDescent="0.45">
      <c r="A216" s="76"/>
      <c r="B216" s="92"/>
      <c r="C216" s="92"/>
      <c r="D216" s="76"/>
      <c r="E216" s="76"/>
      <c r="F216" s="76"/>
      <c r="G216" s="76"/>
      <c r="H216" s="76"/>
      <c r="I216" s="76"/>
      <c r="J216" s="76"/>
      <c r="K216" s="76"/>
      <c r="L216" s="76"/>
      <c r="M216" s="76"/>
      <c r="N216" s="76"/>
      <c r="O216" s="76"/>
      <c r="P216" s="76"/>
      <c r="Q216" s="76"/>
      <c r="R216" s="76"/>
      <c r="S216" s="76"/>
      <c r="T216" s="76"/>
      <c r="U216" s="76"/>
      <c r="V216" s="76"/>
      <c r="W216" s="76"/>
      <c r="X216" s="76"/>
      <c r="Y216" s="76"/>
      <c r="Z216" s="76"/>
      <c r="AA216" s="76"/>
      <c r="AB216" s="76"/>
      <c r="AC216" s="76"/>
      <c r="AD216" s="76"/>
      <c r="AE216" s="76"/>
      <c r="AF216" s="76"/>
      <c r="AG216" s="76"/>
      <c r="AH216" s="76"/>
      <c r="AI216" s="76"/>
      <c r="AJ216" s="76"/>
      <c r="AK216" s="76"/>
      <c r="AL216" s="76"/>
      <c r="AM216" s="76"/>
      <c r="AN216" s="76"/>
      <c r="AO216" s="92"/>
      <c r="AP216" s="76"/>
      <c r="AQ216" s="76"/>
      <c r="AR216" s="76"/>
      <c r="AS216" s="76"/>
      <c r="AT216" s="76"/>
      <c r="AU216" s="76"/>
    </row>
    <row r="217" spans="1:47" ht="15.75" customHeight="1" thickBot="1" x14ac:dyDescent="0.45">
      <c r="A217" s="76"/>
      <c r="B217" s="92"/>
      <c r="C217" s="92"/>
      <c r="D217" s="76"/>
      <c r="E217" s="76"/>
      <c r="F217" s="76"/>
      <c r="G217" s="76"/>
      <c r="H217" s="76"/>
      <c r="I217" s="76"/>
      <c r="J217" s="76"/>
      <c r="K217" s="76"/>
      <c r="L217" s="76"/>
      <c r="M217" s="76"/>
      <c r="N217" s="76"/>
      <c r="O217" s="76"/>
      <c r="P217" s="76"/>
      <c r="Q217" s="76"/>
      <c r="R217" s="76"/>
      <c r="S217" s="76"/>
      <c r="T217" s="76"/>
      <c r="U217" s="76"/>
      <c r="V217" s="76"/>
      <c r="W217" s="76"/>
      <c r="X217" s="76"/>
      <c r="Y217" s="76"/>
      <c r="Z217" s="76"/>
      <c r="AA217" s="76"/>
      <c r="AB217" s="76"/>
      <c r="AC217" s="76"/>
      <c r="AD217" s="76"/>
      <c r="AE217" s="76"/>
      <c r="AF217" s="76"/>
      <c r="AG217" s="76"/>
      <c r="AH217" s="76"/>
      <c r="AI217" s="76"/>
      <c r="AJ217" s="76"/>
      <c r="AK217" s="76"/>
      <c r="AL217" s="76"/>
      <c r="AM217" s="76"/>
      <c r="AN217" s="76"/>
      <c r="AO217" s="92"/>
      <c r="AP217" s="76"/>
      <c r="AQ217" s="76"/>
      <c r="AR217" s="76"/>
      <c r="AS217" s="76"/>
      <c r="AT217" s="76"/>
      <c r="AU217" s="76"/>
    </row>
    <row r="218" spans="1:47" ht="15.75" customHeight="1" thickBot="1" x14ac:dyDescent="0.45">
      <c r="A218" s="76"/>
      <c r="B218" s="92"/>
      <c r="C218" s="92"/>
      <c r="D218" s="76"/>
      <c r="E218" s="76"/>
      <c r="F218" s="76"/>
      <c r="G218" s="76"/>
      <c r="H218" s="76"/>
      <c r="I218" s="76"/>
      <c r="J218" s="76"/>
      <c r="K218" s="76"/>
      <c r="L218" s="76"/>
      <c r="M218" s="76"/>
      <c r="N218" s="76"/>
      <c r="O218" s="76"/>
      <c r="P218" s="76"/>
      <c r="Q218" s="76"/>
      <c r="R218" s="76"/>
      <c r="S218" s="76"/>
      <c r="T218" s="76"/>
      <c r="U218" s="76"/>
      <c r="V218" s="76"/>
      <c r="W218" s="76"/>
      <c r="X218" s="76"/>
      <c r="Y218" s="76"/>
      <c r="Z218" s="76"/>
      <c r="AA218" s="76"/>
      <c r="AB218" s="76"/>
      <c r="AC218" s="76"/>
      <c r="AD218" s="76"/>
      <c r="AE218" s="76"/>
      <c r="AF218" s="76"/>
      <c r="AG218" s="76"/>
      <c r="AH218" s="76"/>
      <c r="AI218" s="76"/>
      <c r="AJ218" s="76"/>
      <c r="AK218" s="76"/>
      <c r="AL218" s="76"/>
      <c r="AM218" s="76"/>
      <c r="AN218" s="76"/>
      <c r="AO218" s="92"/>
      <c r="AP218" s="76"/>
      <c r="AQ218" s="76"/>
      <c r="AR218" s="76"/>
      <c r="AS218" s="76"/>
      <c r="AT218" s="76"/>
      <c r="AU218" s="76"/>
    </row>
    <row r="219" spans="1:47" ht="15.75" customHeight="1" thickBot="1" x14ac:dyDescent="0.45">
      <c r="A219" s="76"/>
      <c r="B219" s="92"/>
      <c r="C219" s="92"/>
      <c r="D219" s="76"/>
      <c r="E219" s="76"/>
      <c r="F219" s="76"/>
      <c r="G219" s="76"/>
      <c r="H219" s="76"/>
      <c r="I219" s="76"/>
      <c r="J219" s="76"/>
      <c r="K219" s="76"/>
      <c r="L219" s="76"/>
      <c r="M219" s="76"/>
      <c r="N219" s="76"/>
      <c r="O219" s="76"/>
      <c r="P219" s="76"/>
      <c r="Q219" s="76"/>
      <c r="R219" s="76"/>
      <c r="S219" s="76"/>
      <c r="T219" s="76"/>
      <c r="U219" s="76"/>
      <c r="V219" s="76"/>
      <c r="W219" s="76"/>
      <c r="X219" s="76"/>
      <c r="Y219" s="76"/>
      <c r="Z219" s="76"/>
      <c r="AA219" s="76"/>
      <c r="AB219" s="76"/>
      <c r="AC219" s="76"/>
      <c r="AD219" s="76"/>
      <c r="AE219" s="76"/>
      <c r="AF219" s="76"/>
      <c r="AG219" s="76"/>
      <c r="AH219" s="76"/>
      <c r="AI219" s="76"/>
      <c r="AJ219" s="76"/>
      <c r="AK219" s="76"/>
      <c r="AL219" s="76"/>
      <c r="AM219" s="76"/>
      <c r="AN219" s="76"/>
      <c r="AO219" s="92"/>
      <c r="AP219" s="76"/>
      <c r="AQ219" s="76"/>
      <c r="AR219" s="76"/>
      <c r="AS219" s="76"/>
      <c r="AT219" s="76"/>
      <c r="AU219" s="76"/>
    </row>
    <row r="220" spans="1:47" ht="15.75" customHeight="1" thickBot="1" x14ac:dyDescent="0.45">
      <c r="A220" s="76"/>
      <c r="B220" s="92"/>
      <c r="C220" s="92"/>
      <c r="D220" s="76"/>
      <c r="E220" s="76"/>
      <c r="F220" s="76"/>
      <c r="G220" s="76"/>
      <c r="H220" s="76"/>
      <c r="I220" s="76"/>
      <c r="J220" s="76"/>
      <c r="K220" s="76"/>
      <c r="L220" s="76"/>
      <c r="M220" s="76"/>
      <c r="N220" s="76"/>
      <c r="O220" s="76"/>
      <c r="P220" s="76"/>
      <c r="Q220" s="76"/>
      <c r="R220" s="76"/>
      <c r="S220" s="76"/>
      <c r="T220" s="76"/>
      <c r="U220" s="76"/>
      <c r="V220" s="76"/>
      <c r="W220" s="76"/>
      <c r="X220" s="76"/>
      <c r="Y220" s="76"/>
      <c r="Z220" s="76"/>
      <c r="AA220" s="76"/>
      <c r="AB220" s="76"/>
      <c r="AC220" s="76"/>
      <c r="AD220" s="76"/>
      <c r="AE220" s="76"/>
      <c r="AF220" s="76"/>
      <c r="AG220" s="76"/>
      <c r="AH220" s="76"/>
      <c r="AI220" s="76"/>
      <c r="AJ220" s="76"/>
      <c r="AK220" s="76"/>
      <c r="AL220" s="76"/>
      <c r="AM220" s="76"/>
      <c r="AN220" s="76"/>
      <c r="AO220" s="92"/>
      <c r="AP220" s="76"/>
      <c r="AQ220" s="76"/>
      <c r="AR220" s="76"/>
      <c r="AS220" s="76"/>
      <c r="AT220" s="76"/>
      <c r="AU220" s="76"/>
    </row>
    <row r="221" spans="1:47" ht="15.75" customHeight="1" thickBot="1" x14ac:dyDescent="0.45">
      <c r="A221" s="76"/>
      <c r="B221" s="92"/>
      <c r="C221" s="92"/>
      <c r="D221" s="76"/>
      <c r="E221" s="76"/>
      <c r="F221" s="76"/>
      <c r="G221" s="76"/>
      <c r="H221" s="76"/>
      <c r="I221" s="76"/>
      <c r="J221" s="76"/>
      <c r="K221" s="76"/>
      <c r="L221" s="76"/>
      <c r="M221" s="76"/>
      <c r="N221" s="76"/>
      <c r="O221" s="76"/>
      <c r="P221" s="76"/>
      <c r="Q221" s="76"/>
      <c r="R221" s="76"/>
      <c r="S221" s="76"/>
      <c r="T221" s="76"/>
      <c r="U221" s="76"/>
      <c r="V221" s="76"/>
      <c r="W221" s="76"/>
      <c r="X221" s="76"/>
      <c r="Y221" s="76"/>
      <c r="Z221" s="76"/>
      <c r="AA221" s="76"/>
      <c r="AB221" s="76"/>
      <c r="AC221" s="76"/>
      <c r="AD221" s="76"/>
      <c r="AE221" s="76"/>
      <c r="AF221" s="76"/>
      <c r="AG221" s="76"/>
      <c r="AH221" s="76"/>
      <c r="AI221" s="76"/>
      <c r="AJ221" s="76"/>
      <c r="AK221" s="76"/>
      <c r="AL221" s="76"/>
      <c r="AM221" s="76"/>
      <c r="AN221" s="76"/>
      <c r="AO221" s="92"/>
      <c r="AP221" s="76"/>
      <c r="AQ221" s="76"/>
      <c r="AR221" s="76"/>
      <c r="AS221" s="76"/>
      <c r="AT221" s="76"/>
      <c r="AU221" s="76"/>
    </row>
    <row r="222" spans="1:47" ht="15.75" customHeight="1" thickBot="1" x14ac:dyDescent="0.45">
      <c r="A222" s="76"/>
      <c r="B222" s="92"/>
      <c r="C222" s="92"/>
      <c r="D222" s="76"/>
      <c r="E222" s="76"/>
      <c r="F222" s="76"/>
      <c r="G222" s="76"/>
      <c r="H222" s="76"/>
      <c r="I222" s="76"/>
      <c r="J222" s="76"/>
      <c r="K222" s="76"/>
      <c r="L222" s="76"/>
      <c r="M222" s="76"/>
      <c r="N222" s="76"/>
      <c r="O222" s="76"/>
      <c r="P222" s="76"/>
      <c r="Q222" s="76"/>
      <c r="R222" s="76"/>
      <c r="S222" s="76"/>
      <c r="T222" s="76"/>
      <c r="U222" s="76"/>
      <c r="V222" s="76"/>
      <c r="W222" s="76"/>
      <c r="X222" s="76"/>
      <c r="Y222" s="76"/>
      <c r="Z222" s="76"/>
      <c r="AA222" s="76"/>
      <c r="AB222" s="76"/>
      <c r="AC222" s="76"/>
      <c r="AD222" s="76"/>
      <c r="AE222" s="76"/>
      <c r="AF222" s="76"/>
      <c r="AG222" s="76"/>
      <c r="AH222" s="76"/>
      <c r="AI222" s="76"/>
      <c r="AJ222" s="76"/>
      <c r="AK222" s="76"/>
      <c r="AL222" s="76"/>
      <c r="AM222" s="76"/>
      <c r="AN222" s="76"/>
      <c r="AO222" s="92"/>
      <c r="AP222" s="76"/>
      <c r="AQ222" s="76"/>
      <c r="AR222" s="76"/>
      <c r="AS222" s="76"/>
      <c r="AT222" s="76"/>
      <c r="AU222" s="76"/>
    </row>
    <row r="223" spans="1:47" ht="15.75" customHeight="1" thickBot="1" x14ac:dyDescent="0.45">
      <c r="A223" s="76"/>
      <c r="B223" s="92"/>
      <c r="C223" s="92"/>
      <c r="D223" s="76"/>
      <c r="E223" s="76"/>
      <c r="F223" s="76"/>
      <c r="G223" s="76"/>
      <c r="H223" s="76"/>
      <c r="I223" s="76"/>
      <c r="J223" s="76"/>
      <c r="K223" s="76"/>
      <c r="L223" s="76"/>
      <c r="M223" s="76"/>
      <c r="N223" s="76"/>
      <c r="O223" s="76"/>
      <c r="P223" s="76"/>
      <c r="Q223" s="76"/>
      <c r="R223" s="76"/>
      <c r="S223" s="76"/>
      <c r="T223" s="76"/>
      <c r="U223" s="76"/>
      <c r="V223" s="76"/>
      <c r="W223" s="76"/>
      <c r="X223" s="76"/>
      <c r="Y223" s="76"/>
      <c r="Z223" s="76"/>
      <c r="AA223" s="76"/>
      <c r="AB223" s="76"/>
      <c r="AC223" s="76"/>
      <c r="AD223" s="76"/>
      <c r="AE223" s="76"/>
      <c r="AF223" s="76"/>
      <c r="AG223" s="76"/>
      <c r="AH223" s="76"/>
      <c r="AI223" s="76"/>
      <c r="AJ223" s="76"/>
      <c r="AK223" s="76"/>
      <c r="AL223" s="76"/>
      <c r="AM223" s="76"/>
      <c r="AN223" s="76"/>
      <c r="AO223" s="92"/>
      <c r="AP223" s="76"/>
      <c r="AQ223" s="76"/>
      <c r="AR223" s="76"/>
      <c r="AS223" s="76"/>
      <c r="AT223" s="76"/>
      <c r="AU223" s="76"/>
    </row>
    <row r="224" spans="1:47" ht="15.75" customHeight="1" thickBot="1" x14ac:dyDescent="0.45">
      <c r="A224" s="76"/>
      <c r="B224" s="92"/>
      <c r="C224" s="92"/>
      <c r="D224" s="76"/>
      <c r="E224" s="76"/>
      <c r="F224" s="76"/>
      <c r="G224" s="76"/>
      <c r="H224" s="76"/>
      <c r="I224" s="76"/>
      <c r="J224" s="76"/>
      <c r="K224" s="76"/>
      <c r="L224" s="76"/>
      <c r="M224" s="76"/>
      <c r="N224" s="76"/>
      <c r="O224" s="76"/>
      <c r="P224" s="76"/>
      <c r="Q224" s="76"/>
      <c r="R224" s="76"/>
      <c r="S224" s="76"/>
      <c r="T224" s="76"/>
      <c r="U224" s="76"/>
      <c r="V224" s="76"/>
      <c r="W224" s="76"/>
      <c r="X224" s="76"/>
      <c r="Y224" s="76"/>
      <c r="Z224" s="76"/>
      <c r="AA224" s="76"/>
      <c r="AB224" s="76"/>
      <c r="AC224" s="76"/>
      <c r="AD224" s="76"/>
      <c r="AE224" s="76"/>
      <c r="AF224" s="76"/>
      <c r="AG224" s="76"/>
      <c r="AH224" s="76"/>
      <c r="AI224" s="76"/>
      <c r="AJ224" s="76"/>
      <c r="AK224" s="76"/>
      <c r="AL224" s="76"/>
      <c r="AM224" s="76"/>
      <c r="AN224" s="76"/>
      <c r="AO224" s="92"/>
      <c r="AP224" s="76"/>
      <c r="AQ224" s="76"/>
      <c r="AR224" s="76"/>
      <c r="AS224" s="76"/>
      <c r="AT224" s="76"/>
      <c r="AU224" s="76"/>
    </row>
    <row r="225" spans="1:47" ht="15.75" customHeight="1" thickBot="1" x14ac:dyDescent="0.45">
      <c r="A225" s="76"/>
      <c r="B225" s="92"/>
      <c r="C225" s="92"/>
      <c r="D225" s="76"/>
      <c r="E225" s="76"/>
      <c r="F225" s="76"/>
      <c r="G225" s="76"/>
      <c r="H225" s="76"/>
      <c r="I225" s="76"/>
      <c r="J225" s="76"/>
      <c r="K225" s="76"/>
      <c r="L225" s="76"/>
      <c r="M225" s="76"/>
      <c r="N225" s="76"/>
      <c r="O225" s="76"/>
      <c r="P225" s="76"/>
      <c r="Q225" s="76"/>
      <c r="R225" s="76"/>
      <c r="S225" s="76"/>
      <c r="T225" s="76"/>
      <c r="U225" s="76"/>
      <c r="V225" s="76"/>
      <c r="W225" s="76"/>
      <c r="X225" s="76"/>
      <c r="Y225" s="76"/>
      <c r="Z225" s="76"/>
      <c r="AA225" s="76"/>
      <c r="AB225" s="76"/>
      <c r="AC225" s="76"/>
      <c r="AD225" s="76"/>
      <c r="AE225" s="76"/>
      <c r="AF225" s="76"/>
      <c r="AG225" s="76"/>
      <c r="AH225" s="76"/>
      <c r="AI225" s="76"/>
      <c r="AJ225" s="76"/>
      <c r="AK225" s="76"/>
      <c r="AL225" s="76"/>
      <c r="AM225" s="76"/>
      <c r="AN225" s="76"/>
      <c r="AO225" s="92"/>
      <c r="AP225" s="76"/>
      <c r="AQ225" s="76"/>
      <c r="AR225" s="76"/>
      <c r="AS225" s="76"/>
      <c r="AT225" s="76"/>
      <c r="AU225" s="76"/>
    </row>
    <row r="226" spans="1:47" ht="15.75" customHeight="1" thickBot="1" x14ac:dyDescent="0.45">
      <c r="A226" s="76"/>
      <c r="B226" s="92"/>
      <c r="C226" s="92"/>
      <c r="D226" s="76"/>
      <c r="E226" s="76"/>
      <c r="F226" s="76"/>
      <c r="G226" s="76"/>
      <c r="H226" s="76"/>
      <c r="I226" s="76"/>
      <c r="J226" s="76"/>
      <c r="K226" s="76"/>
      <c r="L226" s="76"/>
      <c r="M226" s="76"/>
      <c r="N226" s="76"/>
      <c r="O226" s="76"/>
      <c r="P226" s="76"/>
      <c r="Q226" s="76"/>
      <c r="R226" s="76"/>
      <c r="S226" s="76"/>
      <c r="T226" s="76"/>
      <c r="U226" s="76"/>
      <c r="V226" s="76"/>
      <c r="W226" s="76"/>
      <c r="X226" s="76"/>
      <c r="Y226" s="76"/>
      <c r="Z226" s="76"/>
      <c r="AA226" s="76"/>
      <c r="AB226" s="76"/>
      <c r="AC226" s="76"/>
      <c r="AD226" s="76"/>
      <c r="AE226" s="76"/>
      <c r="AF226" s="76"/>
      <c r="AG226" s="76"/>
      <c r="AH226" s="76"/>
      <c r="AI226" s="76"/>
      <c r="AJ226" s="76"/>
      <c r="AK226" s="76"/>
      <c r="AL226" s="76"/>
      <c r="AM226" s="76"/>
      <c r="AN226" s="76"/>
      <c r="AO226" s="92"/>
      <c r="AP226" s="76"/>
      <c r="AQ226" s="76"/>
      <c r="AR226" s="76"/>
      <c r="AS226" s="76"/>
      <c r="AT226" s="76"/>
      <c r="AU226" s="76"/>
    </row>
    <row r="227" spans="1:47" ht="15.75" customHeight="1" thickBot="1" x14ac:dyDescent="0.45">
      <c r="A227" s="76"/>
      <c r="B227" s="92"/>
      <c r="C227" s="92"/>
      <c r="D227" s="76"/>
      <c r="E227" s="76"/>
      <c r="F227" s="76"/>
      <c r="G227" s="76"/>
      <c r="H227" s="76"/>
      <c r="I227" s="76"/>
      <c r="J227" s="76"/>
      <c r="K227" s="76"/>
      <c r="L227" s="76"/>
      <c r="M227" s="76"/>
      <c r="N227" s="76"/>
      <c r="O227" s="76"/>
      <c r="P227" s="76"/>
      <c r="Q227" s="76"/>
      <c r="R227" s="76"/>
      <c r="S227" s="76"/>
      <c r="T227" s="76"/>
      <c r="U227" s="76"/>
      <c r="V227" s="76"/>
      <c r="W227" s="76"/>
      <c r="X227" s="76"/>
      <c r="Y227" s="76"/>
      <c r="Z227" s="76"/>
      <c r="AA227" s="76"/>
      <c r="AB227" s="76"/>
      <c r="AC227" s="76"/>
      <c r="AD227" s="76"/>
      <c r="AE227" s="76"/>
      <c r="AF227" s="76"/>
      <c r="AG227" s="76"/>
      <c r="AH227" s="76"/>
      <c r="AI227" s="76"/>
      <c r="AJ227" s="76"/>
      <c r="AK227" s="76"/>
      <c r="AL227" s="76"/>
      <c r="AM227" s="76"/>
      <c r="AN227" s="76"/>
      <c r="AO227" s="92"/>
      <c r="AP227" s="76"/>
      <c r="AQ227" s="76"/>
      <c r="AR227" s="76"/>
      <c r="AS227" s="76"/>
      <c r="AT227" s="76"/>
      <c r="AU227" s="76"/>
    </row>
    <row r="228" spans="1:47" ht="15.75" customHeight="1" thickBot="1" x14ac:dyDescent="0.45">
      <c r="A228" s="76"/>
      <c r="B228" s="92"/>
      <c r="C228" s="92"/>
      <c r="D228" s="76"/>
      <c r="E228" s="76"/>
      <c r="F228" s="76"/>
      <c r="G228" s="76"/>
      <c r="H228" s="76"/>
      <c r="I228" s="76"/>
      <c r="J228" s="76"/>
      <c r="K228" s="76"/>
      <c r="L228" s="76"/>
      <c r="M228" s="76"/>
      <c r="N228" s="76"/>
      <c r="O228" s="76"/>
      <c r="P228" s="76"/>
      <c r="Q228" s="76"/>
      <c r="R228" s="76"/>
      <c r="S228" s="76"/>
      <c r="T228" s="76"/>
      <c r="U228" s="76"/>
      <c r="V228" s="76"/>
      <c r="W228" s="76"/>
      <c r="X228" s="76"/>
      <c r="Y228" s="76"/>
      <c r="Z228" s="76"/>
      <c r="AA228" s="76"/>
      <c r="AB228" s="76"/>
      <c r="AC228" s="76"/>
      <c r="AD228" s="76"/>
      <c r="AE228" s="76"/>
      <c r="AF228" s="76"/>
      <c r="AG228" s="76"/>
      <c r="AH228" s="76"/>
      <c r="AI228" s="76"/>
      <c r="AJ228" s="76"/>
      <c r="AK228" s="76"/>
      <c r="AL228" s="76"/>
      <c r="AM228" s="76"/>
      <c r="AN228" s="76"/>
      <c r="AO228" s="92"/>
      <c r="AP228" s="76"/>
      <c r="AQ228" s="76"/>
      <c r="AR228" s="76"/>
      <c r="AS228" s="76"/>
      <c r="AT228" s="76"/>
      <c r="AU228" s="76"/>
    </row>
    <row r="229" spans="1:47" ht="15.75" customHeight="1" thickBot="1" x14ac:dyDescent="0.45">
      <c r="A229" s="76"/>
      <c r="B229" s="92"/>
      <c r="C229" s="92"/>
      <c r="D229" s="76"/>
      <c r="E229" s="76"/>
      <c r="F229" s="76"/>
      <c r="G229" s="76"/>
      <c r="H229" s="76"/>
      <c r="I229" s="76"/>
      <c r="J229" s="76"/>
      <c r="K229" s="76"/>
      <c r="L229" s="76"/>
      <c r="M229" s="76"/>
      <c r="N229" s="76"/>
      <c r="O229" s="76"/>
      <c r="P229" s="76"/>
      <c r="Q229" s="76"/>
      <c r="R229" s="76"/>
      <c r="S229" s="76"/>
      <c r="T229" s="76"/>
      <c r="U229" s="76"/>
      <c r="V229" s="76"/>
      <c r="W229" s="76"/>
      <c r="X229" s="76"/>
      <c r="Y229" s="76"/>
      <c r="Z229" s="76"/>
      <c r="AA229" s="76"/>
      <c r="AB229" s="76"/>
      <c r="AC229" s="76"/>
      <c r="AD229" s="76"/>
      <c r="AE229" s="76"/>
      <c r="AF229" s="76"/>
      <c r="AG229" s="76"/>
      <c r="AH229" s="76"/>
      <c r="AI229" s="76"/>
      <c r="AJ229" s="76"/>
      <c r="AK229" s="76"/>
      <c r="AL229" s="76"/>
      <c r="AM229" s="76"/>
      <c r="AN229" s="76"/>
      <c r="AO229" s="92"/>
      <c r="AP229" s="76"/>
      <c r="AQ229" s="76"/>
      <c r="AR229" s="76"/>
      <c r="AS229" s="76"/>
      <c r="AT229" s="76"/>
      <c r="AU229" s="76"/>
    </row>
    <row r="230" spans="1:47" ht="15.75" customHeight="1" thickBot="1" x14ac:dyDescent="0.45">
      <c r="A230" s="76"/>
      <c r="B230" s="92"/>
      <c r="C230" s="92"/>
      <c r="D230" s="76"/>
      <c r="E230" s="76"/>
      <c r="F230" s="76"/>
      <c r="G230" s="76"/>
      <c r="H230" s="76"/>
      <c r="I230" s="76"/>
      <c r="J230" s="76"/>
      <c r="K230" s="76"/>
      <c r="L230" s="76"/>
      <c r="M230" s="76"/>
      <c r="N230" s="76"/>
      <c r="O230" s="76"/>
      <c r="P230" s="76"/>
      <c r="Q230" s="76"/>
      <c r="R230" s="76"/>
      <c r="S230" s="76"/>
      <c r="T230" s="76"/>
      <c r="U230" s="76"/>
      <c r="V230" s="76"/>
      <c r="W230" s="76"/>
      <c r="X230" s="76"/>
      <c r="Y230" s="76"/>
      <c r="Z230" s="76"/>
      <c r="AA230" s="76"/>
      <c r="AB230" s="76"/>
      <c r="AC230" s="76"/>
      <c r="AD230" s="76"/>
      <c r="AE230" s="76"/>
      <c r="AF230" s="76"/>
      <c r="AG230" s="76"/>
      <c r="AH230" s="76"/>
      <c r="AI230" s="76"/>
      <c r="AJ230" s="76"/>
      <c r="AK230" s="76"/>
      <c r="AL230" s="76"/>
      <c r="AM230" s="76"/>
      <c r="AN230" s="76"/>
      <c r="AO230" s="92"/>
      <c r="AP230" s="76"/>
      <c r="AQ230" s="76"/>
      <c r="AR230" s="76"/>
      <c r="AS230" s="76"/>
      <c r="AT230" s="76"/>
      <c r="AU230" s="76"/>
    </row>
    <row r="231" spans="1:47" ht="15.75" customHeight="1" thickBot="1" x14ac:dyDescent="0.45">
      <c r="A231" s="76"/>
      <c r="B231" s="92"/>
      <c r="C231" s="92"/>
      <c r="D231" s="76"/>
      <c r="E231" s="76"/>
      <c r="F231" s="76"/>
      <c r="G231" s="76"/>
      <c r="H231" s="76"/>
      <c r="I231" s="76"/>
      <c r="J231" s="76"/>
      <c r="K231" s="76"/>
      <c r="L231" s="76"/>
      <c r="M231" s="76"/>
      <c r="N231" s="76"/>
      <c r="O231" s="76"/>
      <c r="P231" s="76"/>
      <c r="Q231" s="76"/>
      <c r="R231" s="76"/>
      <c r="S231" s="76"/>
      <c r="T231" s="76"/>
      <c r="U231" s="76"/>
      <c r="V231" s="76"/>
      <c r="W231" s="76"/>
      <c r="X231" s="76"/>
      <c r="Y231" s="76"/>
      <c r="Z231" s="76"/>
      <c r="AA231" s="76"/>
      <c r="AB231" s="76"/>
      <c r="AC231" s="76"/>
      <c r="AD231" s="76"/>
      <c r="AE231" s="76"/>
      <c r="AF231" s="76"/>
      <c r="AG231" s="76"/>
      <c r="AH231" s="76"/>
      <c r="AI231" s="76"/>
      <c r="AJ231" s="76"/>
      <c r="AK231" s="76"/>
      <c r="AL231" s="76"/>
      <c r="AM231" s="76"/>
      <c r="AN231" s="76"/>
      <c r="AO231" s="92"/>
      <c r="AP231" s="76"/>
      <c r="AQ231" s="76"/>
      <c r="AR231" s="76"/>
      <c r="AS231" s="76"/>
      <c r="AT231" s="76"/>
      <c r="AU231" s="76"/>
    </row>
    <row r="232" spans="1:47" ht="15.75" customHeight="1" thickBot="1" x14ac:dyDescent="0.45">
      <c r="A232" s="76"/>
      <c r="B232" s="92"/>
      <c r="C232" s="92"/>
      <c r="D232" s="76"/>
      <c r="E232" s="76"/>
      <c r="F232" s="76"/>
      <c r="G232" s="76"/>
      <c r="H232" s="76"/>
      <c r="I232" s="76"/>
      <c r="J232" s="76"/>
      <c r="K232" s="76"/>
      <c r="L232" s="76"/>
      <c r="M232" s="76"/>
      <c r="N232" s="76"/>
      <c r="O232" s="76"/>
      <c r="P232" s="76"/>
      <c r="Q232" s="76"/>
      <c r="R232" s="76"/>
      <c r="S232" s="76"/>
      <c r="T232" s="76"/>
      <c r="U232" s="76"/>
      <c r="V232" s="76"/>
      <c r="W232" s="76"/>
      <c r="X232" s="76"/>
      <c r="Y232" s="76"/>
      <c r="Z232" s="76"/>
      <c r="AA232" s="76"/>
      <c r="AB232" s="76"/>
      <c r="AC232" s="76"/>
      <c r="AD232" s="76"/>
      <c r="AE232" s="76"/>
      <c r="AF232" s="76"/>
      <c r="AG232" s="76"/>
      <c r="AH232" s="76"/>
      <c r="AI232" s="76"/>
      <c r="AJ232" s="76"/>
      <c r="AK232" s="76"/>
      <c r="AL232" s="76"/>
      <c r="AM232" s="76"/>
      <c r="AN232" s="76"/>
      <c r="AO232" s="92"/>
      <c r="AP232" s="76"/>
      <c r="AQ232" s="76"/>
      <c r="AR232" s="76"/>
      <c r="AS232" s="76"/>
      <c r="AT232" s="76"/>
      <c r="AU232" s="76"/>
    </row>
    <row r="233" spans="1:47" ht="15.75" customHeight="1" thickBot="1" x14ac:dyDescent="0.45">
      <c r="A233" s="76"/>
      <c r="B233" s="92"/>
      <c r="C233" s="92"/>
      <c r="D233" s="76"/>
      <c r="E233" s="76"/>
      <c r="F233" s="76"/>
      <c r="G233" s="76"/>
      <c r="H233" s="76"/>
      <c r="I233" s="76"/>
      <c r="J233" s="76"/>
      <c r="K233" s="76"/>
      <c r="L233" s="76"/>
      <c r="M233" s="76"/>
      <c r="N233" s="76"/>
      <c r="O233" s="76"/>
      <c r="P233" s="76"/>
      <c r="Q233" s="76"/>
      <c r="R233" s="76"/>
      <c r="S233" s="76"/>
      <c r="T233" s="76"/>
      <c r="U233" s="76"/>
      <c r="V233" s="76"/>
      <c r="W233" s="76"/>
      <c r="X233" s="76"/>
      <c r="Y233" s="76"/>
      <c r="Z233" s="76"/>
      <c r="AA233" s="76"/>
      <c r="AB233" s="76"/>
      <c r="AC233" s="76"/>
      <c r="AD233" s="76"/>
      <c r="AE233" s="76"/>
      <c r="AF233" s="76"/>
      <c r="AG233" s="76"/>
      <c r="AH233" s="76"/>
      <c r="AI233" s="76"/>
      <c r="AJ233" s="76"/>
      <c r="AK233" s="76"/>
      <c r="AL233" s="76"/>
      <c r="AM233" s="76"/>
      <c r="AN233" s="76"/>
      <c r="AO233" s="92"/>
      <c r="AP233" s="76"/>
      <c r="AQ233" s="76"/>
      <c r="AR233" s="76"/>
      <c r="AS233" s="76"/>
      <c r="AT233" s="76"/>
      <c r="AU233" s="76"/>
    </row>
    <row r="234" spans="1:47" ht="15.75" customHeight="1" thickBot="1" x14ac:dyDescent="0.45">
      <c r="A234" s="76"/>
      <c r="B234" s="92"/>
      <c r="C234" s="92"/>
      <c r="D234" s="76"/>
      <c r="E234" s="76"/>
      <c r="F234" s="76"/>
      <c r="G234" s="76"/>
      <c r="H234" s="76"/>
      <c r="I234" s="76"/>
      <c r="J234" s="76"/>
      <c r="K234" s="76"/>
      <c r="L234" s="76"/>
      <c r="M234" s="76"/>
      <c r="N234" s="76"/>
      <c r="O234" s="76"/>
      <c r="P234" s="76"/>
      <c r="Q234" s="76"/>
      <c r="R234" s="76"/>
      <c r="S234" s="76"/>
      <c r="T234" s="76"/>
      <c r="U234" s="76"/>
      <c r="V234" s="76"/>
      <c r="W234" s="76"/>
      <c r="X234" s="76"/>
      <c r="Y234" s="76"/>
      <c r="Z234" s="76"/>
      <c r="AA234" s="76"/>
      <c r="AB234" s="76"/>
      <c r="AC234" s="76"/>
      <c r="AD234" s="76"/>
      <c r="AE234" s="76"/>
      <c r="AF234" s="76"/>
      <c r="AG234" s="76"/>
      <c r="AH234" s="76"/>
      <c r="AI234" s="76"/>
      <c r="AJ234" s="76"/>
      <c r="AK234" s="76"/>
      <c r="AL234" s="76"/>
      <c r="AM234" s="76"/>
      <c r="AN234" s="76"/>
      <c r="AO234" s="92"/>
      <c r="AP234" s="76"/>
      <c r="AQ234" s="76"/>
      <c r="AR234" s="76"/>
      <c r="AS234" s="76"/>
      <c r="AT234" s="76"/>
      <c r="AU234" s="76"/>
    </row>
    <row r="235" spans="1:47" ht="15.75" customHeight="1" thickBot="1" x14ac:dyDescent="0.45">
      <c r="A235" s="76"/>
      <c r="B235" s="92"/>
      <c r="C235" s="92"/>
      <c r="D235" s="76"/>
      <c r="E235" s="76"/>
      <c r="F235" s="76"/>
      <c r="G235" s="76"/>
      <c r="H235" s="76"/>
      <c r="I235" s="76"/>
      <c r="J235" s="76"/>
      <c r="K235" s="76"/>
      <c r="L235" s="76"/>
      <c r="M235" s="76"/>
      <c r="N235" s="76"/>
      <c r="O235" s="76"/>
      <c r="P235" s="76"/>
      <c r="Q235" s="76"/>
      <c r="R235" s="76"/>
      <c r="S235" s="76"/>
      <c r="T235" s="76"/>
      <c r="U235" s="76"/>
      <c r="V235" s="76"/>
      <c r="W235" s="76"/>
      <c r="X235" s="76"/>
      <c r="Y235" s="76"/>
      <c r="Z235" s="76"/>
      <c r="AA235" s="76"/>
      <c r="AB235" s="76"/>
      <c r="AC235" s="76"/>
      <c r="AD235" s="76"/>
      <c r="AE235" s="76"/>
      <c r="AF235" s="76"/>
      <c r="AG235" s="76"/>
      <c r="AH235" s="76"/>
      <c r="AI235" s="76"/>
      <c r="AJ235" s="76"/>
      <c r="AK235" s="76"/>
      <c r="AL235" s="76"/>
      <c r="AM235" s="76"/>
      <c r="AN235" s="76"/>
      <c r="AO235" s="92"/>
      <c r="AP235" s="76"/>
      <c r="AQ235" s="76"/>
      <c r="AR235" s="76"/>
      <c r="AS235" s="76"/>
      <c r="AT235" s="76"/>
      <c r="AU235" s="76"/>
    </row>
    <row r="236" spans="1:47" ht="15.75" customHeight="1" thickBot="1" x14ac:dyDescent="0.45">
      <c r="A236" s="76"/>
      <c r="B236" s="92"/>
      <c r="C236" s="92"/>
      <c r="D236" s="76"/>
      <c r="E236" s="76"/>
      <c r="F236" s="76"/>
      <c r="G236" s="76"/>
      <c r="H236" s="76"/>
      <c r="I236" s="76"/>
      <c r="J236" s="76"/>
      <c r="K236" s="76"/>
      <c r="L236" s="76"/>
      <c r="M236" s="76"/>
      <c r="N236" s="76"/>
      <c r="O236" s="76"/>
      <c r="P236" s="76"/>
      <c r="Q236" s="76"/>
      <c r="R236" s="76"/>
      <c r="S236" s="76"/>
      <c r="T236" s="76"/>
      <c r="U236" s="76"/>
      <c r="V236" s="76"/>
      <c r="W236" s="76"/>
      <c r="X236" s="76"/>
      <c r="Y236" s="76"/>
      <c r="Z236" s="76"/>
      <c r="AA236" s="76"/>
      <c r="AB236" s="76"/>
      <c r="AC236" s="76"/>
      <c r="AD236" s="76"/>
      <c r="AE236" s="76"/>
      <c r="AF236" s="76"/>
      <c r="AG236" s="76"/>
      <c r="AH236" s="76"/>
      <c r="AI236" s="76"/>
      <c r="AJ236" s="76"/>
      <c r="AK236" s="76"/>
      <c r="AL236" s="76"/>
      <c r="AM236" s="76"/>
      <c r="AN236" s="76"/>
      <c r="AO236" s="92"/>
      <c r="AP236" s="76"/>
      <c r="AQ236" s="76"/>
      <c r="AR236" s="76"/>
      <c r="AS236" s="76"/>
      <c r="AT236" s="76"/>
      <c r="AU236" s="76"/>
    </row>
    <row r="237" spans="1:47" ht="15.75" customHeight="1" thickBot="1" x14ac:dyDescent="0.45">
      <c r="A237" s="76"/>
      <c r="B237" s="92"/>
      <c r="C237" s="92"/>
      <c r="D237" s="76"/>
      <c r="E237" s="76"/>
      <c r="F237" s="76"/>
      <c r="G237" s="76"/>
      <c r="H237" s="76"/>
      <c r="I237" s="76"/>
      <c r="J237" s="76"/>
      <c r="K237" s="76"/>
      <c r="L237" s="76"/>
      <c r="M237" s="76"/>
      <c r="N237" s="76"/>
      <c r="O237" s="76"/>
      <c r="P237" s="76"/>
      <c r="Q237" s="76"/>
      <c r="R237" s="76"/>
      <c r="S237" s="76"/>
      <c r="T237" s="76"/>
      <c r="U237" s="76"/>
      <c r="V237" s="76"/>
      <c r="W237" s="76"/>
      <c r="X237" s="76"/>
      <c r="Y237" s="76"/>
      <c r="Z237" s="76"/>
      <c r="AA237" s="76"/>
      <c r="AB237" s="76"/>
      <c r="AC237" s="76"/>
      <c r="AD237" s="76"/>
      <c r="AE237" s="76"/>
      <c r="AF237" s="76"/>
      <c r="AG237" s="76"/>
      <c r="AH237" s="76"/>
      <c r="AI237" s="76"/>
      <c r="AJ237" s="76"/>
      <c r="AK237" s="76"/>
      <c r="AL237" s="76"/>
      <c r="AM237" s="76"/>
      <c r="AN237" s="76"/>
      <c r="AO237" s="92"/>
      <c r="AP237" s="76"/>
      <c r="AQ237" s="76"/>
      <c r="AR237" s="76"/>
      <c r="AS237" s="76"/>
      <c r="AT237" s="76"/>
      <c r="AU237" s="76"/>
    </row>
    <row r="238" spans="1:47" ht="15.75" customHeight="1" thickBot="1" x14ac:dyDescent="0.45">
      <c r="A238" s="76"/>
      <c r="B238" s="92"/>
      <c r="C238" s="92"/>
      <c r="D238" s="76"/>
      <c r="E238" s="76"/>
      <c r="F238" s="76"/>
      <c r="G238" s="76"/>
      <c r="H238" s="76"/>
      <c r="I238" s="76"/>
      <c r="J238" s="76"/>
      <c r="K238" s="76"/>
      <c r="L238" s="76"/>
      <c r="M238" s="76"/>
      <c r="N238" s="76"/>
      <c r="O238" s="76"/>
      <c r="P238" s="76"/>
      <c r="Q238" s="76"/>
      <c r="R238" s="76"/>
      <c r="S238" s="76"/>
      <c r="T238" s="76"/>
      <c r="U238" s="76"/>
      <c r="V238" s="76"/>
      <c r="W238" s="76"/>
      <c r="X238" s="76"/>
      <c r="Y238" s="76"/>
      <c r="Z238" s="76"/>
      <c r="AA238" s="76"/>
      <c r="AB238" s="76"/>
      <c r="AC238" s="76"/>
      <c r="AD238" s="76"/>
      <c r="AE238" s="76"/>
      <c r="AF238" s="76"/>
      <c r="AG238" s="76"/>
      <c r="AH238" s="76"/>
      <c r="AI238" s="76"/>
      <c r="AJ238" s="76"/>
      <c r="AK238" s="76"/>
      <c r="AL238" s="76"/>
      <c r="AM238" s="76"/>
      <c r="AN238" s="76"/>
      <c r="AO238" s="92"/>
      <c r="AP238" s="76"/>
      <c r="AQ238" s="76"/>
      <c r="AR238" s="76"/>
      <c r="AS238" s="76"/>
      <c r="AT238" s="76"/>
      <c r="AU238" s="76"/>
    </row>
    <row r="239" spans="1:47" ht="15.75" customHeight="1" thickBot="1" x14ac:dyDescent="0.45">
      <c r="A239" s="76"/>
      <c r="B239" s="92"/>
      <c r="C239" s="92"/>
      <c r="D239" s="76"/>
      <c r="E239" s="76"/>
      <c r="F239" s="76"/>
      <c r="G239" s="76"/>
      <c r="H239" s="76"/>
      <c r="I239" s="76"/>
      <c r="J239" s="76"/>
      <c r="K239" s="76"/>
      <c r="L239" s="76"/>
      <c r="M239" s="76"/>
      <c r="N239" s="76"/>
      <c r="O239" s="76"/>
      <c r="P239" s="76"/>
      <c r="Q239" s="76"/>
      <c r="R239" s="76"/>
      <c r="S239" s="76"/>
      <c r="T239" s="76"/>
      <c r="U239" s="76"/>
      <c r="V239" s="76"/>
      <c r="W239" s="76"/>
      <c r="X239" s="76"/>
      <c r="Y239" s="76"/>
      <c r="Z239" s="76"/>
      <c r="AA239" s="76"/>
      <c r="AB239" s="76"/>
      <c r="AC239" s="76"/>
      <c r="AD239" s="76"/>
      <c r="AE239" s="76"/>
      <c r="AF239" s="76"/>
      <c r="AG239" s="76"/>
      <c r="AH239" s="76"/>
      <c r="AI239" s="76"/>
      <c r="AJ239" s="76"/>
      <c r="AK239" s="76"/>
      <c r="AL239" s="76"/>
      <c r="AM239" s="76"/>
      <c r="AN239" s="76"/>
      <c r="AO239" s="92"/>
      <c r="AP239" s="76"/>
      <c r="AQ239" s="76"/>
      <c r="AR239" s="76"/>
      <c r="AS239" s="76"/>
      <c r="AT239" s="76"/>
      <c r="AU239" s="76"/>
    </row>
    <row r="240" spans="1:47" ht="15.75" customHeight="1" thickBot="1" x14ac:dyDescent="0.45">
      <c r="A240" s="76"/>
      <c r="B240" s="92"/>
      <c r="C240" s="92"/>
      <c r="D240" s="76"/>
      <c r="E240" s="76"/>
      <c r="F240" s="76"/>
      <c r="G240" s="76"/>
      <c r="H240" s="76"/>
      <c r="I240" s="76"/>
      <c r="J240" s="76"/>
      <c r="K240" s="76"/>
      <c r="L240" s="76"/>
      <c r="M240" s="76"/>
      <c r="N240" s="76"/>
      <c r="O240" s="76"/>
      <c r="P240" s="76"/>
      <c r="Q240" s="76"/>
      <c r="R240" s="76"/>
      <c r="S240" s="76"/>
      <c r="T240" s="76"/>
      <c r="U240" s="76"/>
      <c r="V240" s="76"/>
      <c r="W240" s="76"/>
      <c r="X240" s="76"/>
      <c r="Y240" s="76"/>
      <c r="Z240" s="76"/>
      <c r="AA240" s="76"/>
      <c r="AB240" s="76"/>
      <c r="AC240" s="76"/>
      <c r="AD240" s="76"/>
      <c r="AE240" s="76"/>
      <c r="AF240" s="76"/>
      <c r="AG240" s="76"/>
      <c r="AH240" s="76"/>
      <c r="AI240" s="76"/>
      <c r="AJ240" s="76"/>
      <c r="AK240" s="76"/>
      <c r="AL240" s="76"/>
      <c r="AM240" s="76"/>
      <c r="AN240" s="76"/>
      <c r="AO240" s="92"/>
      <c r="AP240" s="76"/>
      <c r="AQ240" s="76"/>
      <c r="AR240" s="76"/>
      <c r="AS240" s="76"/>
      <c r="AT240" s="76"/>
      <c r="AU240" s="76"/>
    </row>
    <row r="241" spans="1:47" ht="15.75" customHeight="1" thickBot="1" x14ac:dyDescent="0.45">
      <c r="A241" s="76"/>
      <c r="B241" s="92"/>
      <c r="C241" s="92"/>
      <c r="D241" s="76"/>
      <c r="E241" s="76"/>
      <c r="F241" s="76"/>
      <c r="G241" s="76"/>
      <c r="H241" s="76"/>
      <c r="I241" s="76"/>
      <c r="J241" s="76"/>
      <c r="K241" s="76"/>
      <c r="L241" s="76"/>
      <c r="M241" s="76"/>
      <c r="N241" s="76"/>
      <c r="O241" s="76"/>
      <c r="P241" s="76"/>
      <c r="Q241" s="76"/>
      <c r="R241" s="76"/>
      <c r="S241" s="76"/>
      <c r="T241" s="76"/>
      <c r="U241" s="76"/>
      <c r="V241" s="76"/>
      <c r="W241" s="76"/>
      <c r="X241" s="76"/>
      <c r="Y241" s="76"/>
      <c r="Z241" s="76"/>
      <c r="AA241" s="76"/>
      <c r="AB241" s="76"/>
      <c r="AC241" s="76"/>
      <c r="AD241" s="76"/>
      <c r="AE241" s="76"/>
      <c r="AF241" s="76"/>
      <c r="AG241" s="76"/>
      <c r="AH241" s="76"/>
      <c r="AI241" s="76"/>
      <c r="AJ241" s="76"/>
      <c r="AK241" s="76"/>
      <c r="AL241" s="76"/>
      <c r="AM241" s="76"/>
      <c r="AN241" s="76"/>
      <c r="AO241" s="92"/>
      <c r="AP241" s="76"/>
      <c r="AQ241" s="76"/>
      <c r="AR241" s="76"/>
      <c r="AS241" s="76"/>
      <c r="AT241" s="76"/>
      <c r="AU241" s="76"/>
    </row>
    <row r="242" spans="1:47" ht="15.75" customHeight="1" thickBot="1" x14ac:dyDescent="0.45">
      <c r="A242" s="76"/>
      <c r="B242" s="92"/>
      <c r="C242" s="92"/>
      <c r="D242" s="76"/>
      <c r="E242" s="76"/>
      <c r="F242" s="76"/>
      <c r="G242" s="76"/>
      <c r="H242" s="76"/>
      <c r="I242" s="76"/>
      <c r="J242" s="76"/>
      <c r="K242" s="76"/>
      <c r="L242" s="76"/>
      <c r="M242" s="76"/>
      <c r="N242" s="76"/>
      <c r="O242" s="76"/>
      <c r="P242" s="76"/>
      <c r="Q242" s="76"/>
      <c r="R242" s="76"/>
      <c r="S242" s="76"/>
      <c r="T242" s="76"/>
      <c r="U242" s="76"/>
      <c r="V242" s="76"/>
      <c r="W242" s="76"/>
      <c r="X242" s="76"/>
      <c r="Y242" s="76"/>
      <c r="Z242" s="76"/>
      <c r="AA242" s="76"/>
      <c r="AB242" s="76"/>
      <c r="AC242" s="76"/>
      <c r="AD242" s="76"/>
      <c r="AE242" s="76"/>
      <c r="AF242" s="76"/>
      <c r="AG242" s="76"/>
      <c r="AH242" s="76"/>
      <c r="AI242" s="76"/>
      <c r="AJ242" s="76"/>
      <c r="AK242" s="76"/>
      <c r="AL242" s="76"/>
      <c r="AM242" s="76"/>
      <c r="AN242" s="76"/>
      <c r="AO242" s="92"/>
      <c r="AP242" s="76"/>
      <c r="AQ242" s="76"/>
      <c r="AR242" s="76"/>
      <c r="AS242" s="76"/>
      <c r="AT242" s="76"/>
      <c r="AU242" s="76"/>
    </row>
    <row r="243" spans="1:47" ht="15.75" customHeight="1" thickBot="1" x14ac:dyDescent="0.45">
      <c r="A243" s="76"/>
      <c r="B243" s="92"/>
      <c r="C243" s="92"/>
      <c r="D243" s="76"/>
      <c r="E243" s="76"/>
      <c r="F243" s="76"/>
      <c r="G243" s="76"/>
      <c r="H243" s="76"/>
      <c r="I243" s="76"/>
      <c r="J243" s="76"/>
      <c r="K243" s="76"/>
      <c r="L243" s="76"/>
      <c r="M243" s="76"/>
      <c r="N243" s="76"/>
      <c r="O243" s="76"/>
      <c r="P243" s="76"/>
      <c r="Q243" s="76"/>
      <c r="R243" s="76"/>
      <c r="S243" s="76"/>
      <c r="T243" s="76"/>
      <c r="U243" s="76"/>
      <c r="V243" s="76"/>
      <c r="W243" s="76"/>
      <c r="X243" s="76"/>
      <c r="Y243" s="76"/>
      <c r="Z243" s="76"/>
      <c r="AA243" s="76"/>
      <c r="AB243" s="76"/>
      <c r="AC243" s="76"/>
      <c r="AD243" s="76"/>
      <c r="AE243" s="76"/>
      <c r="AF243" s="76"/>
      <c r="AG243" s="76"/>
      <c r="AH243" s="76"/>
      <c r="AI243" s="76"/>
      <c r="AJ243" s="76"/>
      <c r="AK243" s="76"/>
      <c r="AL243" s="76"/>
      <c r="AM243" s="76"/>
      <c r="AN243" s="76"/>
      <c r="AO243" s="92"/>
      <c r="AP243" s="76"/>
      <c r="AQ243" s="76"/>
      <c r="AR243" s="76"/>
      <c r="AS243" s="76"/>
      <c r="AT243" s="76"/>
      <c r="AU243" s="76"/>
    </row>
    <row r="244" spans="1:47" ht="15.75" customHeight="1" thickBot="1" x14ac:dyDescent="0.45">
      <c r="A244" s="76"/>
      <c r="B244" s="92"/>
      <c r="C244" s="92"/>
      <c r="D244" s="76"/>
      <c r="E244" s="76"/>
      <c r="F244" s="76"/>
      <c r="G244" s="76"/>
      <c r="H244" s="76"/>
      <c r="I244" s="76"/>
      <c r="J244" s="76"/>
      <c r="K244" s="76"/>
      <c r="L244" s="76"/>
      <c r="M244" s="76"/>
      <c r="N244" s="76"/>
      <c r="O244" s="76"/>
      <c r="P244" s="76"/>
      <c r="Q244" s="76"/>
      <c r="R244" s="76"/>
      <c r="S244" s="76"/>
      <c r="T244" s="76"/>
      <c r="U244" s="76"/>
      <c r="V244" s="76"/>
      <c r="W244" s="76"/>
      <c r="X244" s="76"/>
      <c r="Y244" s="76"/>
      <c r="Z244" s="76"/>
      <c r="AA244" s="76"/>
      <c r="AB244" s="76"/>
      <c r="AC244" s="76"/>
      <c r="AD244" s="76"/>
      <c r="AE244" s="76"/>
      <c r="AF244" s="76"/>
      <c r="AG244" s="76"/>
      <c r="AH244" s="76"/>
      <c r="AI244" s="76"/>
      <c r="AJ244" s="76"/>
      <c r="AK244" s="76"/>
      <c r="AL244" s="76"/>
      <c r="AM244" s="76"/>
      <c r="AN244" s="76"/>
      <c r="AO244" s="92"/>
      <c r="AP244" s="76"/>
      <c r="AQ244" s="76"/>
      <c r="AR244" s="76"/>
      <c r="AS244" s="76"/>
      <c r="AT244" s="76"/>
      <c r="AU244" s="76"/>
    </row>
    <row r="245" spans="1:47" ht="15.75" customHeight="1" thickBot="1" x14ac:dyDescent="0.45">
      <c r="A245" s="76"/>
      <c r="B245" s="92"/>
      <c r="C245" s="92"/>
      <c r="D245" s="76"/>
      <c r="E245" s="76"/>
      <c r="F245" s="76"/>
      <c r="G245" s="76"/>
      <c r="H245" s="76"/>
      <c r="I245" s="76"/>
      <c r="J245" s="76"/>
      <c r="K245" s="76"/>
      <c r="L245" s="76"/>
      <c r="M245" s="76"/>
      <c r="N245" s="76"/>
      <c r="O245" s="76"/>
      <c r="P245" s="76"/>
      <c r="Q245" s="76"/>
      <c r="R245" s="76"/>
      <c r="S245" s="76"/>
      <c r="T245" s="76"/>
      <c r="U245" s="76"/>
      <c r="V245" s="76"/>
      <c r="W245" s="76"/>
      <c r="X245" s="76"/>
      <c r="Y245" s="76"/>
      <c r="Z245" s="76"/>
      <c r="AA245" s="76"/>
      <c r="AB245" s="76"/>
      <c r="AC245" s="76"/>
      <c r="AD245" s="76"/>
      <c r="AE245" s="76"/>
      <c r="AF245" s="76"/>
      <c r="AG245" s="76"/>
      <c r="AH245" s="76"/>
      <c r="AI245" s="76"/>
      <c r="AJ245" s="76"/>
      <c r="AK245" s="76"/>
      <c r="AL245" s="76"/>
      <c r="AM245" s="76"/>
      <c r="AN245" s="76"/>
      <c r="AO245" s="92"/>
      <c r="AP245" s="76"/>
      <c r="AQ245" s="76"/>
      <c r="AR245" s="76"/>
      <c r="AS245" s="76"/>
      <c r="AT245" s="76"/>
      <c r="AU245" s="76"/>
    </row>
    <row r="246" spans="1:47" ht="15.75" customHeight="1" thickBot="1" x14ac:dyDescent="0.45">
      <c r="A246" s="76"/>
      <c r="B246" s="92"/>
      <c r="C246" s="92"/>
      <c r="D246" s="76"/>
      <c r="E246" s="76"/>
      <c r="F246" s="76"/>
      <c r="G246" s="76"/>
      <c r="H246" s="76"/>
      <c r="I246" s="76"/>
      <c r="J246" s="76"/>
      <c r="K246" s="76"/>
      <c r="L246" s="76"/>
      <c r="M246" s="76"/>
      <c r="N246" s="76"/>
      <c r="O246" s="76"/>
      <c r="P246" s="76"/>
      <c r="Q246" s="76"/>
      <c r="R246" s="76"/>
      <c r="S246" s="76"/>
      <c r="T246" s="76"/>
      <c r="U246" s="76"/>
      <c r="V246" s="76"/>
      <c r="W246" s="76"/>
      <c r="X246" s="76"/>
      <c r="Y246" s="76"/>
      <c r="Z246" s="76"/>
      <c r="AA246" s="76"/>
      <c r="AB246" s="76"/>
      <c r="AC246" s="76"/>
      <c r="AD246" s="76"/>
      <c r="AE246" s="76"/>
      <c r="AF246" s="76"/>
      <c r="AG246" s="76"/>
      <c r="AH246" s="76"/>
      <c r="AI246" s="76"/>
      <c r="AJ246" s="76"/>
      <c r="AK246" s="76"/>
      <c r="AL246" s="76"/>
      <c r="AM246" s="76"/>
      <c r="AN246" s="76"/>
      <c r="AO246" s="92"/>
      <c r="AP246" s="76"/>
      <c r="AQ246" s="76"/>
      <c r="AR246" s="76"/>
      <c r="AS246" s="76"/>
      <c r="AT246" s="76"/>
      <c r="AU246" s="76"/>
    </row>
    <row r="247" spans="1:47" ht="15.75" customHeight="1" thickBot="1" x14ac:dyDescent="0.45">
      <c r="A247" s="76"/>
      <c r="B247" s="92"/>
      <c r="C247" s="92"/>
      <c r="D247" s="76"/>
      <c r="E247" s="76"/>
      <c r="F247" s="76"/>
      <c r="G247" s="76"/>
      <c r="H247" s="76"/>
      <c r="I247" s="76"/>
      <c r="J247" s="76"/>
      <c r="K247" s="76"/>
      <c r="L247" s="76"/>
      <c r="M247" s="76"/>
      <c r="N247" s="76"/>
      <c r="O247" s="76"/>
      <c r="P247" s="76"/>
      <c r="Q247" s="76"/>
      <c r="R247" s="76"/>
      <c r="S247" s="76"/>
      <c r="T247" s="76"/>
      <c r="U247" s="76"/>
      <c r="V247" s="76"/>
      <c r="W247" s="76"/>
      <c r="X247" s="76"/>
      <c r="Y247" s="76"/>
      <c r="Z247" s="76"/>
      <c r="AA247" s="76"/>
      <c r="AB247" s="76"/>
      <c r="AC247" s="76"/>
      <c r="AD247" s="76"/>
      <c r="AE247" s="76"/>
      <c r="AF247" s="76"/>
      <c r="AG247" s="76"/>
      <c r="AH247" s="76"/>
      <c r="AI247" s="76"/>
      <c r="AJ247" s="76"/>
      <c r="AK247" s="76"/>
      <c r="AL247" s="76"/>
      <c r="AM247" s="76"/>
      <c r="AN247" s="76"/>
      <c r="AO247" s="92"/>
      <c r="AP247" s="76"/>
      <c r="AQ247" s="76"/>
      <c r="AR247" s="76"/>
      <c r="AS247" s="76"/>
      <c r="AT247" s="76"/>
      <c r="AU247" s="76"/>
    </row>
    <row r="248" spans="1:47" ht="15.75" customHeight="1" thickBot="1" x14ac:dyDescent="0.45">
      <c r="A248" s="76"/>
      <c r="B248" s="92"/>
      <c r="C248" s="92"/>
      <c r="D248" s="76"/>
      <c r="E248" s="76"/>
      <c r="F248" s="76"/>
      <c r="G248" s="76"/>
      <c r="H248" s="76"/>
      <c r="I248" s="76"/>
      <c r="J248" s="76"/>
      <c r="K248" s="76"/>
      <c r="L248" s="76"/>
      <c r="M248" s="76"/>
      <c r="N248" s="76"/>
      <c r="O248" s="76"/>
      <c r="P248" s="76"/>
      <c r="Q248" s="76"/>
      <c r="R248" s="76"/>
      <c r="S248" s="76"/>
      <c r="T248" s="76"/>
      <c r="U248" s="76"/>
      <c r="V248" s="76"/>
      <c r="W248" s="76"/>
      <c r="X248" s="76"/>
      <c r="Y248" s="76"/>
      <c r="Z248" s="76"/>
      <c r="AA248" s="76"/>
      <c r="AB248" s="76"/>
      <c r="AC248" s="76"/>
      <c r="AD248" s="76"/>
      <c r="AE248" s="76"/>
      <c r="AF248" s="76"/>
      <c r="AG248" s="76"/>
      <c r="AH248" s="76"/>
      <c r="AI248" s="76"/>
      <c r="AJ248" s="76"/>
      <c r="AK248" s="76"/>
      <c r="AL248" s="76"/>
      <c r="AM248" s="76"/>
      <c r="AN248" s="76"/>
      <c r="AO248" s="92"/>
      <c r="AP248" s="76"/>
      <c r="AQ248" s="76"/>
      <c r="AR248" s="76"/>
      <c r="AS248" s="76"/>
      <c r="AT248" s="76"/>
      <c r="AU248" s="76"/>
    </row>
    <row r="249" spans="1:47" ht="15.75" customHeight="1" thickBot="1" x14ac:dyDescent="0.45">
      <c r="A249" s="76"/>
      <c r="B249" s="92"/>
      <c r="C249" s="92"/>
      <c r="D249" s="76"/>
      <c r="E249" s="76"/>
      <c r="F249" s="76"/>
      <c r="G249" s="76"/>
      <c r="H249" s="76"/>
      <c r="I249" s="76"/>
      <c r="J249" s="76"/>
      <c r="K249" s="76"/>
      <c r="L249" s="76"/>
      <c r="M249" s="76"/>
      <c r="N249" s="76"/>
      <c r="O249" s="76"/>
      <c r="P249" s="76"/>
      <c r="Q249" s="76"/>
      <c r="R249" s="76"/>
      <c r="S249" s="76"/>
      <c r="T249" s="76"/>
      <c r="U249" s="76"/>
      <c r="V249" s="76"/>
      <c r="W249" s="76"/>
      <c r="X249" s="76"/>
      <c r="Y249" s="76"/>
      <c r="Z249" s="76"/>
      <c r="AA249" s="76"/>
      <c r="AB249" s="76"/>
      <c r="AC249" s="76"/>
      <c r="AD249" s="76"/>
      <c r="AE249" s="76"/>
      <c r="AF249" s="76"/>
      <c r="AG249" s="76"/>
      <c r="AH249" s="76"/>
      <c r="AI249" s="76"/>
      <c r="AJ249" s="76"/>
      <c r="AK249" s="76"/>
      <c r="AL249" s="76"/>
      <c r="AM249" s="76"/>
      <c r="AN249" s="76"/>
      <c r="AO249" s="92"/>
      <c r="AP249" s="76"/>
      <c r="AQ249" s="76"/>
      <c r="AR249" s="76"/>
      <c r="AS249" s="76"/>
      <c r="AT249" s="76"/>
      <c r="AU249" s="76"/>
    </row>
    <row r="250" spans="1:47" ht="15.75" customHeight="1" thickBot="1" x14ac:dyDescent="0.45">
      <c r="A250" s="76"/>
      <c r="B250" s="92"/>
      <c r="C250" s="92"/>
      <c r="D250" s="76"/>
      <c r="E250" s="76"/>
      <c r="F250" s="76"/>
      <c r="G250" s="76"/>
      <c r="H250" s="76"/>
      <c r="I250" s="76"/>
      <c r="J250" s="76"/>
      <c r="K250" s="76"/>
      <c r="L250" s="76"/>
      <c r="M250" s="76"/>
      <c r="N250" s="76"/>
      <c r="O250" s="76"/>
      <c r="P250" s="76"/>
      <c r="Q250" s="76"/>
      <c r="R250" s="76"/>
      <c r="S250" s="76"/>
      <c r="T250" s="76"/>
      <c r="U250" s="76"/>
      <c r="V250" s="76"/>
      <c r="W250" s="76"/>
      <c r="X250" s="76"/>
      <c r="Y250" s="76"/>
      <c r="Z250" s="76"/>
      <c r="AA250" s="76"/>
      <c r="AB250" s="76"/>
      <c r="AC250" s="76"/>
      <c r="AD250" s="76"/>
      <c r="AE250" s="76"/>
      <c r="AF250" s="76"/>
      <c r="AG250" s="76"/>
      <c r="AH250" s="76"/>
      <c r="AI250" s="76"/>
      <c r="AJ250" s="76"/>
      <c r="AK250" s="76"/>
      <c r="AL250" s="76"/>
      <c r="AM250" s="76"/>
      <c r="AN250" s="76"/>
      <c r="AO250" s="92"/>
      <c r="AP250" s="76"/>
      <c r="AQ250" s="76"/>
      <c r="AR250" s="76"/>
      <c r="AS250" s="76"/>
      <c r="AT250" s="76"/>
      <c r="AU250" s="76"/>
    </row>
    <row r="251" spans="1:47" ht="15.75" customHeight="1" thickBot="1" x14ac:dyDescent="0.45">
      <c r="A251" s="76"/>
      <c r="B251" s="92"/>
      <c r="C251" s="92"/>
      <c r="D251" s="76"/>
      <c r="E251" s="76"/>
      <c r="F251" s="76"/>
      <c r="G251" s="76"/>
      <c r="H251" s="76"/>
      <c r="I251" s="76"/>
      <c r="J251" s="76"/>
      <c r="K251" s="76"/>
      <c r="L251" s="76"/>
      <c r="M251" s="76"/>
      <c r="N251" s="76"/>
      <c r="O251" s="76"/>
      <c r="P251" s="76"/>
      <c r="Q251" s="76"/>
      <c r="R251" s="76"/>
      <c r="S251" s="76"/>
      <c r="T251" s="76"/>
      <c r="U251" s="76"/>
      <c r="V251" s="76"/>
      <c r="W251" s="76"/>
      <c r="X251" s="76"/>
      <c r="Y251" s="76"/>
      <c r="Z251" s="76"/>
      <c r="AA251" s="76"/>
      <c r="AB251" s="76"/>
      <c r="AC251" s="76"/>
      <c r="AD251" s="76"/>
      <c r="AE251" s="76"/>
      <c r="AF251" s="76"/>
      <c r="AG251" s="76"/>
      <c r="AH251" s="76"/>
      <c r="AI251" s="76"/>
      <c r="AJ251" s="76"/>
      <c r="AK251" s="76"/>
      <c r="AL251" s="76"/>
      <c r="AM251" s="76"/>
      <c r="AN251" s="76"/>
      <c r="AO251" s="92"/>
      <c r="AP251" s="76"/>
      <c r="AQ251" s="76"/>
      <c r="AR251" s="76"/>
      <c r="AS251" s="76"/>
      <c r="AT251" s="76"/>
      <c r="AU251" s="76"/>
    </row>
    <row r="252" spans="1:47" ht="15.75" customHeight="1" thickBot="1" x14ac:dyDescent="0.45">
      <c r="A252" s="76"/>
      <c r="B252" s="92"/>
      <c r="C252" s="92"/>
      <c r="D252" s="76"/>
      <c r="E252" s="76"/>
      <c r="F252" s="76"/>
      <c r="G252" s="76"/>
      <c r="H252" s="76"/>
      <c r="I252" s="76"/>
      <c r="J252" s="76"/>
      <c r="K252" s="76"/>
      <c r="L252" s="76"/>
      <c r="M252" s="76"/>
      <c r="N252" s="76"/>
      <c r="O252" s="76"/>
      <c r="P252" s="76"/>
      <c r="Q252" s="76"/>
      <c r="R252" s="76"/>
      <c r="S252" s="76"/>
      <c r="T252" s="76"/>
      <c r="U252" s="76"/>
      <c r="V252" s="76"/>
      <c r="W252" s="76"/>
      <c r="X252" s="76"/>
      <c r="Y252" s="76"/>
      <c r="Z252" s="76"/>
      <c r="AA252" s="76"/>
      <c r="AB252" s="76"/>
      <c r="AC252" s="76"/>
      <c r="AD252" s="76"/>
      <c r="AE252" s="76"/>
      <c r="AF252" s="76"/>
      <c r="AG252" s="76"/>
      <c r="AH252" s="76"/>
      <c r="AI252" s="76"/>
      <c r="AJ252" s="76"/>
      <c r="AK252" s="76"/>
      <c r="AL252" s="76"/>
      <c r="AM252" s="76"/>
      <c r="AN252" s="76"/>
      <c r="AO252" s="92"/>
      <c r="AP252" s="76"/>
      <c r="AQ252" s="76"/>
      <c r="AR252" s="76"/>
      <c r="AS252" s="76"/>
      <c r="AT252" s="76"/>
      <c r="AU252" s="76"/>
    </row>
    <row r="253" spans="1:47" ht="15.75" customHeight="1" x14ac:dyDescent="0.4"/>
    <row r="254" spans="1:47" ht="15.75" customHeight="1" x14ac:dyDescent="0.4"/>
    <row r="255" spans="1:47" ht="15.75" customHeight="1" x14ac:dyDescent="0.4"/>
    <row r="256" spans="1:47" ht="15.75" customHeight="1" x14ac:dyDescent="0.4"/>
    <row r="257" ht="15.75" customHeight="1" x14ac:dyDescent="0.4"/>
    <row r="258" ht="15.75" customHeight="1" x14ac:dyDescent="0.4"/>
    <row r="259" ht="15.75" customHeight="1" x14ac:dyDescent="0.4"/>
    <row r="260" ht="15.75" customHeight="1" x14ac:dyDescent="0.4"/>
    <row r="261" ht="15.75" customHeight="1" x14ac:dyDescent="0.4"/>
    <row r="262" ht="15.75" customHeight="1" x14ac:dyDescent="0.4"/>
    <row r="263" ht="15.75" customHeight="1" x14ac:dyDescent="0.4"/>
    <row r="264" ht="15.75" customHeight="1" x14ac:dyDescent="0.4"/>
    <row r="265" ht="15.75" customHeight="1" x14ac:dyDescent="0.4"/>
    <row r="266" ht="15.75" customHeight="1" x14ac:dyDescent="0.4"/>
    <row r="267" ht="15.75" customHeight="1" x14ac:dyDescent="0.4"/>
    <row r="268" ht="15.75" customHeight="1" x14ac:dyDescent="0.4"/>
    <row r="269" ht="15.75" customHeight="1" x14ac:dyDescent="0.4"/>
    <row r="270" ht="15.75" customHeight="1" x14ac:dyDescent="0.4"/>
    <row r="271" ht="15.75" customHeight="1" x14ac:dyDescent="0.4"/>
    <row r="272" ht="15.75" customHeight="1" x14ac:dyDescent="0.4"/>
    <row r="273" ht="15.75" customHeight="1" x14ac:dyDescent="0.4"/>
    <row r="274" ht="15.75" customHeight="1" x14ac:dyDescent="0.4"/>
    <row r="275" ht="15.75" customHeight="1" x14ac:dyDescent="0.4"/>
    <row r="276" ht="15.75" customHeight="1" x14ac:dyDescent="0.4"/>
    <row r="277" ht="15.75" customHeight="1" x14ac:dyDescent="0.4"/>
    <row r="278" ht="15.75" customHeight="1" x14ac:dyDescent="0.4"/>
    <row r="279" ht="15.75" customHeight="1" x14ac:dyDescent="0.4"/>
    <row r="280" ht="15.75" customHeight="1" x14ac:dyDescent="0.4"/>
    <row r="281" ht="15.75" customHeight="1" x14ac:dyDescent="0.4"/>
    <row r="282" ht="15.75" customHeight="1" x14ac:dyDescent="0.4"/>
    <row r="283" ht="15.75" customHeight="1" x14ac:dyDescent="0.4"/>
    <row r="284" ht="15.75" customHeight="1" x14ac:dyDescent="0.4"/>
    <row r="285" ht="15.75" customHeight="1" x14ac:dyDescent="0.4"/>
    <row r="286" ht="15.75" customHeight="1" x14ac:dyDescent="0.4"/>
    <row r="287" ht="15.75" customHeight="1" x14ac:dyDescent="0.4"/>
    <row r="288" ht="15.75" customHeight="1" x14ac:dyDescent="0.4"/>
    <row r="289" ht="15.75" customHeight="1" x14ac:dyDescent="0.4"/>
    <row r="290" ht="15.75" customHeight="1" x14ac:dyDescent="0.4"/>
    <row r="291" ht="15.75" customHeight="1" x14ac:dyDescent="0.4"/>
    <row r="292" ht="15.75" customHeight="1" x14ac:dyDescent="0.4"/>
    <row r="293" ht="15.75" customHeight="1" x14ac:dyDescent="0.4"/>
    <row r="294" ht="15.75" customHeight="1" x14ac:dyDescent="0.4"/>
    <row r="295" ht="15.75" customHeight="1" x14ac:dyDescent="0.4"/>
    <row r="296" ht="15.75" customHeight="1" x14ac:dyDescent="0.4"/>
    <row r="297" ht="15.75" customHeight="1" x14ac:dyDescent="0.4"/>
    <row r="298" ht="15.75" customHeight="1" x14ac:dyDescent="0.4"/>
    <row r="299" ht="15.75" customHeight="1" x14ac:dyDescent="0.4"/>
    <row r="300" ht="15.75" customHeight="1" x14ac:dyDescent="0.4"/>
    <row r="301" ht="15.75" customHeight="1" x14ac:dyDescent="0.4"/>
    <row r="302" ht="15.75" customHeight="1" x14ac:dyDescent="0.4"/>
    <row r="303" ht="15.75" customHeight="1" x14ac:dyDescent="0.4"/>
    <row r="304" ht="15.75" customHeight="1" x14ac:dyDescent="0.4"/>
    <row r="305" ht="15.75" customHeight="1" x14ac:dyDescent="0.4"/>
    <row r="306" ht="15.75" customHeight="1" x14ac:dyDescent="0.4"/>
    <row r="307" ht="15.75" customHeight="1" x14ac:dyDescent="0.4"/>
    <row r="308" ht="15.75" customHeight="1" x14ac:dyDescent="0.4"/>
    <row r="309" ht="15.75" customHeight="1" x14ac:dyDescent="0.4"/>
    <row r="310" ht="15.75" customHeight="1" x14ac:dyDescent="0.4"/>
    <row r="311" ht="15.75" customHeight="1" x14ac:dyDescent="0.4"/>
    <row r="312" ht="15.75" customHeight="1" x14ac:dyDescent="0.4"/>
    <row r="313" ht="15.75" customHeight="1" x14ac:dyDescent="0.4"/>
    <row r="314" ht="15.75" customHeight="1" x14ac:dyDescent="0.4"/>
    <row r="315" ht="15.75" customHeight="1" x14ac:dyDescent="0.4"/>
    <row r="316" ht="15.75" customHeight="1" x14ac:dyDescent="0.4"/>
    <row r="317" ht="15.75" customHeight="1" x14ac:dyDescent="0.4"/>
    <row r="318" ht="15.75" customHeight="1" x14ac:dyDescent="0.4"/>
    <row r="319" ht="15.75" customHeight="1" x14ac:dyDescent="0.4"/>
    <row r="320" ht="15.75" customHeight="1" x14ac:dyDescent="0.4"/>
    <row r="321" ht="15.75" customHeight="1" x14ac:dyDescent="0.4"/>
    <row r="322" ht="15.75" customHeight="1" x14ac:dyDescent="0.4"/>
    <row r="323" ht="15.75" customHeight="1" x14ac:dyDescent="0.4"/>
    <row r="324" ht="15.75" customHeight="1" x14ac:dyDescent="0.4"/>
    <row r="325" ht="15.75" customHeight="1" x14ac:dyDescent="0.4"/>
    <row r="326" ht="15.75" customHeight="1" x14ac:dyDescent="0.4"/>
    <row r="327" ht="15.75" customHeight="1" x14ac:dyDescent="0.4"/>
    <row r="328" ht="15.75" customHeight="1" x14ac:dyDescent="0.4"/>
    <row r="329" ht="15.75" customHeight="1" x14ac:dyDescent="0.4"/>
    <row r="330" ht="15.75" customHeight="1" x14ac:dyDescent="0.4"/>
    <row r="331" ht="15.75" customHeight="1" x14ac:dyDescent="0.4"/>
    <row r="332" ht="15.75" customHeight="1" x14ac:dyDescent="0.4"/>
    <row r="333" ht="15.75" customHeight="1" x14ac:dyDescent="0.4"/>
    <row r="334" ht="15.75" customHeight="1" x14ac:dyDescent="0.4"/>
    <row r="335" ht="15.75" customHeight="1" x14ac:dyDescent="0.4"/>
    <row r="336" ht="15.75" customHeight="1" x14ac:dyDescent="0.4"/>
    <row r="337" ht="15.75" customHeight="1" x14ac:dyDescent="0.4"/>
    <row r="338" ht="15.75" customHeight="1" x14ac:dyDescent="0.4"/>
    <row r="339" ht="15.75" customHeight="1" x14ac:dyDescent="0.4"/>
    <row r="340" ht="15.75" customHeight="1" x14ac:dyDescent="0.4"/>
    <row r="341" ht="15.75" customHeight="1" x14ac:dyDescent="0.4"/>
    <row r="342" ht="15.75" customHeight="1" x14ac:dyDescent="0.4"/>
    <row r="343" ht="15.75" customHeight="1" x14ac:dyDescent="0.4"/>
    <row r="344" ht="15.75" customHeight="1" x14ac:dyDescent="0.4"/>
    <row r="345" ht="15.75" customHeight="1" x14ac:dyDescent="0.4"/>
    <row r="346" ht="15.75" customHeight="1" x14ac:dyDescent="0.4"/>
    <row r="347" ht="15.75" customHeight="1" x14ac:dyDescent="0.4"/>
    <row r="348" ht="15.75" customHeight="1" x14ac:dyDescent="0.4"/>
    <row r="349" ht="15.75" customHeight="1" x14ac:dyDescent="0.4"/>
    <row r="350" ht="15.75" customHeight="1" x14ac:dyDescent="0.4"/>
    <row r="351" ht="15.75" customHeight="1" x14ac:dyDescent="0.4"/>
    <row r="352" ht="15.75" customHeight="1" x14ac:dyDescent="0.4"/>
    <row r="353" ht="15.75" customHeight="1" x14ac:dyDescent="0.4"/>
    <row r="354" ht="15.75" customHeight="1" x14ac:dyDescent="0.4"/>
    <row r="355" ht="15.75" customHeight="1" x14ac:dyDescent="0.4"/>
    <row r="356" ht="15.75" customHeight="1" x14ac:dyDescent="0.4"/>
    <row r="357" ht="15.75" customHeight="1" x14ac:dyDescent="0.4"/>
    <row r="358" ht="15.75" customHeight="1" x14ac:dyDescent="0.4"/>
    <row r="359" ht="15.75" customHeight="1" x14ac:dyDescent="0.4"/>
    <row r="360" ht="15.75" customHeight="1" x14ac:dyDescent="0.4"/>
    <row r="361" ht="15.75" customHeight="1" x14ac:dyDescent="0.4"/>
    <row r="362" ht="15.75" customHeight="1" x14ac:dyDescent="0.4"/>
    <row r="363" ht="15.75" customHeight="1" x14ac:dyDescent="0.4"/>
    <row r="364" ht="15.75" customHeight="1" x14ac:dyDescent="0.4"/>
    <row r="365" ht="15.75" customHeight="1" x14ac:dyDescent="0.4"/>
    <row r="366" ht="15.75" customHeight="1" x14ac:dyDescent="0.4"/>
    <row r="367" ht="15.75" customHeight="1" x14ac:dyDescent="0.4"/>
    <row r="368" ht="15.75" customHeight="1" x14ac:dyDescent="0.4"/>
    <row r="369" ht="15.75" customHeight="1" x14ac:dyDescent="0.4"/>
    <row r="370" ht="15.75" customHeight="1" x14ac:dyDescent="0.4"/>
    <row r="371" ht="15.75" customHeight="1" x14ac:dyDescent="0.4"/>
    <row r="372" ht="15.75" customHeight="1" x14ac:dyDescent="0.4"/>
    <row r="373" ht="15.75" customHeight="1" x14ac:dyDescent="0.4"/>
    <row r="374" ht="15.75" customHeight="1" x14ac:dyDescent="0.4"/>
    <row r="375" ht="15.75" customHeight="1" x14ac:dyDescent="0.4"/>
    <row r="376" ht="15.75" customHeight="1" x14ac:dyDescent="0.4"/>
    <row r="377" ht="15.75" customHeight="1" x14ac:dyDescent="0.4"/>
    <row r="378" ht="15.75" customHeight="1" x14ac:dyDescent="0.4"/>
    <row r="379" ht="15.75" customHeight="1" x14ac:dyDescent="0.4"/>
    <row r="380" ht="15.75" customHeight="1" x14ac:dyDescent="0.4"/>
    <row r="381" ht="15.75" customHeight="1" x14ac:dyDescent="0.4"/>
    <row r="382" ht="15.75" customHeight="1" x14ac:dyDescent="0.4"/>
    <row r="383" ht="15.75" customHeight="1" x14ac:dyDescent="0.4"/>
    <row r="384" ht="15.75" customHeight="1" x14ac:dyDescent="0.4"/>
    <row r="385" ht="15.75" customHeight="1" x14ac:dyDescent="0.4"/>
    <row r="386" ht="15.75" customHeight="1" x14ac:dyDescent="0.4"/>
    <row r="387" ht="15.75" customHeight="1" x14ac:dyDescent="0.4"/>
    <row r="388" ht="15.75" customHeight="1" x14ac:dyDescent="0.4"/>
    <row r="389" ht="15.75" customHeight="1" x14ac:dyDescent="0.4"/>
    <row r="390" ht="15.75" customHeight="1" x14ac:dyDescent="0.4"/>
    <row r="391" ht="15.75" customHeight="1" x14ac:dyDescent="0.4"/>
    <row r="392" ht="15.75" customHeight="1" x14ac:dyDescent="0.4"/>
    <row r="393" ht="15.75" customHeight="1" x14ac:dyDescent="0.4"/>
    <row r="394" ht="15.75" customHeight="1" x14ac:dyDescent="0.4"/>
    <row r="395" ht="15.75" customHeight="1" x14ac:dyDescent="0.4"/>
    <row r="396" ht="15.75" customHeight="1" x14ac:dyDescent="0.4"/>
    <row r="397" ht="15.75" customHeight="1" x14ac:dyDescent="0.4"/>
    <row r="398" ht="15.75" customHeight="1" x14ac:dyDescent="0.4"/>
    <row r="399" ht="15.75" customHeight="1" x14ac:dyDescent="0.4"/>
    <row r="400" ht="15.75" customHeight="1" x14ac:dyDescent="0.4"/>
    <row r="401" ht="15.75" customHeight="1" x14ac:dyDescent="0.4"/>
    <row r="402" ht="15.75" customHeight="1" x14ac:dyDescent="0.4"/>
    <row r="403" ht="15.75" customHeight="1" x14ac:dyDescent="0.4"/>
    <row r="404" ht="15.75" customHeight="1" x14ac:dyDescent="0.4"/>
    <row r="405" ht="15.75" customHeight="1" x14ac:dyDescent="0.4"/>
    <row r="406" ht="15.75" customHeight="1" x14ac:dyDescent="0.4"/>
    <row r="407" ht="15.75" customHeight="1" x14ac:dyDescent="0.4"/>
    <row r="408" ht="15.75" customHeight="1" x14ac:dyDescent="0.4"/>
    <row r="409" ht="15.75" customHeight="1" x14ac:dyDescent="0.4"/>
    <row r="410" ht="15.75" customHeight="1" x14ac:dyDescent="0.4"/>
    <row r="411" ht="15.75" customHeight="1" x14ac:dyDescent="0.4"/>
    <row r="412" ht="15.75" customHeight="1" x14ac:dyDescent="0.4"/>
    <row r="413" ht="15.75" customHeight="1" x14ac:dyDescent="0.4"/>
    <row r="414" ht="15.75" customHeight="1" x14ac:dyDescent="0.4"/>
    <row r="415" ht="15.75" customHeight="1" x14ac:dyDescent="0.4"/>
    <row r="416" ht="15.75" customHeight="1" x14ac:dyDescent="0.4"/>
    <row r="417" ht="15.75" customHeight="1" x14ac:dyDescent="0.4"/>
    <row r="418" ht="15.75" customHeight="1" x14ac:dyDescent="0.4"/>
    <row r="419" ht="15.75" customHeight="1" x14ac:dyDescent="0.4"/>
    <row r="420" ht="15.75" customHeight="1" x14ac:dyDescent="0.4"/>
    <row r="421" ht="15.75" customHeight="1" x14ac:dyDescent="0.4"/>
    <row r="422" ht="15.75" customHeight="1" x14ac:dyDescent="0.4"/>
    <row r="423" ht="15.75" customHeight="1" x14ac:dyDescent="0.4"/>
    <row r="424" ht="15.75" customHeight="1" x14ac:dyDescent="0.4"/>
    <row r="425" ht="15.75" customHeight="1" x14ac:dyDescent="0.4"/>
    <row r="426" ht="15.75" customHeight="1" x14ac:dyDescent="0.4"/>
    <row r="427" ht="15.75" customHeight="1" x14ac:dyDescent="0.4"/>
    <row r="428" ht="15.75" customHeight="1" x14ac:dyDescent="0.4"/>
    <row r="429" ht="15.75" customHeight="1" x14ac:dyDescent="0.4"/>
    <row r="430" ht="15.75" customHeight="1" x14ac:dyDescent="0.4"/>
    <row r="431" ht="15.75" customHeight="1" x14ac:dyDescent="0.4"/>
    <row r="432" ht="15.75" customHeight="1" x14ac:dyDescent="0.4"/>
    <row r="433" ht="15.75" customHeight="1" x14ac:dyDescent="0.4"/>
    <row r="434" ht="15.75" customHeight="1" x14ac:dyDescent="0.4"/>
    <row r="435" ht="15.75" customHeight="1" x14ac:dyDescent="0.4"/>
    <row r="436" ht="15.75" customHeight="1" x14ac:dyDescent="0.4"/>
    <row r="437" ht="15.75" customHeight="1" x14ac:dyDescent="0.4"/>
    <row r="438" ht="15.75" customHeight="1" x14ac:dyDescent="0.4"/>
    <row r="439" ht="15.75" customHeight="1" x14ac:dyDescent="0.4"/>
    <row r="440" ht="15.75" customHeight="1" x14ac:dyDescent="0.4"/>
    <row r="441" ht="15.75" customHeight="1" x14ac:dyDescent="0.4"/>
    <row r="442" ht="15.75" customHeight="1" x14ac:dyDescent="0.4"/>
    <row r="443" ht="15.75" customHeight="1" x14ac:dyDescent="0.4"/>
    <row r="444" ht="15.75" customHeight="1" x14ac:dyDescent="0.4"/>
    <row r="445" ht="15.75" customHeight="1" x14ac:dyDescent="0.4"/>
    <row r="446" ht="15.75" customHeight="1" x14ac:dyDescent="0.4"/>
    <row r="447" ht="15.75" customHeight="1" x14ac:dyDescent="0.4"/>
    <row r="448" ht="15.75" customHeight="1" x14ac:dyDescent="0.4"/>
    <row r="449" ht="15.75" customHeight="1" x14ac:dyDescent="0.4"/>
    <row r="450" ht="15.75" customHeight="1" x14ac:dyDescent="0.4"/>
    <row r="451" ht="15.75" customHeight="1" x14ac:dyDescent="0.4"/>
    <row r="452" ht="15.75" customHeight="1" x14ac:dyDescent="0.4"/>
    <row r="453" ht="15.75" customHeight="1" x14ac:dyDescent="0.4"/>
    <row r="454" ht="15.75" customHeight="1" x14ac:dyDescent="0.4"/>
    <row r="455" ht="15.75" customHeight="1" x14ac:dyDescent="0.4"/>
    <row r="456" ht="15.75" customHeight="1" x14ac:dyDescent="0.4"/>
    <row r="457" ht="15.75" customHeight="1" x14ac:dyDescent="0.4"/>
    <row r="458" ht="15.75" customHeight="1" x14ac:dyDescent="0.4"/>
    <row r="459" ht="15.75" customHeight="1" x14ac:dyDescent="0.4"/>
    <row r="460" ht="15.75" customHeight="1" x14ac:dyDescent="0.4"/>
    <row r="461" ht="15.75" customHeight="1" x14ac:dyDescent="0.4"/>
    <row r="462" ht="15.75" customHeight="1" x14ac:dyDescent="0.4"/>
    <row r="463" ht="15.75" customHeight="1" x14ac:dyDescent="0.4"/>
    <row r="464" ht="15.75" customHeight="1" x14ac:dyDescent="0.4"/>
    <row r="465" ht="15.75" customHeight="1" x14ac:dyDescent="0.4"/>
    <row r="466" ht="15.75" customHeight="1" x14ac:dyDescent="0.4"/>
    <row r="467" ht="15.75" customHeight="1" x14ac:dyDescent="0.4"/>
    <row r="468" ht="15.75" customHeight="1" x14ac:dyDescent="0.4"/>
    <row r="469" ht="15.75" customHeight="1" x14ac:dyDescent="0.4"/>
    <row r="470" ht="15.75" customHeight="1" x14ac:dyDescent="0.4"/>
    <row r="471" ht="15.75" customHeight="1" x14ac:dyDescent="0.4"/>
    <row r="472" ht="15.75" customHeight="1" x14ac:dyDescent="0.4"/>
    <row r="473" ht="15.75" customHeight="1" x14ac:dyDescent="0.4"/>
    <row r="474" ht="15.75" customHeight="1" x14ac:dyDescent="0.4"/>
    <row r="475" ht="15.75" customHeight="1" x14ac:dyDescent="0.4"/>
    <row r="476" ht="15.75" customHeight="1" x14ac:dyDescent="0.4"/>
    <row r="477" ht="15.75" customHeight="1" x14ac:dyDescent="0.4"/>
    <row r="478" ht="15.75" customHeight="1" x14ac:dyDescent="0.4"/>
    <row r="479" ht="15.75" customHeight="1" x14ac:dyDescent="0.4"/>
    <row r="480" ht="15.75" customHeight="1" x14ac:dyDescent="0.4"/>
    <row r="481" ht="15.75" customHeight="1" x14ac:dyDescent="0.4"/>
    <row r="482" ht="15.75" customHeight="1" x14ac:dyDescent="0.4"/>
    <row r="483" ht="15.75" customHeight="1" x14ac:dyDescent="0.4"/>
    <row r="484" ht="15.75" customHeight="1" x14ac:dyDescent="0.4"/>
    <row r="485" ht="15.75" customHeight="1" x14ac:dyDescent="0.4"/>
    <row r="486" ht="15.75" customHeight="1" x14ac:dyDescent="0.4"/>
    <row r="487" ht="15.75" customHeight="1" x14ac:dyDescent="0.4"/>
    <row r="488" ht="15.75" customHeight="1" x14ac:dyDescent="0.4"/>
    <row r="489" ht="15.75" customHeight="1" x14ac:dyDescent="0.4"/>
    <row r="490" ht="15.75" customHeight="1" x14ac:dyDescent="0.4"/>
    <row r="491" ht="15.75" customHeight="1" x14ac:dyDescent="0.4"/>
    <row r="492" ht="15.75" customHeight="1" x14ac:dyDescent="0.4"/>
    <row r="493" ht="15.75" customHeight="1" x14ac:dyDescent="0.4"/>
    <row r="494" ht="15.75" customHeight="1" x14ac:dyDescent="0.4"/>
    <row r="495" ht="15.75" customHeight="1" x14ac:dyDescent="0.4"/>
    <row r="496" ht="15.75" customHeight="1" x14ac:dyDescent="0.4"/>
    <row r="497" ht="15.75" customHeight="1" x14ac:dyDescent="0.4"/>
    <row r="498" ht="15.75" customHeight="1" x14ac:dyDescent="0.4"/>
    <row r="499" ht="15.75" customHeight="1" x14ac:dyDescent="0.4"/>
    <row r="500" ht="15.75" customHeight="1" x14ac:dyDescent="0.4"/>
    <row r="501" ht="15.75" customHeight="1" x14ac:dyDescent="0.4"/>
    <row r="502" ht="15.75" customHeight="1" x14ac:dyDescent="0.4"/>
    <row r="503" ht="15.75" customHeight="1" x14ac:dyDescent="0.4"/>
    <row r="504" ht="15.75" customHeight="1" x14ac:dyDescent="0.4"/>
    <row r="505" ht="15.75" customHeight="1" x14ac:dyDescent="0.4"/>
    <row r="506" ht="15.75" customHeight="1" x14ac:dyDescent="0.4"/>
    <row r="507" ht="15.75" customHeight="1" x14ac:dyDescent="0.4"/>
    <row r="508" ht="15.75" customHeight="1" x14ac:dyDescent="0.4"/>
    <row r="509" ht="15.75" customHeight="1" x14ac:dyDescent="0.4"/>
    <row r="510" ht="15.75" customHeight="1" x14ac:dyDescent="0.4"/>
    <row r="511" ht="15.75" customHeight="1" x14ac:dyDescent="0.4"/>
    <row r="512" ht="15.75" customHeight="1" x14ac:dyDescent="0.4"/>
    <row r="513" ht="15.75" customHeight="1" x14ac:dyDescent="0.4"/>
    <row r="514" ht="15.75" customHeight="1" x14ac:dyDescent="0.4"/>
    <row r="515" ht="15.75" customHeight="1" x14ac:dyDescent="0.4"/>
    <row r="516" ht="15.75" customHeight="1" x14ac:dyDescent="0.4"/>
    <row r="517" ht="15.75" customHeight="1" x14ac:dyDescent="0.4"/>
    <row r="518" ht="15.75" customHeight="1" x14ac:dyDescent="0.4"/>
    <row r="519" ht="15.75" customHeight="1" x14ac:dyDescent="0.4"/>
    <row r="520" ht="15.75" customHeight="1" x14ac:dyDescent="0.4"/>
    <row r="521" ht="15.75" customHeight="1" x14ac:dyDescent="0.4"/>
    <row r="522" ht="15.75" customHeight="1" x14ac:dyDescent="0.4"/>
    <row r="523" ht="15.75" customHeight="1" x14ac:dyDescent="0.4"/>
    <row r="524" ht="15.75" customHeight="1" x14ac:dyDescent="0.4"/>
    <row r="525" ht="15.75" customHeight="1" x14ac:dyDescent="0.4"/>
    <row r="526" ht="15.75" customHeight="1" x14ac:dyDescent="0.4"/>
    <row r="527" ht="15.75" customHeight="1" x14ac:dyDescent="0.4"/>
    <row r="528" ht="15.75" customHeight="1" x14ac:dyDescent="0.4"/>
    <row r="529" ht="15.75" customHeight="1" x14ac:dyDescent="0.4"/>
    <row r="530" ht="15.75" customHeight="1" x14ac:dyDescent="0.4"/>
    <row r="531" ht="15.75" customHeight="1" x14ac:dyDescent="0.4"/>
    <row r="532" ht="15.75" customHeight="1" x14ac:dyDescent="0.4"/>
    <row r="533" ht="15.75" customHeight="1" x14ac:dyDescent="0.4"/>
    <row r="534" ht="15.75" customHeight="1" x14ac:dyDescent="0.4"/>
    <row r="535" ht="15.75" customHeight="1" x14ac:dyDescent="0.4"/>
    <row r="536" ht="15.75" customHeight="1" x14ac:dyDescent="0.4"/>
    <row r="537" ht="15.75" customHeight="1" x14ac:dyDescent="0.4"/>
    <row r="538" ht="15.75" customHeight="1" x14ac:dyDescent="0.4"/>
    <row r="539" ht="15.75" customHeight="1" x14ac:dyDescent="0.4"/>
    <row r="540" ht="15.75" customHeight="1" x14ac:dyDescent="0.4"/>
    <row r="541" ht="15.75" customHeight="1" x14ac:dyDescent="0.4"/>
    <row r="542" ht="15.75" customHeight="1" x14ac:dyDescent="0.4"/>
    <row r="543" ht="15.75" customHeight="1" x14ac:dyDescent="0.4"/>
    <row r="544" ht="15.75" customHeight="1" x14ac:dyDescent="0.4"/>
    <row r="545" ht="15.75" customHeight="1" x14ac:dyDescent="0.4"/>
    <row r="546" ht="15.75" customHeight="1" x14ac:dyDescent="0.4"/>
    <row r="547" ht="15.75" customHeight="1" x14ac:dyDescent="0.4"/>
    <row r="548" ht="15.75" customHeight="1" x14ac:dyDescent="0.4"/>
    <row r="549" ht="15.75" customHeight="1" x14ac:dyDescent="0.4"/>
    <row r="550" ht="15.75" customHeight="1" x14ac:dyDescent="0.4"/>
    <row r="551" ht="15.75" customHeight="1" x14ac:dyDescent="0.4"/>
    <row r="552" ht="15.75" customHeight="1" x14ac:dyDescent="0.4"/>
    <row r="553" ht="15.75" customHeight="1" x14ac:dyDescent="0.4"/>
    <row r="554" ht="15.75" customHeight="1" x14ac:dyDescent="0.4"/>
    <row r="555" ht="15.75" customHeight="1" x14ac:dyDescent="0.4"/>
    <row r="556" ht="15.75" customHeight="1" x14ac:dyDescent="0.4"/>
    <row r="557" ht="15.75" customHeight="1" x14ac:dyDescent="0.4"/>
    <row r="558" ht="15.75" customHeight="1" x14ac:dyDescent="0.4"/>
    <row r="559" ht="15.75" customHeight="1" x14ac:dyDescent="0.4"/>
    <row r="560" ht="15.75" customHeight="1" x14ac:dyDescent="0.4"/>
    <row r="561" ht="15.75" customHeight="1" x14ac:dyDescent="0.4"/>
    <row r="562" ht="15.75" customHeight="1" x14ac:dyDescent="0.4"/>
    <row r="563" ht="15.75" customHeight="1" x14ac:dyDescent="0.4"/>
    <row r="564" ht="15.75" customHeight="1" x14ac:dyDescent="0.4"/>
    <row r="565" ht="15.75" customHeight="1" x14ac:dyDescent="0.4"/>
    <row r="566" ht="15.75" customHeight="1" x14ac:dyDescent="0.4"/>
    <row r="567" ht="15.75" customHeight="1" x14ac:dyDescent="0.4"/>
    <row r="568" ht="15.75" customHeight="1" x14ac:dyDescent="0.4"/>
    <row r="569" ht="15.75" customHeight="1" x14ac:dyDescent="0.4"/>
    <row r="570" ht="15.75" customHeight="1" x14ac:dyDescent="0.4"/>
    <row r="571" ht="15.75" customHeight="1" x14ac:dyDescent="0.4"/>
    <row r="572" ht="15.75" customHeight="1" x14ac:dyDescent="0.4"/>
    <row r="573" ht="15.75" customHeight="1" x14ac:dyDescent="0.4"/>
    <row r="574" ht="15.75" customHeight="1" x14ac:dyDescent="0.4"/>
    <row r="575" ht="15.75" customHeight="1" x14ac:dyDescent="0.4"/>
    <row r="576" ht="15.75" customHeight="1" x14ac:dyDescent="0.4"/>
    <row r="577" ht="15.75" customHeight="1" x14ac:dyDescent="0.4"/>
    <row r="578" ht="15.75" customHeight="1" x14ac:dyDescent="0.4"/>
    <row r="579" ht="15.75" customHeight="1" x14ac:dyDescent="0.4"/>
    <row r="580" ht="15.75" customHeight="1" x14ac:dyDescent="0.4"/>
    <row r="581" ht="15.75" customHeight="1" x14ac:dyDescent="0.4"/>
    <row r="582" ht="15.75" customHeight="1" x14ac:dyDescent="0.4"/>
    <row r="583" ht="15.75" customHeight="1" x14ac:dyDescent="0.4"/>
    <row r="584" ht="15.75" customHeight="1" x14ac:dyDescent="0.4"/>
    <row r="585" ht="15.75" customHeight="1" x14ac:dyDescent="0.4"/>
    <row r="586" ht="15.75" customHeight="1" x14ac:dyDescent="0.4"/>
    <row r="587" ht="15.75" customHeight="1" x14ac:dyDescent="0.4"/>
    <row r="588" ht="15.75" customHeight="1" x14ac:dyDescent="0.4"/>
    <row r="589" ht="15.75" customHeight="1" x14ac:dyDescent="0.4"/>
    <row r="590" ht="15.75" customHeight="1" x14ac:dyDescent="0.4"/>
    <row r="591" ht="15.75" customHeight="1" x14ac:dyDescent="0.4"/>
    <row r="592" ht="15.75" customHeight="1" x14ac:dyDescent="0.4"/>
    <row r="593" ht="15.75" customHeight="1" x14ac:dyDescent="0.4"/>
    <row r="594" ht="15.75" customHeight="1" x14ac:dyDescent="0.4"/>
    <row r="595" ht="15.75" customHeight="1" x14ac:dyDescent="0.4"/>
    <row r="596" ht="15.75" customHeight="1" x14ac:dyDescent="0.4"/>
    <row r="597" ht="15.75" customHeight="1" x14ac:dyDescent="0.4"/>
    <row r="598" ht="15.75" customHeight="1" x14ac:dyDescent="0.4"/>
    <row r="599" ht="15.75" customHeight="1" x14ac:dyDescent="0.4"/>
    <row r="600" ht="15.75" customHeight="1" x14ac:dyDescent="0.4"/>
    <row r="601" ht="15.75" customHeight="1" x14ac:dyDescent="0.4"/>
    <row r="602" ht="15.75" customHeight="1" x14ac:dyDescent="0.4"/>
    <row r="603" ht="15.75" customHeight="1" x14ac:dyDescent="0.4"/>
    <row r="604" ht="15.75" customHeight="1" x14ac:dyDescent="0.4"/>
    <row r="605" ht="15.75" customHeight="1" x14ac:dyDescent="0.4"/>
    <row r="606" ht="15.75" customHeight="1" x14ac:dyDescent="0.4"/>
    <row r="607" ht="15.75" customHeight="1" x14ac:dyDescent="0.4"/>
    <row r="608" ht="15.75" customHeight="1" x14ac:dyDescent="0.4"/>
    <row r="609" ht="15.75" customHeight="1" x14ac:dyDescent="0.4"/>
    <row r="610" ht="15.75" customHeight="1" x14ac:dyDescent="0.4"/>
    <row r="611" ht="15.75" customHeight="1" x14ac:dyDescent="0.4"/>
    <row r="612" ht="15.75" customHeight="1" x14ac:dyDescent="0.4"/>
    <row r="613" ht="15.75" customHeight="1" x14ac:dyDescent="0.4"/>
    <row r="614" ht="15.75" customHeight="1" x14ac:dyDescent="0.4"/>
    <row r="615" ht="15.75" customHeight="1" x14ac:dyDescent="0.4"/>
    <row r="616" ht="15.75" customHeight="1" x14ac:dyDescent="0.4"/>
    <row r="617" ht="15.75" customHeight="1" x14ac:dyDescent="0.4"/>
    <row r="618" ht="15.75" customHeight="1" x14ac:dyDescent="0.4"/>
    <row r="619" ht="15.75" customHeight="1" x14ac:dyDescent="0.4"/>
    <row r="620" ht="15.75" customHeight="1" x14ac:dyDescent="0.4"/>
    <row r="621" ht="15.75" customHeight="1" x14ac:dyDescent="0.4"/>
    <row r="622" ht="15.75" customHeight="1" x14ac:dyDescent="0.4"/>
    <row r="623" ht="15.75" customHeight="1" x14ac:dyDescent="0.4"/>
    <row r="624" ht="15.75" customHeight="1" x14ac:dyDescent="0.4"/>
    <row r="625" ht="15.75" customHeight="1" x14ac:dyDescent="0.4"/>
    <row r="626" ht="15.75" customHeight="1" x14ac:dyDescent="0.4"/>
    <row r="627" ht="15.75" customHeight="1" x14ac:dyDescent="0.4"/>
    <row r="628" ht="15.75" customHeight="1" x14ac:dyDescent="0.4"/>
    <row r="629" ht="15.75" customHeight="1" x14ac:dyDescent="0.4"/>
    <row r="630" ht="15.75" customHeight="1" x14ac:dyDescent="0.4"/>
    <row r="631" ht="15.75" customHeight="1" x14ac:dyDescent="0.4"/>
    <row r="632" ht="15.75" customHeight="1" x14ac:dyDescent="0.4"/>
    <row r="633" ht="15.75" customHeight="1" x14ac:dyDescent="0.4"/>
    <row r="634" ht="15.75" customHeight="1" x14ac:dyDescent="0.4"/>
    <row r="635" ht="15.75" customHeight="1" x14ac:dyDescent="0.4"/>
    <row r="636" ht="15.75" customHeight="1" x14ac:dyDescent="0.4"/>
    <row r="637" ht="15.75" customHeight="1" x14ac:dyDescent="0.4"/>
    <row r="638" ht="15.75" customHeight="1" x14ac:dyDescent="0.4"/>
    <row r="639" ht="15.75" customHeight="1" x14ac:dyDescent="0.4"/>
    <row r="640" ht="15.75" customHeight="1" x14ac:dyDescent="0.4"/>
    <row r="641" ht="15.75" customHeight="1" x14ac:dyDescent="0.4"/>
    <row r="642" ht="15.75" customHeight="1" x14ac:dyDescent="0.4"/>
    <row r="643" ht="15.75" customHeight="1" x14ac:dyDescent="0.4"/>
    <row r="644" ht="15.75" customHeight="1" x14ac:dyDescent="0.4"/>
    <row r="645" ht="15.75" customHeight="1" x14ac:dyDescent="0.4"/>
    <row r="646" ht="15.75" customHeight="1" x14ac:dyDescent="0.4"/>
    <row r="647" ht="15.75" customHeight="1" x14ac:dyDescent="0.4"/>
    <row r="648" ht="15.75" customHeight="1" x14ac:dyDescent="0.4"/>
    <row r="649" ht="15.75" customHeight="1" x14ac:dyDescent="0.4"/>
    <row r="650" ht="15.75" customHeight="1" x14ac:dyDescent="0.4"/>
    <row r="651" ht="15.75" customHeight="1" x14ac:dyDescent="0.4"/>
    <row r="652" ht="15.75" customHeight="1" x14ac:dyDescent="0.4"/>
    <row r="653" ht="15.75" customHeight="1" x14ac:dyDescent="0.4"/>
    <row r="654" ht="15.75" customHeight="1" x14ac:dyDescent="0.4"/>
    <row r="655" ht="15.75" customHeight="1" x14ac:dyDescent="0.4"/>
    <row r="656" ht="15.75" customHeight="1" x14ac:dyDescent="0.4"/>
    <row r="657" ht="15.75" customHeight="1" x14ac:dyDescent="0.4"/>
    <row r="658" ht="15.75" customHeight="1" x14ac:dyDescent="0.4"/>
    <row r="659" ht="15.75" customHeight="1" x14ac:dyDescent="0.4"/>
    <row r="660" ht="15.75" customHeight="1" x14ac:dyDescent="0.4"/>
    <row r="661" ht="15.75" customHeight="1" x14ac:dyDescent="0.4"/>
    <row r="662" ht="15.75" customHeight="1" x14ac:dyDescent="0.4"/>
    <row r="663" ht="15.75" customHeight="1" x14ac:dyDescent="0.4"/>
    <row r="664" ht="15.75" customHeight="1" x14ac:dyDescent="0.4"/>
    <row r="665" ht="15.75" customHeight="1" x14ac:dyDescent="0.4"/>
    <row r="666" ht="15.75" customHeight="1" x14ac:dyDescent="0.4"/>
    <row r="667" ht="15.75" customHeight="1" x14ac:dyDescent="0.4"/>
    <row r="668" ht="15.75" customHeight="1" x14ac:dyDescent="0.4"/>
    <row r="669" ht="15.75" customHeight="1" x14ac:dyDescent="0.4"/>
    <row r="670" ht="15.75" customHeight="1" x14ac:dyDescent="0.4"/>
    <row r="671" ht="15.75" customHeight="1" x14ac:dyDescent="0.4"/>
    <row r="672" ht="15.75" customHeight="1" x14ac:dyDescent="0.4"/>
    <row r="673" ht="15.75" customHeight="1" x14ac:dyDescent="0.4"/>
    <row r="674" ht="15.75" customHeight="1" x14ac:dyDescent="0.4"/>
    <row r="675" ht="15.75" customHeight="1" x14ac:dyDescent="0.4"/>
    <row r="676" ht="15.75" customHeight="1" x14ac:dyDescent="0.4"/>
    <row r="677" ht="15.75" customHeight="1" x14ac:dyDescent="0.4"/>
    <row r="678" ht="15.75" customHeight="1" x14ac:dyDescent="0.4"/>
    <row r="679" ht="15.75" customHeight="1" x14ac:dyDescent="0.4"/>
    <row r="680" ht="15.75" customHeight="1" x14ac:dyDescent="0.4"/>
    <row r="681" ht="15.75" customHeight="1" x14ac:dyDescent="0.4"/>
    <row r="682" ht="15.75" customHeight="1" x14ac:dyDescent="0.4"/>
    <row r="683" ht="15.75" customHeight="1" x14ac:dyDescent="0.4"/>
    <row r="684" ht="15.75" customHeight="1" x14ac:dyDescent="0.4"/>
    <row r="685" ht="15.75" customHeight="1" x14ac:dyDescent="0.4"/>
    <row r="686" ht="15.75" customHeight="1" x14ac:dyDescent="0.4"/>
    <row r="687" ht="15.75" customHeight="1" x14ac:dyDescent="0.4"/>
    <row r="688" ht="15.75" customHeight="1" x14ac:dyDescent="0.4"/>
    <row r="689" ht="15.75" customHeight="1" x14ac:dyDescent="0.4"/>
    <row r="690" ht="15.75" customHeight="1" x14ac:dyDescent="0.4"/>
    <row r="691" ht="15.75" customHeight="1" x14ac:dyDescent="0.4"/>
    <row r="692" ht="15.75" customHeight="1" x14ac:dyDescent="0.4"/>
    <row r="693" ht="15.75" customHeight="1" x14ac:dyDescent="0.4"/>
    <row r="694" ht="15.75" customHeight="1" x14ac:dyDescent="0.4"/>
    <row r="695" ht="15.75" customHeight="1" x14ac:dyDescent="0.4"/>
    <row r="696" ht="15.75" customHeight="1" x14ac:dyDescent="0.4"/>
    <row r="697" ht="15.75" customHeight="1" x14ac:dyDescent="0.4"/>
    <row r="698" ht="15.75" customHeight="1" x14ac:dyDescent="0.4"/>
    <row r="699" ht="15.75" customHeight="1" x14ac:dyDescent="0.4"/>
    <row r="700" ht="15.75" customHeight="1" x14ac:dyDescent="0.4"/>
    <row r="701" ht="15.75" customHeight="1" x14ac:dyDescent="0.4"/>
    <row r="702" ht="15.75" customHeight="1" x14ac:dyDescent="0.4"/>
    <row r="703" ht="15.75" customHeight="1" x14ac:dyDescent="0.4"/>
    <row r="704" ht="15.75" customHeight="1" x14ac:dyDescent="0.4"/>
    <row r="705" ht="15.75" customHeight="1" x14ac:dyDescent="0.4"/>
    <row r="706" ht="15.75" customHeight="1" x14ac:dyDescent="0.4"/>
    <row r="707" ht="15.75" customHeight="1" x14ac:dyDescent="0.4"/>
    <row r="708" ht="15.75" customHeight="1" x14ac:dyDescent="0.4"/>
    <row r="709" ht="15.75" customHeight="1" x14ac:dyDescent="0.4"/>
    <row r="710" ht="15.75" customHeight="1" x14ac:dyDescent="0.4"/>
    <row r="711" ht="15.75" customHeight="1" x14ac:dyDescent="0.4"/>
    <row r="712" ht="15.75" customHeight="1" x14ac:dyDescent="0.4"/>
    <row r="713" ht="15.75" customHeight="1" x14ac:dyDescent="0.4"/>
    <row r="714" ht="15.75" customHeight="1" x14ac:dyDescent="0.4"/>
    <row r="715" ht="15.75" customHeight="1" x14ac:dyDescent="0.4"/>
    <row r="716" ht="15.75" customHeight="1" x14ac:dyDescent="0.4"/>
    <row r="717" ht="15.75" customHeight="1" x14ac:dyDescent="0.4"/>
    <row r="718" ht="15.75" customHeight="1" x14ac:dyDescent="0.4"/>
    <row r="719" ht="15.75" customHeight="1" x14ac:dyDescent="0.4"/>
    <row r="720" ht="15.75" customHeight="1" x14ac:dyDescent="0.4"/>
    <row r="721" ht="15.75" customHeight="1" x14ac:dyDescent="0.4"/>
    <row r="722" ht="15.75" customHeight="1" x14ac:dyDescent="0.4"/>
    <row r="723" ht="15.75" customHeight="1" x14ac:dyDescent="0.4"/>
    <row r="724" ht="15.75" customHeight="1" x14ac:dyDescent="0.4"/>
    <row r="725" ht="15.75" customHeight="1" x14ac:dyDescent="0.4"/>
    <row r="726" ht="15.75" customHeight="1" x14ac:dyDescent="0.4"/>
    <row r="727" ht="15.75" customHeight="1" x14ac:dyDescent="0.4"/>
    <row r="728" ht="15.75" customHeight="1" x14ac:dyDescent="0.4"/>
    <row r="729" ht="15.75" customHeight="1" x14ac:dyDescent="0.4"/>
    <row r="730" ht="15.75" customHeight="1" x14ac:dyDescent="0.4"/>
    <row r="731" ht="15.75" customHeight="1" x14ac:dyDescent="0.4"/>
    <row r="732" ht="15.75" customHeight="1" x14ac:dyDescent="0.4"/>
    <row r="733" ht="15.75" customHeight="1" x14ac:dyDescent="0.4"/>
    <row r="734" ht="15.75" customHeight="1" x14ac:dyDescent="0.4"/>
    <row r="735" ht="15.75" customHeight="1" x14ac:dyDescent="0.4"/>
    <row r="736" ht="15.75" customHeight="1" x14ac:dyDescent="0.4"/>
    <row r="737" ht="15.75" customHeight="1" x14ac:dyDescent="0.4"/>
    <row r="738" ht="15.75" customHeight="1" x14ac:dyDescent="0.4"/>
    <row r="739" ht="15.75" customHeight="1" x14ac:dyDescent="0.4"/>
    <row r="740" ht="15.75" customHeight="1" x14ac:dyDescent="0.4"/>
    <row r="741" ht="15.75" customHeight="1" x14ac:dyDescent="0.4"/>
    <row r="742" ht="15.75" customHeight="1" x14ac:dyDescent="0.4"/>
    <row r="743" ht="15.75" customHeight="1" x14ac:dyDescent="0.4"/>
    <row r="744" ht="15.75" customHeight="1" x14ac:dyDescent="0.4"/>
    <row r="745" ht="15.75" customHeight="1" x14ac:dyDescent="0.4"/>
    <row r="746" ht="15.75" customHeight="1" x14ac:dyDescent="0.4"/>
    <row r="747" ht="15.75" customHeight="1" x14ac:dyDescent="0.4"/>
    <row r="748" ht="15.75" customHeight="1" x14ac:dyDescent="0.4"/>
    <row r="749" ht="15.75" customHeight="1" x14ac:dyDescent="0.4"/>
    <row r="750" ht="15.75" customHeight="1" x14ac:dyDescent="0.4"/>
    <row r="751" ht="15.75" customHeight="1" x14ac:dyDescent="0.4"/>
    <row r="752" ht="15.75" customHeight="1" x14ac:dyDescent="0.4"/>
    <row r="753" ht="15.75" customHeight="1" x14ac:dyDescent="0.4"/>
    <row r="754" ht="15.75" customHeight="1" x14ac:dyDescent="0.4"/>
    <row r="755" ht="15.75" customHeight="1" x14ac:dyDescent="0.4"/>
    <row r="756" ht="15.75" customHeight="1" x14ac:dyDescent="0.4"/>
    <row r="757" ht="15.75" customHeight="1" x14ac:dyDescent="0.4"/>
    <row r="758" ht="15.75" customHeight="1" x14ac:dyDescent="0.4"/>
    <row r="759" ht="15.75" customHeight="1" x14ac:dyDescent="0.4"/>
    <row r="760" ht="15.75" customHeight="1" x14ac:dyDescent="0.4"/>
    <row r="761" ht="15.75" customHeight="1" x14ac:dyDescent="0.4"/>
    <row r="762" ht="15.75" customHeight="1" x14ac:dyDescent="0.4"/>
    <row r="763" ht="15.75" customHeight="1" x14ac:dyDescent="0.4"/>
    <row r="764" ht="15.75" customHeight="1" x14ac:dyDescent="0.4"/>
    <row r="765" ht="15.75" customHeight="1" x14ac:dyDescent="0.4"/>
    <row r="766" ht="15.75" customHeight="1" x14ac:dyDescent="0.4"/>
    <row r="767" ht="15.75" customHeight="1" x14ac:dyDescent="0.4"/>
    <row r="768" ht="15.75" customHeight="1" x14ac:dyDescent="0.4"/>
    <row r="769" ht="15.75" customHeight="1" x14ac:dyDescent="0.4"/>
    <row r="770" ht="15.75" customHeight="1" x14ac:dyDescent="0.4"/>
    <row r="771" ht="15.75" customHeight="1" x14ac:dyDescent="0.4"/>
    <row r="772" ht="15.75" customHeight="1" x14ac:dyDescent="0.4"/>
    <row r="773" ht="15.75" customHeight="1" x14ac:dyDescent="0.4"/>
    <row r="774" ht="15.75" customHeight="1" x14ac:dyDescent="0.4"/>
    <row r="775" ht="15.75" customHeight="1" x14ac:dyDescent="0.4"/>
    <row r="776" ht="15.75" customHeight="1" x14ac:dyDescent="0.4"/>
    <row r="777" ht="15.75" customHeight="1" x14ac:dyDescent="0.4"/>
    <row r="778" ht="15.75" customHeight="1" x14ac:dyDescent="0.4"/>
    <row r="779" ht="15.75" customHeight="1" x14ac:dyDescent="0.4"/>
    <row r="780" ht="15.75" customHeight="1" x14ac:dyDescent="0.4"/>
    <row r="781" ht="15.75" customHeight="1" x14ac:dyDescent="0.4"/>
    <row r="782" ht="15.75" customHeight="1" x14ac:dyDescent="0.4"/>
    <row r="783" ht="15.75" customHeight="1" x14ac:dyDescent="0.4"/>
    <row r="784" ht="15.75" customHeight="1" x14ac:dyDescent="0.4"/>
    <row r="785" ht="15.75" customHeight="1" x14ac:dyDescent="0.4"/>
    <row r="786" ht="15.75" customHeight="1" x14ac:dyDescent="0.4"/>
    <row r="787" ht="15.75" customHeight="1" x14ac:dyDescent="0.4"/>
    <row r="788" ht="15.75" customHeight="1" x14ac:dyDescent="0.4"/>
    <row r="789" ht="15.75" customHeight="1" x14ac:dyDescent="0.4"/>
    <row r="790" ht="15.75" customHeight="1" x14ac:dyDescent="0.4"/>
    <row r="791" ht="15.75" customHeight="1" x14ac:dyDescent="0.4"/>
    <row r="792" ht="15.75" customHeight="1" x14ac:dyDescent="0.4"/>
    <row r="793" ht="15.75" customHeight="1" x14ac:dyDescent="0.4"/>
    <row r="794" ht="15.75" customHeight="1" x14ac:dyDescent="0.4"/>
    <row r="795" ht="15.75" customHeight="1" x14ac:dyDescent="0.4"/>
    <row r="796" ht="15.75" customHeight="1" x14ac:dyDescent="0.4"/>
    <row r="797" ht="15.75" customHeight="1" x14ac:dyDescent="0.4"/>
    <row r="798" ht="15.75" customHeight="1" x14ac:dyDescent="0.4"/>
    <row r="799" ht="15.75" customHeight="1" x14ac:dyDescent="0.4"/>
    <row r="800" ht="15.75" customHeight="1" x14ac:dyDescent="0.4"/>
    <row r="801" ht="15.75" customHeight="1" x14ac:dyDescent="0.4"/>
    <row r="802" ht="15.75" customHeight="1" x14ac:dyDescent="0.4"/>
    <row r="803" ht="15.75" customHeight="1" x14ac:dyDescent="0.4"/>
    <row r="804" ht="15.75" customHeight="1" x14ac:dyDescent="0.4"/>
    <row r="805" ht="15.75" customHeight="1" x14ac:dyDescent="0.4"/>
    <row r="806" ht="15.75" customHeight="1" x14ac:dyDescent="0.4"/>
    <row r="807" ht="15.75" customHeight="1" x14ac:dyDescent="0.4"/>
    <row r="808" ht="15.75" customHeight="1" x14ac:dyDescent="0.4"/>
    <row r="809" ht="15.75" customHeight="1" x14ac:dyDescent="0.4"/>
    <row r="810" ht="15.75" customHeight="1" x14ac:dyDescent="0.4"/>
    <row r="811" ht="15.75" customHeight="1" x14ac:dyDescent="0.4"/>
    <row r="812" ht="15.75" customHeight="1" x14ac:dyDescent="0.4"/>
    <row r="813" ht="15.75" customHeight="1" x14ac:dyDescent="0.4"/>
    <row r="814" ht="15.75" customHeight="1" x14ac:dyDescent="0.4"/>
    <row r="815" ht="15.75" customHeight="1" x14ac:dyDescent="0.4"/>
    <row r="816" ht="15.75" customHeight="1" x14ac:dyDescent="0.4"/>
    <row r="817" ht="15.75" customHeight="1" x14ac:dyDescent="0.4"/>
    <row r="818" ht="15.75" customHeight="1" x14ac:dyDescent="0.4"/>
    <row r="819" ht="15.75" customHeight="1" x14ac:dyDescent="0.4"/>
    <row r="820" ht="15.75" customHeight="1" x14ac:dyDescent="0.4"/>
    <row r="821" ht="15.75" customHeight="1" x14ac:dyDescent="0.4"/>
    <row r="822" ht="15.75" customHeight="1" x14ac:dyDescent="0.4"/>
    <row r="823" ht="15.75" customHeight="1" x14ac:dyDescent="0.4"/>
    <row r="824" ht="15.75" customHeight="1" x14ac:dyDescent="0.4"/>
    <row r="825" ht="15.75" customHeight="1" x14ac:dyDescent="0.4"/>
    <row r="826" ht="15.75" customHeight="1" x14ac:dyDescent="0.4"/>
    <row r="827" ht="15.75" customHeight="1" x14ac:dyDescent="0.4"/>
    <row r="828" ht="15.75" customHeight="1" x14ac:dyDescent="0.4"/>
    <row r="829" ht="15.75" customHeight="1" x14ac:dyDescent="0.4"/>
    <row r="830" ht="15.75" customHeight="1" x14ac:dyDescent="0.4"/>
    <row r="831" ht="15.75" customHeight="1" x14ac:dyDescent="0.4"/>
    <row r="832" ht="15.75" customHeight="1" x14ac:dyDescent="0.4"/>
    <row r="833" ht="15.75" customHeight="1" x14ac:dyDescent="0.4"/>
    <row r="834" ht="15.75" customHeight="1" x14ac:dyDescent="0.4"/>
    <row r="835" ht="15.75" customHeight="1" x14ac:dyDescent="0.4"/>
    <row r="836" ht="15.75" customHeight="1" x14ac:dyDescent="0.4"/>
    <row r="837" ht="15.75" customHeight="1" x14ac:dyDescent="0.4"/>
    <row r="838" ht="15.75" customHeight="1" x14ac:dyDescent="0.4"/>
    <row r="839" ht="15.75" customHeight="1" x14ac:dyDescent="0.4"/>
    <row r="840" ht="15.75" customHeight="1" x14ac:dyDescent="0.4"/>
    <row r="841" ht="15.75" customHeight="1" x14ac:dyDescent="0.4"/>
    <row r="842" ht="15.75" customHeight="1" x14ac:dyDescent="0.4"/>
    <row r="843" ht="15.75" customHeight="1" x14ac:dyDescent="0.4"/>
    <row r="844" ht="15.75" customHeight="1" x14ac:dyDescent="0.4"/>
    <row r="845" ht="15.75" customHeight="1" x14ac:dyDescent="0.4"/>
    <row r="846" ht="15.75" customHeight="1" x14ac:dyDescent="0.4"/>
    <row r="847" ht="15.75" customHeight="1" x14ac:dyDescent="0.4"/>
    <row r="848" ht="15.75" customHeight="1" x14ac:dyDescent="0.4"/>
    <row r="849" ht="15.75" customHeight="1" x14ac:dyDescent="0.4"/>
    <row r="850" ht="15.75" customHeight="1" x14ac:dyDescent="0.4"/>
    <row r="851" ht="15.75" customHeight="1" x14ac:dyDescent="0.4"/>
    <row r="852" ht="15.75" customHeight="1" x14ac:dyDescent="0.4"/>
    <row r="853" ht="15.75" customHeight="1" x14ac:dyDescent="0.4"/>
    <row r="854" ht="15.75" customHeight="1" x14ac:dyDescent="0.4"/>
    <row r="855" ht="15.75" customHeight="1" x14ac:dyDescent="0.4"/>
    <row r="856" ht="15.75" customHeight="1" x14ac:dyDescent="0.4"/>
    <row r="857" ht="15.75" customHeight="1" x14ac:dyDescent="0.4"/>
    <row r="858" ht="15.75" customHeight="1" x14ac:dyDescent="0.4"/>
    <row r="859" ht="15.75" customHeight="1" x14ac:dyDescent="0.4"/>
    <row r="860" ht="15.75" customHeight="1" x14ac:dyDescent="0.4"/>
    <row r="861" ht="15.75" customHeight="1" x14ac:dyDescent="0.4"/>
    <row r="862" ht="15.75" customHeight="1" x14ac:dyDescent="0.4"/>
    <row r="863" ht="15.75" customHeight="1" x14ac:dyDescent="0.4"/>
    <row r="864" ht="15.75" customHeight="1" x14ac:dyDescent="0.4"/>
    <row r="865" ht="15.75" customHeight="1" x14ac:dyDescent="0.4"/>
    <row r="866" ht="15.75" customHeight="1" x14ac:dyDescent="0.4"/>
    <row r="867" ht="15.75" customHeight="1" x14ac:dyDescent="0.4"/>
    <row r="868" ht="15.75" customHeight="1" x14ac:dyDescent="0.4"/>
    <row r="869" ht="15.75" customHeight="1" x14ac:dyDescent="0.4"/>
    <row r="870" ht="15.75" customHeight="1" x14ac:dyDescent="0.4"/>
    <row r="871" ht="15.75" customHeight="1" x14ac:dyDescent="0.4"/>
    <row r="872" ht="15.75" customHeight="1" x14ac:dyDescent="0.4"/>
    <row r="873" ht="15.75" customHeight="1" x14ac:dyDescent="0.4"/>
    <row r="874" ht="15.75" customHeight="1" x14ac:dyDescent="0.4"/>
    <row r="875" ht="15.75" customHeight="1" x14ac:dyDescent="0.4"/>
    <row r="876" ht="15.75" customHeight="1" x14ac:dyDescent="0.4"/>
    <row r="877" ht="15.75" customHeight="1" x14ac:dyDescent="0.4"/>
    <row r="878" ht="15.75" customHeight="1" x14ac:dyDescent="0.4"/>
    <row r="879" ht="15.75" customHeight="1" x14ac:dyDescent="0.4"/>
    <row r="880" ht="15.75" customHeight="1" x14ac:dyDescent="0.4"/>
    <row r="881" ht="15.75" customHeight="1" x14ac:dyDescent="0.4"/>
    <row r="882" ht="15.75" customHeight="1" x14ac:dyDescent="0.4"/>
    <row r="883" ht="15.75" customHeight="1" x14ac:dyDescent="0.4"/>
    <row r="884" ht="15.75" customHeight="1" x14ac:dyDescent="0.4"/>
    <row r="885" ht="15.75" customHeight="1" x14ac:dyDescent="0.4"/>
    <row r="886" ht="15.75" customHeight="1" x14ac:dyDescent="0.4"/>
    <row r="887" ht="15.75" customHeight="1" x14ac:dyDescent="0.4"/>
    <row r="888" ht="15.75" customHeight="1" x14ac:dyDescent="0.4"/>
    <row r="889" ht="15.75" customHeight="1" x14ac:dyDescent="0.4"/>
    <row r="890" ht="15.75" customHeight="1" x14ac:dyDescent="0.4"/>
    <row r="891" ht="15.75" customHeight="1" x14ac:dyDescent="0.4"/>
    <row r="892" ht="15.75" customHeight="1" x14ac:dyDescent="0.4"/>
    <row r="893" ht="15.75" customHeight="1" x14ac:dyDescent="0.4"/>
    <row r="894" ht="15.75" customHeight="1" x14ac:dyDescent="0.4"/>
    <row r="895" ht="15.75" customHeight="1" x14ac:dyDescent="0.4"/>
    <row r="896" ht="15.75" customHeight="1" x14ac:dyDescent="0.4"/>
    <row r="897" ht="15.75" customHeight="1" x14ac:dyDescent="0.4"/>
    <row r="898" ht="15.75" customHeight="1" x14ac:dyDescent="0.4"/>
    <row r="899" ht="15.75" customHeight="1" x14ac:dyDescent="0.4"/>
    <row r="900" ht="15.75" customHeight="1" x14ac:dyDescent="0.4"/>
    <row r="901" ht="15.75" customHeight="1" x14ac:dyDescent="0.4"/>
    <row r="902" ht="15.75" customHeight="1" x14ac:dyDescent="0.4"/>
    <row r="903" ht="15.75" customHeight="1" x14ac:dyDescent="0.4"/>
    <row r="904" ht="15.75" customHeight="1" x14ac:dyDescent="0.4"/>
    <row r="905" ht="15.75" customHeight="1" x14ac:dyDescent="0.4"/>
    <row r="906" ht="15.75" customHeight="1" x14ac:dyDescent="0.4"/>
    <row r="907" ht="15.75" customHeight="1" x14ac:dyDescent="0.4"/>
    <row r="908" ht="15.75" customHeight="1" x14ac:dyDescent="0.4"/>
    <row r="909" ht="15.75" customHeight="1" x14ac:dyDescent="0.4"/>
    <row r="910" ht="15.75" customHeight="1" x14ac:dyDescent="0.4"/>
    <row r="911" ht="15.75" customHeight="1" x14ac:dyDescent="0.4"/>
    <row r="912" ht="15.75" customHeight="1" x14ac:dyDescent="0.4"/>
    <row r="913" ht="15.75" customHeight="1" x14ac:dyDescent="0.4"/>
    <row r="914" ht="15.75" customHeight="1" x14ac:dyDescent="0.4"/>
    <row r="915" ht="15.75" customHeight="1" x14ac:dyDescent="0.4"/>
    <row r="916" ht="15.75" customHeight="1" x14ac:dyDescent="0.4"/>
    <row r="917" ht="15.75" customHeight="1" x14ac:dyDescent="0.4"/>
    <row r="918" ht="15.75" customHeight="1" x14ac:dyDescent="0.4"/>
    <row r="919" ht="15.75" customHeight="1" x14ac:dyDescent="0.4"/>
    <row r="920" ht="15.75" customHeight="1" x14ac:dyDescent="0.4"/>
    <row r="921" ht="15.75" customHeight="1" x14ac:dyDescent="0.4"/>
    <row r="922" ht="15.75" customHeight="1" x14ac:dyDescent="0.4"/>
    <row r="923" ht="15.75" customHeight="1" x14ac:dyDescent="0.4"/>
    <row r="924" ht="15.75" customHeight="1" x14ac:dyDescent="0.4"/>
    <row r="925" ht="15.75" customHeight="1" x14ac:dyDescent="0.4"/>
    <row r="926" ht="15.75" customHeight="1" x14ac:dyDescent="0.4"/>
    <row r="927" ht="15.75" customHeight="1" x14ac:dyDescent="0.4"/>
    <row r="928" ht="15.75" customHeight="1" x14ac:dyDescent="0.4"/>
    <row r="929" ht="15.75" customHeight="1" x14ac:dyDescent="0.4"/>
    <row r="930" ht="15.75" customHeight="1" x14ac:dyDescent="0.4"/>
    <row r="931" ht="15.75" customHeight="1" x14ac:dyDescent="0.4"/>
    <row r="932" ht="15.75" customHeight="1" x14ac:dyDescent="0.4"/>
    <row r="933" ht="15.75" customHeight="1" x14ac:dyDescent="0.4"/>
    <row r="934" ht="15.75" customHeight="1" x14ac:dyDescent="0.4"/>
    <row r="935" ht="15.75" customHeight="1" x14ac:dyDescent="0.4"/>
    <row r="936" ht="15.75" customHeight="1" x14ac:dyDescent="0.4"/>
    <row r="937" ht="15.75" customHeight="1" x14ac:dyDescent="0.4"/>
    <row r="938" ht="15.75" customHeight="1" x14ac:dyDescent="0.4"/>
    <row r="939" ht="15.75" customHeight="1" x14ac:dyDescent="0.4"/>
    <row r="940" ht="15.75" customHeight="1" x14ac:dyDescent="0.4"/>
    <row r="941" ht="15.75" customHeight="1" x14ac:dyDescent="0.4"/>
    <row r="942" ht="15.75" customHeight="1" x14ac:dyDescent="0.4"/>
    <row r="943" ht="15.75" customHeight="1" x14ac:dyDescent="0.4"/>
    <row r="944" ht="15.75" customHeight="1" x14ac:dyDescent="0.4"/>
    <row r="945" ht="15.75" customHeight="1" x14ac:dyDescent="0.4"/>
    <row r="946" ht="15.75" customHeight="1" x14ac:dyDescent="0.4"/>
    <row r="947" ht="15.75" customHeight="1" x14ac:dyDescent="0.4"/>
    <row r="948" ht="15.75" customHeight="1" x14ac:dyDescent="0.4"/>
    <row r="949" ht="15.75" customHeight="1" x14ac:dyDescent="0.4"/>
    <row r="950" ht="15.75" customHeight="1" x14ac:dyDescent="0.4"/>
    <row r="951" ht="15.75" customHeight="1" x14ac:dyDescent="0.4"/>
    <row r="952" ht="15.75" customHeight="1" x14ac:dyDescent="0.4"/>
    <row r="953" ht="15.75" customHeight="1" x14ac:dyDescent="0.4"/>
    <row r="954" ht="15.75" customHeight="1" x14ac:dyDescent="0.4"/>
    <row r="955" ht="15.75" customHeight="1" x14ac:dyDescent="0.4"/>
    <row r="956" ht="15.75" customHeight="1" x14ac:dyDescent="0.4"/>
    <row r="957" ht="15.75" customHeight="1" x14ac:dyDescent="0.4"/>
    <row r="958" ht="15.75" customHeight="1" x14ac:dyDescent="0.4"/>
    <row r="959" ht="15.75" customHeight="1" x14ac:dyDescent="0.4"/>
    <row r="960" ht="15.75" customHeight="1" x14ac:dyDescent="0.4"/>
    <row r="961" ht="15.75" customHeight="1" x14ac:dyDescent="0.4"/>
    <row r="962" ht="15.75" customHeight="1" x14ac:dyDescent="0.4"/>
    <row r="963" ht="15.75" customHeight="1" x14ac:dyDescent="0.4"/>
    <row r="964" ht="15.75" customHeight="1" x14ac:dyDescent="0.4"/>
    <row r="965" ht="15.75" customHeight="1" x14ac:dyDescent="0.4"/>
    <row r="966" ht="15.75" customHeight="1" x14ac:dyDescent="0.4"/>
    <row r="967" ht="15.75" customHeight="1" x14ac:dyDescent="0.4"/>
    <row r="968" ht="15.75" customHeight="1" x14ac:dyDescent="0.4"/>
    <row r="969" ht="15.75" customHeight="1" x14ac:dyDescent="0.4"/>
    <row r="970" ht="15.75" customHeight="1" x14ac:dyDescent="0.4"/>
    <row r="971" ht="15.75" customHeight="1" x14ac:dyDescent="0.4"/>
    <row r="972" ht="15.75" customHeight="1" x14ac:dyDescent="0.4"/>
    <row r="973" ht="15.75" customHeight="1" x14ac:dyDescent="0.4"/>
    <row r="974" ht="15.75" customHeight="1" x14ac:dyDescent="0.4"/>
    <row r="975" ht="15.75" customHeight="1" x14ac:dyDescent="0.4"/>
    <row r="976" ht="15.75" customHeight="1" x14ac:dyDescent="0.4"/>
    <row r="977" ht="15.75" customHeight="1" x14ac:dyDescent="0.4"/>
    <row r="978" ht="15.75" customHeight="1" x14ac:dyDescent="0.4"/>
    <row r="979" ht="15.75" customHeight="1" x14ac:dyDescent="0.4"/>
    <row r="980" ht="15.75" customHeight="1" x14ac:dyDescent="0.4"/>
    <row r="981" ht="15.75" customHeight="1" x14ac:dyDescent="0.4"/>
    <row r="982" ht="15.75" customHeight="1" x14ac:dyDescent="0.4"/>
    <row r="983" ht="15.75" customHeight="1" x14ac:dyDescent="0.4"/>
    <row r="984" ht="15.75" customHeight="1" x14ac:dyDescent="0.4"/>
    <row r="985" ht="15.75" customHeight="1" x14ac:dyDescent="0.4"/>
    <row r="986" ht="15.75" customHeight="1" x14ac:dyDescent="0.4"/>
    <row r="987" ht="15.75" customHeight="1" x14ac:dyDescent="0.4"/>
    <row r="988" ht="15.75" customHeight="1" x14ac:dyDescent="0.4"/>
    <row r="989" ht="15.75" customHeight="1" x14ac:dyDescent="0.4"/>
    <row r="990" ht="15.75" customHeight="1" x14ac:dyDescent="0.4"/>
    <row r="991" ht="15.75" customHeight="1" x14ac:dyDescent="0.4"/>
    <row r="992" ht="15.75" customHeight="1" x14ac:dyDescent="0.4"/>
    <row r="993" ht="15.75" customHeight="1" x14ac:dyDescent="0.4"/>
    <row r="994" ht="15.75" customHeight="1" x14ac:dyDescent="0.4"/>
    <row r="995" ht="15.75" customHeight="1" x14ac:dyDescent="0.4"/>
    <row r="996" ht="15.75" customHeight="1" x14ac:dyDescent="0.4"/>
    <row r="997" ht="15.75" customHeight="1" x14ac:dyDescent="0.4"/>
    <row r="998" ht="15.75" customHeight="1" x14ac:dyDescent="0.4"/>
    <row r="999" ht="15.75" customHeight="1" x14ac:dyDescent="0.4"/>
    <row r="1000" ht="15.75" customHeight="1" x14ac:dyDescent="0.4"/>
  </sheetData>
  <sheetProtection password="DF7C" sheet="1" objects="1" scenarios="1"/>
  <autoFilter ref="A2:AU53">
    <filterColumn colId="1" showButton="0"/>
  </autoFilter>
  <mergeCells count="10">
    <mergeCell ref="B31:C31"/>
    <mergeCell ref="B40:C40"/>
    <mergeCell ref="B47:C47"/>
    <mergeCell ref="B2:C2"/>
    <mergeCell ref="B3:C3"/>
    <mergeCell ref="B4:C4"/>
    <mergeCell ref="B5:C5"/>
    <mergeCell ref="B14:C14"/>
    <mergeCell ref="B22:C22"/>
    <mergeCell ref="B30:C30"/>
  </mergeCells>
  <pageMargins left="0.7" right="0.7" top="0.75" bottom="0.75" header="0" footer="0"/>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206"/>
  <sheetViews>
    <sheetView tabSelected="1" zoomScale="30" zoomScaleNormal="30" workbookViewId="0">
      <pane xSplit="3" ySplit="3" topLeftCell="F115" activePane="bottomRight" state="frozen"/>
      <selection pane="topRight" activeCell="D1" sqref="D1"/>
      <selection pane="bottomLeft" activeCell="A4" sqref="A4"/>
      <selection pane="bottomRight" activeCell="L127" sqref="L127"/>
    </sheetView>
  </sheetViews>
  <sheetFormatPr baseColWidth="10" defaultColWidth="51.6640625" defaultRowHeight="14.4" x14ac:dyDescent="0.3"/>
  <cols>
    <col min="1" max="1" width="10.109375" customWidth="1"/>
    <col min="2" max="2" width="156.44140625" customWidth="1"/>
    <col min="3" max="3" width="29.33203125" style="7" customWidth="1"/>
    <col min="4" max="4" width="58.88671875" style="7" customWidth="1"/>
    <col min="5" max="6" width="59.88671875" style="7" customWidth="1"/>
    <col min="7" max="7" width="55" style="7" customWidth="1"/>
    <col min="8" max="8" width="74.21875" style="7" customWidth="1"/>
    <col min="9" max="9" width="64.44140625" hidden="1" customWidth="1"/>
    <col min="10" max="10" width="57.6640625" hidden="1" customWidth="1"/>
    <col min="11" max="12" width="67.6640625" customWidth="1"/>
    <col min="13" max="13" width="70.88671875" customWidth="1"/>
    <col min="14" max="14" width="68.109375" customWidth="1"/>
    <col min="15" max="15" width="80.88671875" customWidth="1"/>
    <col min="16" max="16" width="77.88671875" customWidth="1"/>
    <col min="17" max="17" width="70.77734375" customWidth="1"/>
    <col min="18" max="19" width="66.6640625" customWidth="1"/>
    <col min="20" max="20" width="58.109375" hidden="1" customWidth="1"/>
    <col min="21" max="21" width="45.88671875" hidden="1" customWidth="1"/>
  </cols>
  <sheetData>
    <row r="1" spans="2:26" ht="31.2" customHeight="1" thickBot="1" x14ac:dyDescent="0.7">
      <c r="N1" s="710"/>
      <c r="O1" s="711"/>
      <c r="P1" s="711"/>
    </row>
    <row r="2" spans="2:26" s="48" customFormat="1" ht="140.4" customHeight="1" thickBot="1" x14ac:dyDescent="0.4">
      <c r="B2" s="44"/>
      <c r="C2" s="62" t="s">
        <v>1161</v>
      </c>
      <c r="D2" s="45" t="s">
        <v>2246</v>
      </c>
      <c r="E2" s="888" t="s">
        <v>2245</v>
      </c>
      <c r="F2" s="46" t="s">
        <v>2263</v>
      </c>
      <c r="G2" s="888" t="s">
        <v>1978</v>
      </c>
      <c r="H2" s="46" t="s">
        <v>2244</v>
      </c>
      <c r="I2" s="995" t="s">
        <v>6</v>
      </c>
      <c r="J2" s="995" t="s">
        <v>1869</v>
      </c>
      <c r="K2" s="850" t="s">
        <v>2178</v>
      </c>
      <c r="L2" s="850" t="s">
        <v>2251</v>
      </c>
      <c r="M2" s="849" t="s">
        <v>2276</v>
      </c>
      <c r="N2" s="850" t="s">
        <v>1842</v>
      </c>
      <c r="O2" s="850" t="s">
        <v>2179</v>
      </c>
      <c r="P2" s="849" t="s">
        <v>2290</v>
      </c>
      <c r="Q2" s="850" t="s">
        <v>1843</v>
      </c>
      <c r="R2" s="850" t="s">
        <v>2180</v>
      </c>
      <c r="S2" s="849" t="s">
        <v>2292</v>
      </c>
      <c r="T2" s="47" t="s">
        <v>1158</v>
      </c>
      <c r="U2" s="47" t="s">
        <v>1157</v>
      </c>
    </row>
    <row r="3" spans="2:26" ht="193.2" customHeight="1" thickTop="1" thickBot="1" x14ac:dyDescent="1.1499999999999999">
      <c r="B3" s="49" t="s">
        <v>1159</v>
      </c>
      <c r="C3" s="43"/>
      <c r="D3" s="852">
        <f t="shared" ref="D3" si="0">+(D4+D46+D92+D123+D161+D198)/6</f>
        <v>0.24769660011883976</v>
      </c>
      <c r="E3" s="889">
        <f>+(E4+E46+E92+E123+E161+E198)/6</f>
        <v>0.29256753414565928</v>
      </c>
      <c r="F3" s="652">
        <f>+(F4+F46+F92+F123+F161+F198)/6</f>
        <v>0.31693933601189556</v>
      </c>
      <c r="G3" s="1132">
        <f t="shared" ref="G3:H5" si="1">+N3+E3</f>
        <v>0.49224665044696558</v>
      </c>
      <c r="H3" s="1003">
        <f t="shared" si="1"/>
        <v>0.80188703981500575</v>
      </c>
      <c r="I3" s="851">
        <f>+(I4+I46+I92+I123+I161+I198)/6</f>
        <v>0.17694181972502762</v>
      </c>
      <c r="J3" s="851">
        <f t="shared" ref="J3:Q3" si="2">+(J4+J46+J92+J123+J161+J198)/6</f>
        <v>0.25280387096698398</v>
      </c>
      <c r="K3" s="1132">
        <f>+(K4+K46+K92+K123+K161+K198)/6</f>
        <v>0.84057533830791298</v>
      </c>
      <c r="L3" s="1132">
        <v>0.18501820403177074</v>
      </c>
      <c r="M3" s="1003">
        <f>+(M4+M46+M92+M123+M161+M198)/6</f>
        <v>0.38817788553052263</v>
      </c>
      <c r="N3" s="1132">
        <f t="shared" si="2"/>
        <v>0.1996791163013063</v>
      </c>
      <c r="O3" s="1132">
        <f>+(O4+O46+O92+O123+O161+O198)/6</f>
        <v>0.4849477038031102</v>
      </c>
      <c r="P3" s="1003">
        <f>+(P4+P46+P92+P123+P161+P198)/6</f>
        <v>0.57644411772037973</v>
      </c>
      <c r="Q3" s="75">
        <f t="shared" si="2"/>
        <v>0.16573381852847205</v>
      </c>
      <c r="R3" s="75">
        <f>+(R4*C4)+(R46*C46)+(R92*C92)+(R123*C123)+(C161*R161)+(R198*C198)</f>
        <v>0.45156450190221792</v>
      </c>
      <c r="S3" s="1131">
        <f>+(S4*C4)+(S46*C46)+(S92*C92)+(S123*C123)+(S161*C161)+(S198*C198)</f>
        <v>0.54241429185691348</v>
      </c>
      <c r="T3" s="40"/>
      <c r="U3" s="1"/>
      <c r="V3" s="22"/>
      <c r="Y3" s="8">
        <v>697</v>
      </c>
      <c r="Z3" s="674">
        <f>1/Y3</f>
        <v>1.4347202295552368E-3</v>
      </c>
    </row>
    <row r="4" spans="2:26" ht="98.4" customHeight="1" thickTop="1" x14ac:dyDescent="0.55000000000000004">
      <c r="B4" s="41" t="str">
        <f>+'Seguridad Humana'!B3:C3</f>
        <v xml:space="preserve"> SEGURIDAD HUMANA
</v>
      </c>
      <c r="C4" s="1167">
        <v>0.3</v>
      </c>
      <c r="D4" s="26">
        <f>+'Seguridad Humana'!J3</f>
        <v>0.27144914611233045</v>
      </c>
      <c r="E4" s="26">
        <f>+'Seguridad Humana'!K3</f>
        <v>0.37391117816579211</v>
      </c>
      <c r="F4" s="26">
        <f>+'Seguridad Humana'!L3</f>
        <v>0.27891300774404798</v>
      </c>
      <c r="G4" s="26">
        <f t="shared" si="1"/>
        <v>0.62879210773800021</v>
      </c>
      <c r="H4" s="26">
        <f t="shared" si="1"/>
        <v>0.79931262285361604</v>
      </c>
      <c r="I4" s="26">
        <f>+'Seguridad Humana'!M3</f>
        <v>0.1963447624265218</v>
      </c>
      <c r="J4" s="26">
        <f>+'Seguridad Humana'!N3</f>
        <v>0.2531166550657612</v>
      </c>
      <c r="K4" s="26">
        <f>+'Seguridad Humana'!AD3</f>
        <v>0.84734962769466726</v>
      </c>
      <c r="L4" s="26">
        <v>0.19121125187168028</v>
      </c>
      <c r="M4" s="26">
        <f>+'Seguridad Humana'!AE3</f>
        <v>0.41726944081404749</v>
      </c>
      <c r="N4" s="26">
        <f>+'Seguridad Humana'!AI3</f>
        <v>0.25488092957220809</v>
      </c>
      <c r="O4" s="26">
        <f>+'Seguridad Humana'!AJ3</f>
        <v>0.52039961510956811</v>
      </c>
      <c r="P4" s="1054">
        <f>+'Seguridad Humana'!AK3</f>
        <v>0.60343480832577168</v>
      </c>
      <c r="Q4" s="42">
        <f>+'Seguridad Humana'!AL3</f>
        <v>0.21296825159703686</v>
      </c>
      <c r="R4" s="42">
        <f>+'Seguridad Humana'!AM3</f>
        <v>0.47908249879234166</v>
      </c>
      <c r="S4" s="42">
        <f>+'Seguridad Humana'!AN3</f>
        <v>0.56928056589821929</v>
      </c>
      <c r="T4" s="25"/>
      <c r="U4" s="2"/>
      <c r="V4" s="680"/>
      <c r="Z4" s="9"/>
    </row>
    <row r="5" spans="2:26" ht="70.95" customHeight="1" x14ac:dyDescent="0.7">
      <c r="B5" s="30" t="str">
        <f>+'Seguridad Humana'!B4:C4</f>
        <v xml:space="preserve"> Seguridad Ciudadana y Orden Público 
</v>
      </c>
      <c r="C5" s="1167"/>
      <c r="D5" s="23">
        <f t="shared" ref="D5" si="3">+(D6+D7+D8+D9+D10)/5</f>
        <v>0.40844696306703598</v>
      </c>
      <c r="E5" s="23">
        <f>+(E6+E7+E8+E9+E10)/5</f>
        <v>0.48443538520711044</v>
      </c>
      <c r="F5" s="23">
        <f>+(F6+F7+F8+F9+F10)/5</f>
        <v>0.24186410221274723</v>
      </c>
      <c r="G5" s="23">
        <f t="shared" si="1"/>
        <v>0.88476840343177321</v>
      </c>
      <c r="H5" s="23">
        <f t="shared" si="1"/>
        <v>0.88249604373855894</v>
      </c>
      <c r="I5" s="24">
        <f>+(I6+I7+I8+I9+I10)/5</f>
        <v>0.35458117744760276</v>
      </c>
      <c r="J5" s="24">
        <f t="shared" ref="J5" si="4">+(J6+J7+J8+J9+J10)/5</f>
        <v>0.27871913155614692</v>
      </c>
      <c r="K5" s="643">
        <f>+(K6+K7+K8+K9+K10)/5</f>
        <v>0.77851983833052174</v>
      </c>
      <c r="L5" s="643">
        <v>2.600938597354862E-2</v>
      </c>
      <c r="M5" s="643">
        <f>+(M6+M7+M8+M9+M10)/5</f>
        <v>9.202316957106757E-2</v>
      </c>
      <c r="N5" s="23">
        <f>+(N6+N7+N8+N9+N10)/5</f>
        <v>0.40033301822466277</v>
      </c>
      <c r="O5" s="23">
        <f>+(O6+O7+O8+O9+O10)/5</f>
        <v>0.64063194152581171</v>
      </c>
      <c r="P5" s="23">
        <f>+(P6+P7+P8+P9+P10)/5</f>
        <v>0.67428194152581178</v>
      </c>
      <c r="Q5" s="31">
        <f>+(Q6+Q7+Q8+Q9+Q10)</f>
        <v>0.34369348640612268</v>
      </c>
      <c r="R5" s="31">
        <f>+'Seguridad Humana'!AM4</f>
        <v>0.56618942768161484</v>
      </c>
      <c r="S5" s="31">
        <f>+'Seguridad Humana'!AN4</f>
        <v>0.61677484434828145</v>
      </c>
      <c r="T5" s="25"/>
      <c r="U5" s="2"/>
      <c r="V5" s="64"/>
      <c r="Z5" s="4"/>
    </row>
    <row r="6" spans="2:26" ht="43.2" customHeight="1" x14ac:dyDescent="0.7">
      <c r="B6" s="32" t="str">
        <f>+'Seguridad Humana'!B5</f>
        <v xml:space="preserve"> PLAN ESTRATÉGICO DE SEGURIDAD INTEGRAL TITAN 24</v>
      </c>
      <c r="C6" s="1167"/>
      <c r="D6" s="5">
        <f>+'Seguridad Humana'!J5</f>
        <v>0.37666666666666665</v>
      </c>
      <c r="E6" s="5">
        <f>+'Seguridad Humana'!K5</f>
        <v>0.38750000000000001</v>
      </c>
      <c r="F6" s="5">
        <f>+'Seguridad Humana'!L5</f>
        <v>0.15625</v>
      </c>
      <c r="G6" s="5">
        <f>+N6+E6</f>
        <v>0.6875</v>
      </c>
      <c r="H6" s="5">
        <f t="shared" ref="H6:H68" si="5">+O6+F6</f>
        <v>0.56624999999999992</v>
      </c>
      <c r="I6" s="5">
        <f>+'Seguridad Humana'!M5</f>
        <v>0.26083333333333331</v>
      </c>
      <c r="J6" s="5">
        <f>+'Seguridad Humana'!N5</f>
        <v>0.17749999999999999</v>
      </c>
      <c r="K6" s="5">
        <f>+'Seguridad Humana'!AD5</f>
        <v>0.75</v>
      </c>
      <c r="L6" s="5"/>
      <c r="M6" s="5"/>
      <c r="N6" s="5">
        <f>+'Seguridad Humana'!AI5</f>
        <v>0.3</v>
      </c>
      <c r="O6" s="5">
        <f>+'Seguridad Humana'!AJ5</f>
        <v>0.41</v>
      </c>
      <c r="P6" s="1051">
        <f>+'Seguridad Humana'!AK5</f>
        <v>0.4770833333333333</v>
      </c>
      <c r="Q6" s="33">
        <f>+'Seguridad Humana'!AL5</f>
        <v>0.109375</v>
      </c>
      <c r="R6" s="33">
        <f>+'Seguridad Humana'!AM5</f>
        <v>0.39</v>
      </c>
      <c r="S6" s="33">
        <f>+'Seguridad Humana'!AN5</f>
        <v>0.50562499999999999</v>
      </c>
      <c r="T6" s="25"/>
      <c r="U6" s="2"/>
      <c r="V6" s="64"/>
    </row>
    <row r="7" spans="2:26" ht="28.2" customHeight="1" x14ac:dyDescent="0.7">
      <c r="B7" s="32" t="str">
        <f>+'Seguridad Humana'!B12:C12</f>
        <v>EL CUERPO DE BOMBEROS AVANZA</v>
      </c>
      <c r="C7" s="1167"/>
      <c r="D7" s="5">
        <f>+'Seguridad Humana'!J12</f>
        <v>0.66600000000000004</v>
      </c>
      <c r="E7" s="5">
        <f>+'Seguridad Humana'!K12</f>
        <v>1</v>
      </c>
      <c r="F7" s="5">
        <f>+'Seguridad Humana'!L12</f>
        <v>0.33333333333333331</v>
      </c>
      <c r="G7" s="5">
        <v>1</v>
      </c>
      <c r="H7" s="5">
        <f t="shared" si="5"/>
        <v>1</v>
      </c>
      <c r="I7" s="5">
        <f>+'Seguridad Humana'!M12</f>
        <v>0.35</v>
      </c>
      <c r="J7" s="5">
        <f>+'Seguridad Humana'!N12</f>
        <v>0.35</v>
      </c>
      <c r="K7" s="5">
        <f>+'Seguridad Humana'!AD12</f>
        <v>0.5</v>
      </c>
      <c r="L7" s="5">
        <v>0</v>
      </c>
      <c r="M7" s="5">
        <f>+'Seguridad Humana'!AE12</f>
        <v>0</v>
      </c>
      <c r="N7" s="5">
        <f>+'Seguridad Humana'!AI12</f>
        <v>0.66600000000000004</v>
      </c>
      <c r="O7" s="606">
        <f>+'Seguridad Humana'!AJ12</f>
        <v>0.66666666666666663</v>
      </c>
      <c r="P7" s="606">
        <f>+'Seguridad Humana'!AK12</f>
        <v>0.66666666666666663</v>
      </c>
      <c r="Q7" s="33">
        <f>+'Seguridad Humana'!AL12</f>
        <v>9.7499999999999989E-2</v>
      </c>
      <c r="R7" s="33">
        <f>+'Seguridad Humana'!AM12</f>
        <v>0.64999999999999991</v>
      </c>
      <c r="S7" s="33">
        <f>+'Seguridad Humana'!AN12</f>
        <v>0.64999999999999991</v>
      </c>
      <c r="T7" s="25"/>
      <c r="U7" s="2"/>
      <c r="V7" s="64"/>
    </row>
    <row r="8" spans="2:26" ht="45" customHeight="1" x14ac:dyDescent="0.7">
      <c r="B8" s="32" t="str">
        <f>+'Seguridad Humana'!B16:C16</f>
        <v>SEGURIDAD YA CON DOTACIÓN A LOS ORGANISMOS DE SEGURIDAD, SOCORRO, JUSTICIA Y CONVIVENCIA Y TECNOLOGÍA PARA LA PREVENCIÓN</v>
      </c>
      <c r="C8" s="1167"/>
      <c r="D8" s="5">
        <f>+'Seguridad Humana'!J16</f>
        <v>0.21866537089073543</v>
      </c>
      <c r="E8" s="5">
        <f>+'Seguridad Humana'!K16</f>
        <v>0.52361748159110777</v>
      </c>
      <c r="F8" s="5">
        <f>+'Seguridad Humana'!L16</f>
        <v>0.27343801106373616</v>
      </c>
      <c r="G8" s="5">
        <f t="shared" ref="G8:G39" si="6">+N8+E8</f>
        <v>0.71259979493664383</v>
      </c>
      <c r="H8" s="5">
        <f t="shared" si="5"/>
        <v>0.98018855202612842</v>
      </c>
      <c r="I8" s="5">
        <f>+'Seguridad Humana'!M16</f>
        <v>0.23116977612690295</v>
      </c>
      <c r="J8" s="5">
        <f>+'Seguridad Humana'!N16</f>
        <v>0.53003621333629014</v>
      </c>
      <c r="K8" s="5">
        <f>+'Seguridad Humana'!AD16</f>
        <v>0.76968252498594181</v>
      </c>
      <c r="L8" s="5">
        <v>0</v>
      </c>
      <c r="M8" s="5">
        <f>+'Seguridad Humana'!AE16</f>
        <v>0</v>
      </c>
      <c r="N8" s="65">
        <f>+'Seguridad Humana'!AI16</f>
        <v>0.18898231334553608</v>
      </c>
      <c r="O8" s="5">
        <f>+'Seguridad Humana'!AJ16</f>
        <v>0.70675054096239232</v>
      </c>
      <c r="P8" s="5">
        <f>+'Seguridad Humana'!AK16</f>
        <v>0.70675054096239232</v>
      </c>
      <c r="Q8" s="33">
        <f>+'Seguridad Humana'!AL16</f>
        <v>3.7150208628344908E-2</v>
      </c>
      <c r="R8" s="33">
        <f>+'Seguridad Humana'!AM16</f>
        <v>0.60071725893871608</v>
      </c>
      <c r="S8" s="33">
        <f>+'Seguridad Humana'!AN16</f>
        <v>0.60071725893871608</v>
      </c>
      <c r="T8" s="25"/>
      <c r="U8" s="2"/>
      <c r="V8" s="64"/>
    </row>
    <row r="9" spans="2:26" ht="36" customHeight="1" x14ac:dyDescent="0.7">
      <c r="B9" s="32" t="str">
        <f>+'Seguridad Humana'!B23:C23</f>
        <v xml:space="preserve"> SEGURIDAD YA EN LAS PLAYAS DE CARTAGENA</v>
      </c>
      <c r="C9" s="1167"/>
      <c r="D9" s="5">
        <f>+'Seguridad Humana'!J23</f>
        <v>0.625</v>
      </c>
      <c r="E9" s="5">
        <f>+'Seguridad Humana'!K23</f>
        <v>0.25</v>
      </c>
      <c r="F9" s="5">
        <f>+'Seguridad Humana'!L23</f>
        <v>0.125</v>
      </c>
      <c r="G9" s="5">
        <f t="shared" si="6"/>
        <v>0.875</v>
      </c>
      <c r="H9" s="5">
        <f t="shared" si="5"/>
        <v>0.875</v>
      </c>
      <c r="I9" s="65">
        <f>+'Seguridad Humana'!M23</f>
        <v>0.77499999999999991</v>
      </c>
      <c r="J9" s="5">
        <f>+'Seguridad Humana'!N23</f>
        <v>7.4999999999999997E-2</v>
      </c>
      <c r="K9" s="5">
        <f>+'Seguridad Humana'!AD23</f>
        <v>1</v>
      </c>
      <c r="L9" s="5">
        <v>0</v>
      </c>
      <c r="M9" s="5">
        <f>+'Seguridad Humana'!AE23</f>
        <v>0</v>
      </c>
      <c r="N9" s="5">
        <f>+'Seguridad Humana'!AI23</f>
        <v>0.625</v>
      </c>
      <c r="O9" s="5">
        <f>+'Seguridad Humana'!AJ23</f>
        <v>0.75</v>
      </c>
      <c r="P9" s="5">
        <f>+'Seguridad Humana'!AK23</f>
        <v>0.75</v>
      </c>
      <c r="Q9" s="33">
        <f>+'Seguridad Humana'!AL23</f>
        <v>7.7499999999999999E-2</v>
      </c>
      <c r="R9" s="33">
        <f>+'Seguridad Humana'!AM23</f>
        <v>0.85</v>
      </c>
      <c r="S9" s="33">
        <f>+'Seguridad Humana'!AN23</f>
        <v>0.85</v>
      </c>
      <c r="T9" s="25"/>
      <c r="U9" s="2"/>
      <c r="V9" s="64"/>
    </row>
    <row r="10" spans="2:26" ht="48" customHeight="1" x14ac:dyDescent="0.7">
      <c r="B10" s="32" t="str">
        <f>+'Seguridad Humana'!B26:C26</f>
        <v xml:space="preserve"> EDUCACIÓN, CULTURA Y SEGURIDAD VIAL PARA AVANZAR</v>
      </c>
      <c r="C10" s="1167"/>
      <c r="D10" s="5">
        <f>+'Seguridad Humana'!J26</f>
        <v>0.15590277777777778</v>
      </c>
      <c r="E10" s="5">
        <f>+'Seguridad Humana'!K26</f>
        <v>0.26105944444444446</v>
      </c>
      <c r="F10" s="5">
        <f>+'Seguridad Humana'!L26</f>
        <v>0.32129916666666669</v>
      </c>
      <c r="G10" s="5">
        <f t="shared" si="6"/>
        <v>0.48274222222222224</v>
      </c>
      <c r="H10" s="5">
        <f t="shared" si="5"/>
        <v>0.99104166666666671</v>
      </c>
      <c r="I10" s="5">
        <f>+'Seguridad Humana'!M26</f>
        <v>0.15590277777777778</v>
      </c>
      <c r="J10" s="5">
        <f>+'Seguridad Humana'!N26</f>
        <v>0.26105944444444446</v>
      </c>
      <c r="K10" s="5">
        <f>+'Seguridad Humana'!AD26</f>
        <v>0.87291666666666667</v>
      </c>
      <c r="L10" s="5">
        <v>0.13004692986774311</v>
      </c>
      <c r="M10" s="5">
        <f>+'Seguridad Humana'!AE26</f>
        <v>0.46011584785533788</v>
      </c>
      <c r="N10" s="5">
        <f>+'Seguridad Humana'!AI26</f>
        <v>0.22168277777777778</v>
      </c>
      <c r="O10" s="5">
        <f>+'Seguridad Humana'!AJ26</f>
        <v>0.66974250000000002</v>
      </c>
      <c r="P10" s="5">
        <f>+'Seguridad Humana'!AK26</f>
        <v>0.77090916666666665</v>
      </c>
      <c r="Q10" s="34">
        <f>+'Seguridad Humana'!AL26</f>
        <v>2.216827777777778E-2</v>
      </c>
      <c r="R10" s="34">
        <f>+'Seguridad Humana'!AM26</f>
        <v>0.66974250000000002</v>
      </c>
      <c r="S10" s="34">
        <f>+'Seguridad Humana'!AN26</f>
        <v>0.77090916666666665</v>
      </c>
      <c r="T10" s="25"/>
      <c r="U10" s="2"/>
      <c r="V10" s="64"/>
    </row>
    <row r="11" spans="2:26" ht="99" customHeight="1" x14ac:dyDescent="0.7">
      <c r="B11" s="30" t="str">
        <f>+'Seguridad Humana'!B31:C31</f>
        <v xml:space="preserve">Construccion de paz, Derechos Humanos y Convivencia
</v>
      </c>
      <c r="C11" s="1167"/>
      <c r="D11" s="23">
        <f t="shared" ref="D11:I11" si="7">+(D12+D13+D14+D15+D16+D17+D18+D19)/8</f>
        <v>0.23923611111111112</v>
      </c>
      <c r="E11" s="23">
        <f t="shared" si="7"/>
        <v>0.33642940083979328</v>
      </c>
      <c r="F11" s="23">
        <f>+(F12+F13+F14+F15+F16+F17+F18+F19)/8</f>
        <v>0.27502184415298797</v>
      </c>
      <c r="G11" s="23">
        <f t="shared" si="6"/>
        <v>0.58684348701403577</v>
      </c>
      <c r="H11" s="23">
        <f>+O11+F11</f>
        <v>0.79066222089425975</v>
      </c>
      <c r="I11" s="24">
        <f t="shared" si="7"/>
        <v>0.16062499999999999</v>
      </c>
      <c r="J11" s="24">
        <f t="shared" ref="J11" si="8">+(J12+J13+J14+J15+J16+J17+J18+J19)/8</f>
        <v>0.2766173449612403</v>
      </c>
      <c r="K11" s="23">
        <f>+(K12+K13+K14+K15+K16+K17+K18+K19)/8</f>
        <v>0.82692475233100227</v>
      </c>
      <c r="L11" s="23">
        <v>8.0256403164495699E-2</v>
      </c>
      <c r="M11" s="23">
        <f>+(M12+M13+M14+M15+M16+M17+M18+M19)/8</f>
        <v>0.21476356015779091</v>
      </c>
      <c r="N11" s="23">
        <f>+(N12+N13+N14+N15+N16+N17+N18+N19)/8</f>
        <v>0.25041408617424243</v>
      </c>
      <c r="O11" s="23">
        <f>+(O12+O13+O14+O15+O16+O17+O18+O19)/8</f>
        <v>0.51564037674127183</v>
      </c>
      <c r="P11" s="23">
        <f>+(P12+P13+P14+P15+P16+P17+P18+P19)/8</f>
        <v>0.61272009138984607</v>
      </c>
      <c r="Q11" s="31">
        <f>+(Q12+Q13+Q14+Q15+Q16+Q17+Q18+Q19)</f>
        <v>0.19896443750000001</v>
      </c>
      <c r="R11" s="31">
        <f>+'Seguridad Humana'!AM31</f>
        <v>0.49297341860465116</v>
      </c>
      <c r="S11" s="31">
        <f>+'Seguridad Humana'!AN31</f>
        <v>0.58587473173596427</v>
      </c>
      <c r="T11" s="25"/>
      <c r="U11" s="2"/>
      <c r="V11" s="64"/>
    </row>
    <row r="12" spans="2:26" ht="40.200000000000003" customHeight="1" x14ac:dyDescent="0.7">
      <c r="B12" s="32" t="str">
        <f>+'Seguridad Humana'!B32:C32</f>
        <v xml:space="preserve"> UNA VIDA LIBRE DE VIOLENCIA PARA LAS MUJERES</v>
      </c>
      <c r="C12" s="1167"/>
      <c r="D12" s="5">
        <f>+'Seguridad Humana'!J32</f>
        <v>0.17500000000000002</v>
      </c>
      <c r="E12" s="5">
        <f>+'Seguridad Humana'!K32</f>
        <v>0.25</v>
      </c>
      <c r="F12" s="5">
        <f>+'Seguridad Humana'!L32</f>
        <v>0.28333333333333333</v>
      </c>
      <c r="G12" s="5">
        <f t="shared" si="6"/>
        <v>0.61919999999999997</v>
      </c>
      <c r="H12" s="5">
        <v>1</v>
      </c>
      <c r="I12" s="5">
        <f>+'Seguridad Humana'!M32</f>
        <v>0.1525</v>
      </c>
      <c r="J12" s="5">
        <f>+'Seguridad Humana'!N32</f>
        <v>0.245</v>
      </c>
      <c r="K12" s="5">
        <f>+'Seguridad Humana'!AD32</f>
        <v>1</v>
      </c>
      <c r="L12" s="5">
        <v>0.28622222222222221</v>
      </c>
      <c r="M12" s="5">
        <f>+'Seguridad Humana'!AE32</f>
        <v>0.54133333333333333</v>
      </c>
      <c r="N12" s="5">
        <f>+'Seguridad Humana'!AI32</f>
        <v>0.36919999999999997</v>
      </c>
      <c r="O12" s="5">
        <f>+'Seguridad Humana'!AJ32</f>
        <v>0.84073333333333322</v>
      </c>
      <c r="P12" s="5">
        <f>+'Seguridad Humana'!AK32</f>
        <v>0.91646666666666665</v>
      </c>
      <c r="Q12" s="33">
        <f>+'Seguridad Humana'!AL32</f>
        <v>6.1731000000000001E-2</v>
      </c>
      <c r="R12" s="33">
        <f>+'Seguridad Humana'!AM32</f>
        <v>0.87988</v>
      </c>
      <c r="S12" s="33">
        <f>+'Seguridad Humana'!AN32</f>
        <v>0.97476000000000007</v>
      </c>
      <c r="T12" s="25"/>
      <c r="U12" s="2"/>
      <c r="V12" s="64"/>
    </row>
    <row r="13" spans="2:26" ht="30" customHeight="1" x14ac:dyDescent="0.7">
      <c r="B13" s="32" t="str">
        <f>+'Seguridad Humana'!B36:C36</f>
        <v xml:space="preserve"> DERECHO A LA PAZ Y CONVIVENCIA CON EQUIDAD DE GÉNERO</v>
      </c>
      <c r="C13" s="1167"/>
      <c r="D13" s="5">
        <f>+'Seguridad Humana'!J36</f>
        <v>0.25</v>
      </c>
      <c r="E13" s="5">
        <f>+'Seguridad Humana'!K36</f>
        <v>0.21249999999999999</v>
      </c>
      <c r="F13" s="5">
        <f>+'Seguridad Humana'!L36</f>
        <v>0.22500000000000001</v>
      </c>
      <c r="G13" s="5">
        <f t="shared" si="6"/>
        <v>0.54749999999999999</v>
      </c>
      <c r="H13" s="5">
        <f t="shared" si="5"/>
        <v>0.77249999999999996</v>
      </c>
      <c r="I13" s="5">
        <f>+'Seguridad Humana'!M36</f>
        <v>0.25</v>
      </c>
      <c r="J13" s="5">
        <f>+'Seguridad Humana'!N36</f>
        <v>0.19</v>
      </c>
      <c r="K13" s="5">
        <f>+'Seguridad Humana'!AD36</f>
        <v>1</v>
      </c>
      <c r="L13" s="5">
        <v>0</v>
      </c>
      <c r="M13" s="5">
        <f>+'Seguridad Humana'!AE36</f>
        <v>0.25</v>
      </c>
      <c r="N13" s="5">
        <f>+'Seguridad Humana'!AI36</f>
        <v>0.33499999999999996</v>
      </c>
      <c r="O13" s="5">
        <f>+'Seguridad Humana'!AJ36</f>
        <v>0.54749999999999999</v>
      </c>
      <c r="P13" s="5">
        <f>+'Seguridad Humana'!AK36</f>
        <v>0.61</v>
      </c>
      <c r="Q13" s="33">
        <f>+'Seguridad Humana'!AL36</f>
        <v>3.8600000000000002E-2</v>
      </c>
      <c r="R13" s="33">
        <f>+'Seguridad Humana'!AM36</f>
        <v>0.57599999999999996</v>
      </c>
      <c r="S13" s="33">
        <f>+'Seguridad Humana'!AN36</f>
        <v>0.60099999999999998</v>
      </c>
      <c r="T13" s="25"/>
      <c r="U13" s="2"/>
      <c r="V13" s="64"/>
    </row>
    <row r="14" spans="2:26" ht="28.2" customHeight="1" x14ac:dyDescent="0.7">
      <c r="B14" s="32" t="str">
        <f>+'Seguridad Humana'!B39:C39</f>
        <v>CARTAGENA AVANZA EN CONVIVENCIA</v>
      </c>
      <c r="C14" s="1167"/>
      <c r="D14" s="5">
        <f>+'Seguridad Humana'!J39</f>
        <v>0.18333333333333335</v>
      </c>
      <c r="E14" s="5">
        <f>+'Seguridad Humana'!K39</f>
        <v>0.3520833333333333</v>
      </c>
      <c r="F14" s="5">
        <f>+'Seguridad Humana'!L39</f>
        <v>0.2722222222222222</v>
      </c>
      <c r="G14" s="5">
        <f t="shared" si="6"/>
        <v>0.62291666666666667</v>
      </c>
      <c r="H14" s="5">
        <f t="shared" si="5"/>
        <v>0.89722222222222214</v>
      </c>
      <c r="I14" s="5">
        <f>+'Seguridad Humana'!M39</f>
        <v>0.18333333333333335</v>
      </c>
      <c r="J14" s="5">
        <f>+'Seguridad Humana'!N39</f>
        <v>0.31458333333333333</v>
      </c>
      <c r="K14" s="5">
        <f>+'Seguridad Humana'!AD39</f>
        <v>0.75</v>
      </c>
      <c r="L14" s="5"/>
      <c r="M14" s="5"/>
      <c r="N14" s="5">
        <f>+'Seguridad Humana'!AI39</f>
        <v>0.27083333333333337</v>
      </c>
      <c r="O14" s="5">
        <f>+'Seguridad Humana'!AJ39</f>
        <v>0.625</v>
      </c>
      <c r="P14" s="1051">
        <f>+'Seguridad Humana'!AK39</f>
        <v>0.6875</v>
      </c>
      <c r="Q14" s="33">
        <f>+'Seguridad Humana'!AL39</f>
        <v>3.6874999999999998E-2</v>
      </c>
      <c r="R14" s="33">
        <f>+'Seguridad Humana'!AM39</f>
        <v>0.57499999999999996</v>
      </c>
      <c r="S14" s="33">
        <f>+'Seguridad Humana'!AN39</f>
        <v>0.63749999999999996</v>
      </c>
      <c r="T14" s="25"/>
      <c r="U14" s="2"/>
      <c r="V14" s="64"/>
    </row>
    <row r="15" spans="2:26" ht="69" customHeight="1" x14ac:dyDescent="0.7">
      <c r="B15" s="32" t="str">
        <f>+'Seguridad Humana'!B44:C44</f>
        <v xml:space="preserve"> AVANZANDO EN EL FORTALECIMIENTO DE CASAS DE JUSTICIA, COMISARÍAS DE FAMILIA E INSPECCIONES DE POLICÍA</v>
      </c>
      <c r="C15" s="1167"/>
      <c r="D15" s="5">
        <f>+'Seguridad Humana'!J44</f>
        <v>0.30555555555555552</v>
      </c>
      <c r="E15" s="5">
        <f>+'Seguridad Humana'!K44</f>
        <v>0.6347222222222223</v>
      </c>
      <c r="F15" s="5">
        <f>+'Seguridad Humana'!L44</f>
        <v>0.43806818181818186</v>
      </c>
      <c r="G15" s="5">
        <f t="shared" si="6"/>
        <v>0.71805555555555567</v>
      </c>
      <c r="H15" s="5">
        <f t="shared" si="5"/>
        <v>0.90829199134199134</v>
      </c>
      <c r="I15" s="5">
        <f>+'Seguridad Humana'!M44</f>
        <v>0.16666666666666666</v>
      </c>
      <c r="J15" s="5">
        <f>+'Seguridad Humana'!N44</f>
        <v>0.53083333333333338</v>
      </c>
      <c r="K15" s="5">
        <f>+'Seguridad Humana'!AD44</f>
        <v>0.66666666666666663</v>
      </c>
      <c r="L15" s="5"/>
      <c r="M15" s="5"/>
      <c r="N15" s="5">
        <f>+'Seguridad Humana'!AI44</f>
        <v>8.3333333333333329E-2</v>
      </c>
      <c r="O15" s="5">
        <f>+'Seguridad Humana'!AJ44</f>
        <v>0.47022380952380949</v>
      </c>
      <c r="P15" s="1051">
        <f>+'Seguridad Humana'!AK44</f>
        <v>0.4312770562770562</v>
      </c>
      <c r="Q15" s="33">
        <f>+'Seguridad Humana'!AL44</f>
        <v>3.7499999999999999E-3</v>
      </c>
      <c r="R15" s="33">
        <f>+'Seguridad Humana'!AM44</f>
        <v>0.29582333333333333</v>
      </c>
      <c r="S15" s="33">
        <f>+'Seguridad Humana'!AN44</f>
        <v>0.30189393939393938</v>
      </c>
      <c r="T15" s="25"/>
      <c r="U15" s="2"/>
      <c r="V15" s="64"/>
    </row>
    <row r="16" spans="2:26" ht="46.2" customHeight="1" x14ac:dyDescent="0.7">
      <c r="B16" s="32" t="str">
        <f>+'Seguridad Humana'!B52:C52</f>
        <v xml:space="preserve"> ATENCIÓN INTEGRAL A JÓVENES EN SITUACIÓN DE RIESGO SOCIAL</v>
      </c>
      <c r="C16" s="1167"/>
      <c r="D16" s="5">
        <f>+'Seguridad Humana'!J52</f>
        <v>0.25</v>
      </c>
      <c r="E16" s="5">
        <f>+'Seguridad Humana'!K52</f>
        <v>0.32750000000000001</v>
      </c>
      <c r="F16" s="5">
        <f>+'Seguridad Humana'!L52</f>
        <v>0.21789999999999998</v>
      </c>
      <c r="G16" s="5">
        <f t="shared" si="6"/>
        <v>0.58950000000000002</v>
      </c>
      <c r="H16" s="5">
        <f t="shared" si="5"/>
        <v>0.71970000000000001</v>
      </c>
      <c r="I16" s="5">
        <f>+'Seguridad Humana'!M52</f>
        <v>0.125</v>
      </c>
      <c r="J16" s="5">
        <f>+'Seguridad Humana'!N52</f>
        <v>0.32750000000000001</v>
      </c>
      <c r="K16" s="5">
        <f>+'Seguridad Humana'!AD52</f>
        <v>0.75</v>
      </c>
      <c r="L16" s="5">
        <v>9.2495669760410099E-2</v>
      </c>
      <c r="M16" s="5">
        <f>+'Seguridad Humana'!AE52</f>
        <v>0.42677514792899407</v>
      </c>
      <c r="N16" s="5">
        <f>+'Seguridad Humana'!AI52</f>
        <v>0.26200000000000001</v>
      </c>
      <c r="O16" s="5">
        <f>+'Seguridad Humana'!AJ52</f>
        <v>0.50180000000000002</v>
      </c>
      <c r="P16" s="5">
        <f>+'Seguridad Humana'!AK52</f>
        <v>0.64390000000000003</v>
      </c>
      <c r="Q16" s="33">
        <f>+'Seguridad Humana'!AL52</f>
        <v>1.9650000000000001E-2</v>
      </c>
      <c r="R16" s="33">
        <f>+'Seguridad Humana'!AM52</f>
        <v>0.50180000000000002</v>
      </c>
      <c r="S16" s="33">
        <f>+'Seguridad Humana'!AN52</f>
        <v>0.64390000000000003</v>
      </c>
      <c r="T16" s="25"/>
      <c r="U16" s="2"/>
      <c r="V16" s="64"/>
    </row>
    <row r="17" spans="2:22" ht="45" customHeight="1" x14ac:dyDescent="0.7">
      <c r="B17" s="32" t="str">
        <f>+'Seguridad Humana'!B57:C57</f>
        <v>ASISTENCIA, ATENCIÓN Y REPARACIÓN EFECTIVA E INTEGRAL A LAS VÍCTIMAS DEL CONFLICTO ARMADO</v>
      </c>
      <c r="C17" s="1167"/>
      <c r="D17" s="5">
        <f>+'Seguridad Humana'!J57</f>
        <v>0.25</v>
      </c>
      <c r="E17" s="5">
        <f>+'Seguridad Humana'!K57</f>
        <v>0.29290000000000005</v>
      </c>
      <c r="F17" s="5">
        <f>+'Seguridad Humana'!L57</f>
        <v>0.31080769230769228</v>
      </c>
      <c r="G17" s="5">
        <f t="shared" si="6"/>
        <v>0.52662727272727272</v>
      </c>
      <c r="H17" s="5">
        <f t="shared" si="5"/>
        <v>0.59582085020242914</v>
      </c>
      <c r="I17" s="5">
        <f>+'Seguridad Humana'!M57</f>
        <v>0.14500000000000005</v>
      </c>
      <c r="J17" s="5">
        <f>+'Seguridad Humana'!N57</f>
        <v>0.14290000000000003</v>
      </c>
      <c r="K17" s="5">
        <f>+'Seguridad Humana'!AD57</f>
        <v>0.95048135198135209</v>
      </c>
      <c r="L17" s="5"/>
      <c r="M17" s="5"/>
      <c r="N17" s="5">
        <f>+'Seguridad Humana'!AI57</f>
        <v>0.2337272727272727</v>
      </c>
      <c r="O17" s="5">
        <f>+'Seguridad Humana'!AJ57</f>
        <v>0.28501315789473686</v>
      </c>
      <c r="P17" s="1051">
        <f>+'Seguridad Humana'!AK57</f>
        <v>0.4873815789473685</v>
      </c>
      <c r="Q17" s="33">
        <f>+'Seguridad Humana'!AL57</f>
        <v>1.2710000000000006E-2</v>
      </c>
      <c r="R17" s="33">
        <f>+'Seguridad Humana'!AM57</f>
        <v>0.26117500000000005</v>
      </c>
      <c r="S17" s="33">
        <f>+'Seguridad Humana'!AN57</f>
        <v>0.45945000000000014</v>
      </c>
      <c r="T17" s="25"/>
      <c r="U17" s="2"/>
      <c r="V17" s="64"/>
    </row>
    <row r="18" spans="2:22" ht="46.2" customHeight="1" x14ac:dyDescent="0.7">
      <c r="B18" s="32" t="str">
        <f>+'Seguridad Humana'!B77:C77</f>
        <v>DERECHOS HUMANOS PARA LA VIDA DIGNA</v>
      </c>
      <c r="C18" s="1167"/>
      <c r="D18" s="5">
        <f>+'Seguridad Humana'!J77</f>
        <v>0.25</v>
      </c>
      <c r="E18" s="5">
        <f>+'Seguridad Humana'!K77</f>
        <v>0.37172965116279072</v>
      </c>
      <c r="F18" s="5">
        <f>+'Seguridad Humana'!L77</f>
        <v>0.20284332354247414</v>
      </c>
      <c r="G18" s="5">
        <f t="shared" si="6"/>
        <v>0.57094840116279078</v>
      </c>
      <c r="H18" s="5">
        <f t="shared" si="5"/>
        <v>0.72436270338743547</v>
      </c>
      <c r="I18" s="5">
        <f>+'Seguridad Humana'!M77</f>
        <v>0.13750000000000001</v>
      </c>
      <c r="J18" s="5">
        <f>+'Seguridad Humana'!N77</f>
        <v>0.33712209302325585</v>
      </c>
      <c r="K18" s="5">
        <f>+'Seguridad Humana'!AD77</f>
        <v>0.99824999999999997</v>
      </c>
      <c r="L18" s="5"/>
      <c r="M18" s="5"/>
      <c r="N18" s="5">
        <f>+'Seguridad Humana'!AI77</f>
        <v>0.19921875</v>
      </c>
      <c r="O18" s="5">
        <f>+'Seguridad Humana'!AJ77</f>
        <v>0.52151937984496133</v>
      </c>
      <c r="P18" s="1051">
        <f>+'Seguridad Humana'!AK77</f>
        <v>0.70745765144989958</v>
      </c>
      <c r="Q18" s="33">
        <f>+'Seguridad Humana'!AL77</f>
        <v>1.3148437499999999E-2</v>
      </c>
      <c r="R18" s="33">
        <f>+'Seguridad Humana'!AM77</f>
        <v>0.52630418604651164</v>
      </c>
      <c r="S18" s="33">
        <f>+'Seguridad Humana'!AN77</f>
        <v>0.71038307493540054</v>
      </c>
      <c r="T18" s="25"/>
      <c r="U18" s="2"/>
      <c r="V18" s="64"/>
    </row>
    <row r="19" spans="2:22" ht="44.4" customHeight="1" x14ac:dyDescent="0.7">
      <c r="B19" s="32" t="str">
        <f>+'Seguridad Humana'!B87:C87</f>
        <v>SISTEMA PENITENCIARIO Y CARCELARIO EN EL MARCO DE LOS DERECHOS HUMANOS</v>
      </c>
      <c r="C19" s="1167"/>
      <c r="D19" s="5">
        <f>+'Seguridad Humana'!J87</f>
        <v>0.25</v>
      </c>
      <c r="E19" s="5">
        <f>+'Seguridad Humana'!K87</f>
        <v>0.25</v>
      </c>
      <c r="F19" s="5">
        <f>+'Seguridad Humana'!L87</f>
        <v>0.25</v>
      </c>
      <c r="G19" s="5">
        <f t="shared" si="6"/>
        <v>0.5</v>
      </c>
      <c r="H19" s="5">
        <f t="shared" si="5"/>
        <v>0.58333333333333326</v>
      </c>
      <c r="I19" s="5">
        <f>+'Seguridad Humana'!M87</f>
        <v>0.125</v>
      </c>
      <c r="J19" s="5">
        <f>+'Seguridad Humana'!N87</f>
        <v>0.125</v>
      </c>
      <c r="K19" s="5">
        <f>+'Seguridad Humana'!AD87</f>
        <v>0.5</v>
      </c>
      <c r="L19" s="5">
        <v>0.26333333333333331</v>
      </c>
      <c r="M19" s="5">
        <f>+'Seguridad Humana'!AE87</f>
        <v>0.5</v>
      </c>
      <c r="N19" s="5">
        <f>+'Seguridad Humana'!AI87</f>
        <v>0.25</v>
      </c>
      <c r="O19" s="5">
        <f>+'Seguridad Humana'!AJ87</f>
        <v>0.33333333333333331</v>
      </c>
      <c r="P19" s="5">
        <f>+'Seguridad Humana'!AK87</f>
        <v>0.41777777777777775</v>
      </c>
      <c r="Q19" s="33">
        <f>+'Seguridad Humana'!AL87</f>
        <v>1.2500000000000001E-2</v>
      </c>
      <c r="R19" s="33">
        <f>+'Seguridad Humana'!AM87</f>
        <v>0.1875</v>
      </c>
      <c r="S19" s="33">
        <f>+'Seguridad Humana'!AN87</f>
        <v>0.25083333333333335</v>
      </c>
      <c r="T19" s="25"/>
      <c r="U19" s="2"/>
      <c r="V19" s="64"/>
    </row>
    <row r="20" spans="2:22" ht="88.95" customHeight="1" x14ac:dyDescent="0.7">
      <c r="B20" s="30" t="str">
        <f>+'Seguridad Humana'!B91:C91</f>
        <v xml:space="preserve"> Salud Pública y Aseguramiento
</v>
      </c>
      <c r="C20" s="1167"/>
      <c r="D20" s="23">
        <f t="shared" ref="D20:I20" si="9">+(D21+D22+D23+D24+D25)/5</f>
        <v>0.23229102167182664</v>
      </c>
      <c r="E20" s="23">
        <f t="shared" si="9"/>
        <v>0.33879772961816307</v>
      </c>
      <c r="F20" s="23">
        <f t="shared" ref="F20" si="10">+(F21+F22+F23+F24+F25)/5</f>
        <v>0.26478457172342618</v>
      </c>
      <c r="G20" s="23">
        <f t="shared" si="6"/>
        <v>0.54395347999674115</v>
      </c>
      <c r="H20" s="23">
        <f t="shared" si="5"/>
        <v>0.7032139679102718</v>
      </c>
      <c r="I20" s="24">
        <f t="shared" si="9"/>
        <v>0.15700735294117646</v>
      </c>
      <c r="J20" s="24">
        <f t="shared" ref="J20" si="11">+(J21+J22+J23+J24+J25)/5</f>
        <v>0.37183088235294115</v>
      </c>
      <c r="K20" s="23">
        <f>+(K21+K22+K23+K24+K25)/5</f>
        <v>0.88713331914538984</v>
      </c>
      <c r="L20" s="23">
        <v>0.21561724085353823</v>
      </c>
      <c r="M20" s="23">
        <f>+(M21+M22+M23+M24+M25)/5</f>
        <v>0.5397153617396101</v>
      </c>
      <c r="N20" s="23">
        <f>+(N21+N22+N23+N24+N25)/5</f>
        <v>0.20515575037857808</v>
      </c>
      <c r="O20" s="23">
        <f>+(O21+O22+O23+O24+O25)/5</f>
        <v>0.43842939618684557</v>
      </c>
      <c r="P20" s="23">
        <f>+(P21+P22+P23+P24+P25)/5</f>
        <v>0.52734577443179043</v>
      </c>
      <c r="Q20" s="31">
        <f>+(Q21+Q22+Q23+Q24+Q25)</f>
        <v>0.19010083782604881</v>
      </c>
      <c r="R20" s="31">
        <f>+'Seguridad Humana'!AM91</f>
        <v>0.40754170935687423</v>
      </c>
      <c r="S20" s="31">
        <f>+'Seguridad Humana'!AN91</f>
        <v>0.51345680896438239</v>
      </c>
      <c r="T20" s="25"/>
      <c r="U20" s="2"/>
      <c r="V20" s="64"/>
    </row>
    <row r="21" spans="2:22" ht="54" customHeight="1" x14ac:dyDescent="0.7">
      <c r="B21" s="32" t="str">
        <f>+'Seguridad Humana'!B92:C92</f>
        <v xml:space="preserve"> SALUD CON COBERTURA, ACCESIBILIDAD, CALIDAD E INCLUSIÓN</v>
      </c>
      <c r="C21" s="1167"/>
      <c r="D21" s="5">
        <f>+'Seguridad Humana'!J92</f>
        <v>0.25</v>
      </c>
      <c r="E21" s="5">
        <f>+'Seguridad Humana'!K92</f>
        <v>0.29166666666666669</v>
      </c>
      <c r="F21" s="5">
        <f>+'Seguridad Humana'!L92</f>
        <v>0.29166666666666669</v>
      </c>
      <c r="G21" s="5">
        <f t="shared" si="6"/>
        <v>0.50460164873866309</v>
      </c>
      <c r="H21" s="5">
        <f t="shared" si="5"/>
        <v>0.76295173834439778</v>
      </c>
      <c r="I21" s="5">
        <f>+'Seguridad Humana'!M92</f>
        <v>0.16250000000000003</v>
      </c>
      <c r="J21" s="5">
        <f>+'Seguridad Humana'!N92</f>
        <v>0.33750000000000002</v>
      </c>
      <c r="K21" s="5">
        <f>+'Seguridad Humana'!AD92</f>
        <v>0.86536666666666673</v>
      </c>
      <c r="L21" s="5">
        <v>0.17938834745033574</v>
      </c>
      <c r="M21" s="5">
        <f>+'Seguridad Humana'!AE92</f>
        <v>0.57994585165619006</v>
      </c>
      <c r="N21" s="5">
        <f>+'Seguridad Humana'!AI92</f>
        <v>0.21293498207199635</v>
      </c>
      <c r="O21" s="5">
        <f>+'Seguridad Humana'!AJ92</f>
        <v>0.47128507167773109</v>
      </c>
      <c r="P21" s="5">
        <f>+'Seguridad Humana'!AK92</f>
        <v>0.61627153459177852</v>
      </c>
      <c r="Q21" s="33">
        <f>+'Seguridad Humana'!AL92</f>
        <v>5.944380429531565E-2</v>
      </c>
      <c r="R21" s="33">
        <f>+'Seguridad Humana'!AM92</f>
        <v>0.34224696772547941</v>
      </c>
      <c r="S21" s="33">
        <f>+'Seguridad Humana'!AN92</f>
        <v>0.4754078120525268</v>
      </c>
      <c r="T21" s="25"/>
      <c r="U21" s="2"/>
      <c r="V21" s="64"/>
    </row>
    <row r="22" spans="2:22" ht="31.2" customHeight="1" x14ac:dyDescent="0.7">
      <c r="B22" s="32" t="s">
        <v>1604</v>
      </c>
      <c r="C22" s="1167"/>
      <c r="D22" s="5">
        <f>+'Seguridad Humana'!J99</f>
        <v>0.17499999999999999</v>
      </c>
      <c r="E22" s="5">
        <f>+'Seguridad Humana'!K99</f>
        <v>0.27500000000000002</v>
      </c>
      <c r="F22" s="5">
        <f>+'Seguridad Humana'!L99</f>
        <v>0.27500000000000002</v>
      </c>
      <c r="G22" s="5">
        <f t="shared" si="6"/>
        <v>0.47331666666666672</v>
      </c>
      <c r="H22" s="5">
        <f t="shared" si="5"/>
        <v>0.77511666666666668</v>
      </c>
      <c r="I22" s="5">
        <f>+'Seguridad Humana'!M99</f>
        <v>0.19</v>
      </c>
      <c r="J22" s="5">
        <f>+'Seguridad Humana'!N99</f>
        <v>0.27</v>
      </c>
      <c r="K22" s="5">
        <f>+'Seguridad Humana'!AD99</f>
        <v>1</v>
      </c>
      <c r="L22" s="5">
        <v>0.14946666666666666</v>
      </c>
      <c r="M22" s="5">
        <f>+'Seguridad Humana'!AE99</f>
        <v>0.41493333333333338</v>
      </c>
      <c r="N22" s="5">
        <f>+'Seguridad Humana'!AI99</f>
        <v>0.19831666666666667</v>
      </c>
      <c r="O22" s="5">
        <f>+'Seguridad Humana'!AJ99</f>
        <v>0.50011666666666665</v>
      </c>
      <c r="P22" s="5">
        <f>+'Seguridad Humana'!AK99</f>
        <v>0.6061833333333333</v>
      </c>
      <c r="Q22" s="33">
        <f>+'Seguridad Humana'!AL99</f>
        <v>2.1048000000000001E-2</v>
      </c>
      <c r="R22" s="33">
        <f>+'Seguridad Humana'!AM99</f>
        <v>0.50266000000000011</v>
      </c>
      <c r="S22" s="33">
        <f>+'Seguridad Humana'!AN99</f>
        <v>0.6243399999999999</v>
      </c>
      <c r="T22" s="25"/>
      <c r="U22" s="2"/>
      <c r="V22" s="64"/>
    </row>
    <row r="23" spans="2:22" ht="70.2" customHeight="1" x14ac:dyDescent="0.7">
      <c r="B23" s="32" t="s">
        <v>1605</v>
      </c>
      <c r="C23" s="1167"/>
      <c r="D23" s="5">
        <f>+'Seguridad Humana'!J102</f>
        <v>0.25</v>
      </c>
      <c r="E23" s="5">
        <f>+'Seguridad Humana'!K102</f>
        <v>0.625</v>
      </c>
      <c r="F23" s="5">
        <f>+'Seguridad Humana'!L102</f>
        <v>0.25</v>
      </c>
      <c r="G23" s="5">
        <f t="shared" si="6"/>
        <v>0.74137931034482762</v>
      </c>
      <c r="H23" s="5">
        <f t="shared" si="5"/>
        <v>0.61637931034482762</v>
      </c>
      <c r="I23" s="5">
        <f>+'Seguridad Humana'!M102</f>
        <v>0.05</v>
      </c>
      <c r="J23" s="5">
        <f>+'Seguridad Humana'!N102</f>
        <v>0.85000000000000009</v>
      </c>
      <c r="K23" s="5">
        <f>+'Seguridad Humana'!AD102</f>
        <v>0.625</v>
      </c>
      <c r="L23" s="5">
        <v>0.27586206896551724</v>
      </c>
      <c r="M23" s="5">
        <f>+'Seguridad Humana'!AE102</f>
        <v>0.82758620689655171</v>
      </c>
      <c r="N23" s="5">
        <f>+'Seguridad Humana'!AI102</f>
        <v>0.11637931034482758</v>
      </c>
      <c r="O23" s="5">
        <f>+'Seguridad Humana'!AJ102</f>
        <v>0.36637931034482762</v>
      </c>
      <c r="P23" s="5">
        <f>+'Seguridad Humana'!AK102</f>
        <v>0.46982758620689657</v>
      </c>
      <c r="Q23" s="33">
        <f>+'Seguridad Humana'!AL102</f>
        <v>4.6551724137931039E-3</v>
      </c>
      <c r="R23" s="33">
        <f>+'Seguridad Humana'!AM102</f>
        <v>9.6551724137931047E-2</v>
      </c>
      <c r="S23" s="33">
        <f>+'Seguridad Humana'!AN102</f>
        <v>0.33793103448275863</v>
      </c>
      <c r="T23" s="25"/>
      <c r="U23" s="2"/>
      <c r="V23" s="64"/>
    </row>
    <row r="24" spans="2:22" ht="28.95" customHeight="1" x14ac:dyDescent="0.7">
      <c r="B24" s="32" t="s">
        <v>1626</v>
      </c>
      <c r="C24" s="1167"/>
      <c r="D24" s="5">
        <f>+'Seguridad Humana'!J105</f>
        <v>0.23645510835913311</v>
      </c>
      <c r="E24" s="5">
        <f>+'Seguridad Humana'!K105</f>
        <v>0.25232198142414858</v>
      </c>
      <c r="F24" s="5">
        <f>+'Seguridad Humana'!L105</f>
        <v>0.2572561919504644</v>
      </c>
      <c r="G24" s="5">
        <f t="shared" si="6"/>
        <v>0.50046977423354821</v>
      </c>
      <c r="H24" s="5">
        <f t="shared" si="5"/>
        <v>0.79912212419546669</v>
      </c>
      <c r="I24" s="5">
        <f>+'Seguridad Humana'!M105</f>
        <v>0.2325367647058823</v>
      </c>
      <c r="J24" s="5">
        <f>+'Seguridad Humana'!N105</f>
        <v>0.25165441176470582</v>
      </c>
      <c r="K24" s="5">
        <f>+'Seguridad Humana'!AD105</f>
        <v>0.94529992906028248</v>
      </c>
      <c r="L24" s="5">
        <v>0.17336912118517148</v>
      </c>
      <c r="M24" s="5">
        <f>+'Seguridad Humana'!AE105</f>
        <v>0.27611141681197493</v>
      </c>
      <c r="N24" s="5">
        <f>+'Seguridad Humana'!AI105</f>
        <v>0.24814779280939966</v>
      </c>
      <c r="O24" s="5">
        <f>+'Seguridad Humana'!AJ105</f>
        <v>0.54186593224500235</v>
      </c>
      <c r="P24" s="5">
        <f>+'Seguridad Humana'!AK105</f>
        <v>0.59444641802694342</v>
      </c>
      <c r="Q24" s="33">
        <f>+'Seguridad Humana'!AL105</f>
        <v>9.7453861116940044E-2</v>
      </c>
      <c r="R24" s="33">
        <f>+'Seguridad Humana'!AM105</f>
        <v>0.53208524559790826</v>
      </c>
      <c r="S24" s="33">
        <f>+'Seguridad Humana'!AN105</f>
        <v>0.57834242824430537</v>
      </c>
      <c r="T24" s="25"/>
      <c r="U24" s="2"/>
      <c r="V24" s="64"/>
    </row>
    <row r="25" spans="2:22" ht="46.2" customHeight="1" x14ac:dyDescent="0.7">
      <c r="B25" s="32" t="s">
        <v>1627</v>
      </c>
      <c r="C25" s="1167"/>
      <c r="D25" s="5">
        <f>+'Seguridad Humana'!J125</f>
        <v>0.25</v>
      </c>
      <c r="E25" s="5">
        <f>+'Seguridad Humana'!K125</f>
        <v>0.25</v>
      </c>
      <c r="F25" s="5">
        <f>+'Seguridad Humana'!L125</f>
        <v>0.25</v>
      </c>
      <c r="G25" s="5">
        <f t="shared" si="6"/>
        <v>0.5</v>
      </c>
      <c r="H25" s="5">
        <f t="shared" si="5"/>
        <v>0.5625</v>
      </c>
      <c r="I25" s="5">
        <f>+'Seguridad Humana'!M125</f>
        <v>0.15</v>
      </c>
      <c r="J25" s="5">
        <f>+'Seguridad Humana'!N125</f>
        <v>0.15</v>
      </c>
      <c r="K25" s="5">
        <f>+'Seguridad Humana'!AD125</f>
        <v>1</v>
      </c>
      <c r="L25" s="5">
        <v>0.3</v>
      </c>
      <c r="M25" s="5">
        <f>+'Seguridad Humana'!AE125</f>
        <v>0.6</v>
      </c>
      <c r="N25" s="5">
        <f>+'Seguridad Humana'!AI125</f>
        <v>0.25</v>
      </c>
      <c r="O25" s="5">
        <f>+'Seguridad Humana'!AJ125</f>
        <v>0.3125</v>
      </c>
      <c r="P25" s="5">
        <f>+'Seguridad Humana'!AK125</f>
        <v>0.35</v>
      </c>
      <c r="Q25" s="33">
        <f>+'Seguridad Humana'!AL125</f>
        <v>7.4999999999999997E-3</v>
      </c>
      <c r="R25" s="33">
        <f>+'Seguridad Humana'!AM125</f>
        <v>0.3</v>
      </c>
      <c r="S25" s="33">
        <f>+'Seguridad Humana'!AN125</f>
        <v>0.39</v>
      </c>
      <c r="T25" s="25"/>
      <c r="U25" s="2"/>
      <c r="V25" s="64"/>
    </row>
    <row r="26" spans="2:22" ht="78.599999999999994" customHeight="1" x14ac:dyDescent="0.7">
      <c r="B26" s="30" t="str">
        <f>+'Seguridad Humana'!B130:C130</f>
        <v xml:space="preserve">Atención Integral a Grupos de Especial Protección
</v>
      </c>
      <c r="C26" s="1167"/>
      <c r="D26" s="23">
        <f>+(D27+D28+D29+D30+D31+D32+D33)/6</f>
        <v>0.3193759495300631</v>
      </c>
      <c r="E26" s="23">
        <f>+(E27+E28+E29+E30+E31+E32+E33)/7</f>
        <v>0.36067241266804129</v>
      </c>
      <c r="F26" s="23">
        <f>+(F27+F28+F29+F30+F31+F32+F33)/7</f>
        <v>0.28501877948421306</v>
      </c>
      <c r="G26" s="23">
        <f t="shared" si="6"/>
        <v>0.6068847164726574</v>
      </c>
      <c r="H26" s="23">
        <f t="shared" si="5"/>
        <v>0.91385788056208472</v>
      </c>
      <c r="I26" s="24">
        <f>+(I27+I28+I29+I30+I31+I32+I33)/6</f>
        <v>0.17451004248744692</v>
      </c>
      <c r="J26" s="24">
        <f>+(J27+J28+J29+J30+J31+J32+J33)/7</f>
        <v>0.31558347607692649</v>
      </c>
      <c r="K26" s="23">
        <f>+(K27+K28+K29+K30+K31+K32+K33)/7</f>
        <v>0.95449776895021254</v>
      </c>
      <c r="L26" s="23">
        <v>0.21435420408027589</v>
      </c>
      <c r="M26" s="23">
        <f>+(M27+M28+M29+M30+M31+M32+M33)/7</f>
        <v>0.4866977550843446</v>
      </c>
      <c r="N26" s="23">
        <f>+(N27+N28+N29+N30+N31+N32+N33)/6</f>
        <v>0.24621230380461609</v>
      </c>
      <c r="O26" s="23">
        <f>+(O27+O28+O29+O30+O31+O32+O33)/6</f>
        <v>0.62883910107787166</v>
      </c>
      <c r="P26" s="23">
        <f>+(P27+P28+P29+P30+P31+P32+P33)/6</f>
        <v>0.74460090027274495</v>
      </c>
      <c r="Q26" s="31">
        <f>+(Q27+Q28+Q29+Q30+Q31+Q32+Q33)</f>
        <v>0.18458001541682623</v>
      </c>
      <c r="R26" s="31">
        <f>+'Seguridad Humana'!AM130</f>
        <v>0.47851879245993212</v>
      </c>
      <c r="S26" s="31">
        <f>+'Seguridad Humana'!AN130</f>
        <v>0.58942016663062069</v>
      </c>
      <c r="T26" s="25"/>
      <c r="U26" s="2"/>
      <c r="V26" s="64"/>
    </row>
    <row r="27" spans="2:22" ht="42.6" customHeight="1" x14ac:dyDescent="0.7">
      <c r="B27" s="32" t="s">
        <v>1608</v>
      </c>
      <c r="C27" s="1167"/>
      <c r="D27" s="5">
        <f>+'Seguridad Humana'!J131</f>
        <v>0.33333333333333331</v>
      </c>
      <c r="E27" s="5">
        <f>+'Seguridad Humana'!K131</f>
        <v>0.39999999999999997</v>
      </c>
      <c r="F27" s="5">
        <f>+'Seguridad Humana'!L131</f>
        <v>0.32999999999999996</v>
      </c>
      <c r="G27" s="5">
        <f t="shared" si="6"/>
        <v>0.62653274519154345</v>
      </c>
      <c r="H27" s="5">
        <f t="shared" si="5"/>
        <v>0.89705472103004291</v>
      </c>
      <c r="I27" s="5">
        <f>+'Seguridad Humana'!M131</f>
        <v>0.21750000000000003</v>
      </c>
      <c r="J27" s="5">
        <f>+'Seguridad Humana'!N131</f>
        <v>0.21250000000000002</v>
      </c>
      <c r="K27" s="5">
        <f>+'Seguridad Humana'!AD131</f>
        <v>0.95842359833776136</v>
      </c>
      <c r="L27" s="5">
        <v>0.12305879364129627</v>
      </c>
      <c r="M27" s="5">
        <f>+'Seguridad Humana'!AE131</f>
        <v>0.54636841257453894</v>
      </c>
      <c r="N27" s="5">
        <f>+'Seguridad Humana'!AI131</f>
        <v>0.22653274519154346</v>
      </c>
      <c r="O27" s="5">
        <f>+'Seguridad Humana'!AJ131</f>
        <v>0.56705472103004295</v>
      </c>
      <c r="P27" s="65">
        <f>+'Seguridad Humana'!AK131</f>
        <v>0.65336228549481457</v>
      </c>
      <c r="Q27" s="33">
        <f>+'Seguridad Humana'!AL131</f>
        <v>3.155922746781116E-2</v>
      </c>
      <c r="R27" s="33">
        <f>+'Seguridad Humana'!AM131</f>
        <v>0.42271566523605159</v>
      </c>
      <c r="S27" s="33">
        <f>+'Seguridad Humana'!AN131</f>
        <v>0.51303474259377757</v>
      </c>
      <c r="T27" s="25"/>
      <c r="U27" s="2"/>
      <c r="V27" s="64"/>
    </row>
    <row r="28" spans="2:22" ht="81" customHeight="1" x14ac:dyDescent="0.7">
      <c r="B28" s="32" t="s">
        <v>1609</v>
      </c>
      <c r="C28" s="1167"/>
      <c r="D28" s="5">
        <f>+'Seguridad Humana'!J140</f>
        <v>0.23392236384704518</v>
      </c>
      <c r="E28" s="5">
        <f>+'Seguridad Humana'!K140</f>
        <v>0.25535921205098494</v>
      </c>
      <c r="F28" s="5">
        <f>+'Seguridad Humana'!L140</f>
        <v>0.25535921205098494</v>
      </c>
      <c r="G28" s="5">
        <f t="shared" si="6"/>
        <v>0.39325028968713793</v>
      </c>
      <c r="H28" s="5">
        <f t="shared" si="5"/>
        <v>0.77462340672074159</v>
      </c>
      <c r="I28" s="5">
        <f>+'Seguridad Humana'!M140</f>
        <v>0.22106025492468134</v>
      </c>
      <c r="J28" s="5">
        <f>+'Seguridad Humana'!N140</f>
        <v>0.2596465816917729</v>
      </c>
      <c r="K28" s="5">
        <f>+'Seguridad Humana'!AD140</f>
        <v>1</v>
      </c>
      <c r="L28" s="5">
        <v>0.14777777777777779</v>
      </c>
      <c r="M28" s="5">
        <f>+'Seguridad Humana'!AE140</f>
        <v>0.42277777777777775</v>
      </c>
      <c r="N28" s="5">
        <f>+'Seguridad Humana'!AI140</f>
        <v>0.13789107763615296</v>
      </c>
      <c r="O28" s="5">
        <f>+'Seguridad Humana'!AJ140</f>
        <v>0.51926419466975671</v>
      </c>
      <c r="P28" s="65">
        <f>+'Seguridad Humana'!AK140</f>
        <v>0.62815034762456545</v>
      </c>
      <c r="Q28" s="33">
        <f>+'Seguridad Humana'!AL140</f>
        <v>4.9640787949015074E-2</v>
      </c>
      <c r="R28" s="33">
        <f>+'Seguridad Humana'!AM140</f>
        <v>0.53467555040556203</v>
      </c>
      <c r="S28" s="33">
        <f>+'Seguridad Humana'!AN140</f>
        <v>0.68067062572421788</v>
      </c>
      <c r="T28" s="25"/>
      <c r="U28" s="2"/>
      <c r="V28" s="64"/>
    </row>
    <row r="29" spans="2:22" ht="51" customHeight="1" x14ac:dyDescent="0.7">
      <c r="B29" s="32" t="s">
        <v>1610</v>
      </c>
      <c r="C29" s="1167"/>
      <c r="D29" s="5">
        <f>+'Seguridad Humana'!J143</f>
        <v>0.25</v>
      </c>
      <c r="E29" s="5">
        <f>+'Seguridad Humana'!K143</f>
        <v>0.27083333333333337</v>
      </c>
      <c r="F29" s="5">
        <f>+'Seguridad Humana'!L143</f>
        <v>0.27500000000000002</v>
      </c>
      <c r="G29" s="5">
        <f t="shared" si="6"/>
        <v>0.47375</v>
      </c>
      <c r="H29" s="5">
        <f t="shared" si="5"/>
        <v>0.74458333333333337</v>
      </c>
      <c r="I29" s="5">
        <f>+'Seguridad Humana'!M143</f>
        <v>0.25</v>
      </c>
      <c r="J29" s="5">
        <f>+'Seguridad Humana'!N143</f>
        <v>0.28000000000000003</v>
      </c>
      <c r="K29" s="5">
        <f>+'Seguridad Humana'!AD143</f>
        <v>0.98529411764705888</v>
      </c>
      <c r="L29" s="5">
        <v>0.10714285714285714</v>
      </c>
      <c r="M29" s="5">
        <f>+'Seguridad Humana'!AE143</f>
        <v>0.35773809523809524</v>
      </c>
      <c r="N29" s="5">
        <f>+'Seguridad Humana'!AI143</f>
        <v>0.20291666666666666</v>
      </c>
      <c r="O29" s="5">
        <f>+'Seguridad Humana'!AJ143</f>
        <v>0.46958333333333335</v>
      </c>
      <c r="P29" s="65">
        <f>+'Seguridad Humana'!AK143</f>
        <v>0.57687500000000003</v>
      </c>
      <c r="Q29" s="33">
        <f>+'Seguridad Humana'!AL143</f>
        <v>1.9800000000000002E-2</v>
      </c>
      <c r="R29" s="33">
        <f>+'Seguridad Humana'!AM143</f>
        <v>0.47299999999999998</v>
      </c>
      <c r="S29" s="33">
        <f>+'Seguridad Humana'!AN143</f>
        <v>0.56425000000000003</v>
      </c>
      <c r="T29" s="25"/>
      <c r="U29" s="2"/>
      <c r="V29" s="64"/>
    </row>
    <row r="30" spans="2:22" ht="41.4" customHeight="1" x14ac:dyDescent="0.7">
      <c r="B30" s="32" t="s">
        <v>1611</v>
      </c>
      <c r="C30" s="1167"/>
      <c r="D30" s="5">
        <f>+'Seguridad Humana'!J148</f>
        <v>0.25</v>
      </c>
      <c r="E30" s="5">
        <f>+'Seguridad Humana'!K148</f>
        <v>0.22500000000000001</v>
      </c>
      <c r="F30" s="5">
        <f>+'Seguridad Humana'!L148</f>
        <v>0.25</v>
      </c>
      <c r="G30" s="5">
        <f t="shared" si="6"/>
        <v>0.63333333333333341</v>
      </c>
      <c r="H30" s="5">
        <f t="shared" si="5"/>
        <v>0.8</v>
      </c>
      <c r="I30" s="5">
        <f>+'Seguridad Humana'!M148</f>
        <v>0.15000000000000002</v>
      </c>
      <c r="J30" s="5">
        <f>+'Seguridad Humana'!N148</f>
        <v>0.20374999999999999</v>
      </c>
      <c r="K30" s="5">
        <f>+'Seguridad Humana'!AD148</f>
        <v>1</v>
      </c>
      <c r="L30" s="5">
        <v>0.36249999999999999</v>
      </c>
      <c r="M30" s="5">
        <f>+'Seguridad Humana'!AE148</f>
        <v>0.75</v>
      </c>
      <c r="N30" s="5">
        <f>+'Seguridad Humana'!AI148</f>
        <v>0.40833333333333338</v>
      </c>
      <c r="O30" s="5">
        <f>+'Seguridad Humana'!AJ148</f>
        <v>0.55000000000000004</v>
      </c>
      <c r="P30" s="65">
        <f>+'Seguridad Humana'!AK148</f>
        <v>0.72499999999999998</v>
      </c>
      <c r="Q30" s="33">
        <f>+'Seguridad Humana'!AL148</f>
        <v>4.4250000000000005E-2</v>
      </c>
      <c r="R30" s="33">
        <f>+'Seguridad Humana'!AM148</f>
        <v>0.45500000000000002</v>
      </c>
      <c r="S30" s="33">
        <f>+'Seguridad Humana'!AN148</f>
        <v>0.64749999999999996</v>
      </c>
      <c r="T30" s="25"/>
      <c r="U30" s="2"/>
      <c r="V30" s="64"/>
    </row>
    <row r="31" spans="2:22" ht="40.950000000000003" customHeight="1" x14ac:dyDescent="0.7">
      <c r="B31" s="32" t="s">
        <v>1628</v>
      </c>
      <c r="C31" s="1167"/>
      <c r="D31" s="5">
        <f>+'Seguridad Humana'!J153</f>
        <v>0.625</v>
      </c>
      <c r="E31" s="5">
        <f>+'Seguridad Humana'!K153</f>
        <v>0.45611434329197087</v>
      </c>
      <c r="F31" s="5">
        <f>+'Seguridad Humana'!L153</f>
        <v>0.28477224433850634</v>
      </c>
      <c r="G31" s="5">
        <f t="shared" si="6"/>
        <v>0.70611434329197087</v>
      </c>
      <c r="H31" s="5">
        <f t="shared" si="5"/>
        <v>0.90010460177260321</v>
      </c>
      <c r="I31" s="5">
        <f>+'Seguridad Humana'!M153</f>
        <v>6.25E-2</v>
      </c>
      <c r="J31" s="5">
        <f>+'Seguridad Humana'!N153</f>
        <v>0.36258775084671224</v>
      </c>
      <c r="K31" s="5">
        <f>+'Seguridad Humana'!AD153</f>
        <v>0.96026666666666682</v>
      </c>
      <c r="L31" s="5">
        <v>0.51</v>
      </c>
      <c r="M31" s="5">
        <f>+'Seguridad Humana'!AE153</f>
        <v>0.57999999999999996</v>
      </c>
      <c r="N31" s="5">
        <f>+'Seguridad Humana'!AI153</f>
        <v>0.25</v>
      </c>
      <c r="O31" s="5">
        <f>+'Seguridad Humana'!AJ153</f>
        <v>0.61533235743409687</v>
      </c>
      <c r="P31" s="65">
        <f>+'Seguridad Humana'!AK153</f>
        <v>0.6699177685170894</v>
      </c>
      <c r="Q31" s="33">
        <f>+'Seguridad Humana'!AL153</f>
        <v>1.2500000000000002E-3</v>
      </c>
      <c r="R31" s="33">
        <f>+'Seguridad Humana'!AM153</f>
        <v>0.60701098663218656</v>
      </c>
      <c r="S31" s="33">
        <f>+'Seguridad Humana'!AN153</f>
        <v>0.70728185934043319</v>
      </c>
      <c r="T31" s="25"/>
      <c r="U31" s="2"/>
      <c r="V31" s="64"/>
    </row>
    <row r="32" spans="2:22" ht="28.95" customHeight="1" x14ac:dyDescent="0.7">
      <c r="B32" s="32" t="s">
        <v>1629</v>
      </c>
      <c r="C32" s="1167"/>
      <c r="D32" s="5">
        <f>+'Seguridad Humana'!J160</f>
        <v>0.22400000000000003</v>
      </c>
      <c r="E32" s="5">
        <f>+'Seguridad Humana'!K160</f>
        <v>0.29239999999999999</v>
      </c>
      <c r="F32" s="5">
        <f>+'Seguridad Humana'!L160</f>
        <v>0.25</v>
      </c>
      <c r="G32" s="5">
        <f t="shared" si="6"/>
        <v>0.54400000000000004</v>
      </c>
      <c r="H32" s="5">
        <f t="shared" si="5"/>
        <v>0.86180000000000001</v>
      </c>
      <c r="I32" s="5">
        <f>+'Seguridad Humana'!M160</f>
        <v>0.14599999999999999</v>
      </c>
      <c r="J32" s="5">
        <f>+'Seguridad Humana'!N160</f>
        <v>0.2656</v>
      </c>
      <c r="K32" s="5">
        <f>+'Seguridad Humana'!AD160</f>
        <v>0.96250000000000002</v>
      </c>
      <c r="L32" s="5">
        <v>0.125</v>
      </c>
      <c r="M32" s="5">
        <f>+'Seguridad Humana'!AE160</f>
        <v>0.5</v>
      </c>
      <c r="N32" s="5">
        <f>+'Seguridad Humana'!AI160</f>
        <v>0.25159999999999999</v>
      </c>
      <c r="O32" s="5">
        <f>+'Seguridad Humana'!AJ160</f>
        <v>0.61180000000000001</v>
      </c>
      <c r="P32" s="65">
        <f>+'Seguridad Humana'!AK160</f>
        <v>0.68680000000000008</v>
      </c>
      <c r="Q32" s="33">
        <f>+'Seguridad Humana'!AL160</f>
        <v>3.8080000000000003E-2</v>
      </c>
      <c r="R32" s="33">
        <f>+'Seguridad Humana'!AM160</f>
        <v>0.48270000000000007</v>
      </c>
      <c r="S32" s="33">
        <f>+'Seguridad Humana'!AN160</f>
        <v>0.5202</v>
      </c>
      <c r="T32" s="25"/>
      <c r="U32" s="2"/>
      <c r="V32" s="64"/>
    </row>
    <row r="33" spans="2:22" ht="39.6" customHeight="1" x14ac:dyDescent="0.7">
      <c r="B33" s="32" t="s">
        <v>1630</v>
      </c>
      <c r="C33" s="1167"/>
      <c r="D33" s="5">
        <f>+'Seguridad Humana'!J166</f>
        <v>0</v>
      </c>
      <c r="E33" s="5">
        <f>+'Seguridad Humana'!K166</f>
        <v>0.625</v>
      </c>
      <c r="F33" s="5">
        <f>+'Seguridad Humana'!L166</f>
        <v>0.35</v>
      </c>
      <c r="G33" s="5">
        <f t="shared" si="6"/>
        <v>0.625</v>
      </c>
      <c r="H33" s="5">
        <f t="shared" si="5"/>
        <v>0.79</v>
      </c>
      <c r="I33" s="5">
        <f>+'Seguridad Humana'!M166</f>
        <v>0</v>
      </c>
      <c r="J33" s="5">
        <f>+'Seguridad Humana'!N166</f>
        <v>0.625</v>
      </c>
      <c r="K33" s="5">
        <f>+'Seguridad Humana'!AD166</f>
        <v>0.81500000000000006</v>
      </c>
      <c r="L33" s="5">
        <v>0.125</v>
      </c>
      <c r="M33" s="5">
        <f>+'Seguridad Humana'!AE166</f>
        <v>0.25</v>
      </c>
      <c r="N33" s="5">
        <f>+'Seguridad Humana'!AI166</f>
        <v>0</v>
      </c>
      <c r="O33" s="5">
        <f>+'Seguridad Humana'!AJ166</f>
        <v>0.44000000000000006</v>
      </c>
      <c r="P33" s="65">
        <f>+'Seguridad Humana'!AK166</f>
        <v>0.52750000000000008</v>
      </c>
      <c r="Q33" s="33">
        <f>+'Seguridad Humana'!AL166</f>
        <v>0</v>
      </c>
      <c r="R33" s="33">
        <f>+'Seguridad Humana'!AM166</f>
        <v>0.437</v>
      </c>
      <c r="S33" s="33">
        <f>+'Seguridad Humana'!AN166</f>
        <v>0.50700000000000001</v>
      </c>
      <c r="T33" s="25"/>
      <c r="U33" s="2"/>
      <c r="V33" s="64"/>
    </row>
    <row r="34" spans="2:22" ht="88.95" customHeight="1" x14ac:dyDescent="0.7">
      <c r="B34" s="30" t="str">
        <f>+'Seguridad Humana'!B171:C171</f>
        <v xml:space="preserve">Superación de la pobreza extrema y soberanía alimentaria
</v>
      </c>
      <c r="C34" s="1167"/>
      <c r="D34" s="23">
        <f t="shared" ref="D34:I34" si="12">+(D35+D36+D37+D38+D39+D40+D41+D42+D43+D44+D45)/11</f>
        <v>0.15789568518161531</v>
      </c>
      <c r="E34" s="23">
        <f t="shared" si="12"/>
        <v>0.31747360226895655</v>
      </c>
      <c r="F34" s="23">
        <f>+(F35+F36+F37+F38+F39+F40+F41+F42+F43+F44+F45)/11</f>
        <v>0.32787574114686546</v>
      </c>
      <c r="G34" s="23">
        <f t="shared" si="6"/>
        <v>0.48976309154789766</v>
      </c>
      <c r="H34" s="23">
        <f t="shared" si="5"/>
        <v>0.79616715845974406</v>
      </c>
      <c r="I34" s="24">
        <f t="shared" si="12"/>
        <v>0.13500023925638274</v>
      </c>
      <c r="J34" s="24">
        <f t="shared" ref="J34:K34" si="13">+(J35+J36+J37+J38+J39+J40+J41+J42+J43+J44+J45)/11</f>
        <v>0.29944978534279126</v>
      </c>
      <c r="K34" s="23">
        <f t="shared" si="13"/>
        <v>0.78967245971620981</v>
      </c>
      <c r="L34" s="23">
        <v>0.17870705917192112</v>
      </c>
      <c r="M34" s="23">
        <f t="shared" ref="M34" si="14">+(M35+M36+M37+M38+M39+M40+M41+M42+M43+M44+M45)/11</f>
        <v>0.42603353914740905</v>
      </c>
      <c r="N34" s="23">
        <f>+(N35+N36+N37+N38+N39+N40+N41+N42+N43+N44+N45)/11</f>
        <v>0.17228948927894114</v>
      </c>
      <c r="O34" s="23">
        <f>+(O35+O36+O37+O38+O39+O40+O41+O42+O43+O44+O45)/11</f>
        <v>0.46829141731287866</v>
      </c>
      <c r="P34" s="23">
        <f>+(P35+P36+P37+P38+P39+P40+P41+P42+P43+P44+P45)/11</f>
        <v>0.56459689119048595</v>
      </c>
      <c r="Q34" s="31">
        <f>+(Q35+Q36+Q37+Q38+Q39+Q40+Q41+Q42+Q43+Q44+Q45)</f>
        <v>0.14750248083618644</v>
      </c>
      <c r="R34" s="31">
        <f>+'Seguridad Humana'!AM171</f>
        <v>0.46847685808282769</v>
      </c>
      <c r="S34" s="31">
        <f>+'Seguridad Humana'!AN171</f>
        <v>0.56385537081409176</v>
      </c>
      <c r="T34" s="25"/>
      <c r="U34" s="2"/>
      <c r="V34" s="64"/>
    </row>
    <row r="35" spans="2:22" ht="61.95" customHeight="1" x14ac:dyDescent="0.7">
      <c r="B35" s="32" t="s">
        <v>1615</v>
      </c>
      <c r="C35" s="1167"/>
      <c r="D35" s="5">
        <f>+'Seguridad Humana'!J172</f>
        <v>0.125</v>
      </c>
      <c r="E35" s="5">
        <f>+'Seguridad Humana'!K172</f>
        <v>0.33096590909090906</v>
      </c>
      <c r="F35" s="5">
        <f>+'Seguridad Humana'!L172</f>
        <v>0.33096590909090906</v>
      </c>
      <c r="G35" s="5">
        <f t="shared" si="6"/>
        <v>0.49196590909090909</v>
      </c>
      <c r="H35" s="5">
        <f t="shared" si="5"/>
        <v>0.67926704545454542</v>
      </c>
      <c r="I35" s="5">
        <f>+'Seguridad Humana'!M172</f>
        <v>8.7499999999999994E-2</v>
      </c>
      <c r="J35" s="5">
        <f>+'Seguridad Humana'!N172</f>
        <v>0.33607954545454544</v>
      </c>
      <c r="K35" s="5">
        <f>+'Seguridad Humana'!AD172</f>
        <v>0.78054545454545454</v>
      </c>
      <c r="L35" s="5">
        <v>5.0714285714285712E-2</v>
      </c>
      <c r="M35" s="5">
        <f>+'Seguridad Humana'!AE172</f>
        <v>0.23857142857142857</v>
      </c>
      <c r="N35" s="5">
        <f>+'Seguridad Humana'!AI172</f>
        <v>0.161</v>
      </c>
      <c r="O35" s="5">
        <f>+'Seguridad Humana'!AJ172</f>
        <v>0.34830113636363635</v>
      </c>
      <c r="P35" s="5">
        <f>+'Seguridad Humana'!AK172</f>
        <v>0.42421022727272728</v>
      </c>
      <c r="Q35" s="33">
        <f>+'Seguridad Humana'!AL172</f>
        <v>5.6350000000000003E-3</v>
      </c>
      <c r="R35" s="33">
        <f>+'Seguridad Humana'!AM172</f>
        <v>0.35053068181818181</v>
      </c>
      <c r="S35" s="33">
        <f>+'Seguridad Humana'!AN172</f>
        <v>0.39607613636363637</v>
      </c>
      <c r="T35" s="25"/>
      <c r="U35" s="2"/>
      <c r="V35" s="64"/>
    </row>
    <row r="36" spans="2:22" ht="45" customHeight="1" x14ac:dyDescent="0.7">
      <c r="B36" s="32" t="s">
        <v>1616</v>
      </c>
      <c r="C36" s="1167"/>
      <c r="D36" s="5">
        <f>+'Seguridad Humana'!J175</f>
        <v>0.30833333333333335</v>
      </c>
      <c r="E36" s="5">
        <f>+'Seguridad Humana'!K175</f>
        <v>0.48893333333333339</v>
      </c>
      <c r="F36" s="5">
        <f>+'Seguridad Humana'!L175</f>
        <v>0.25829999999999997</v>
      </c>
      <c r="G36" s="5">
        <f t="shared" si="6"/>
        <v>0.87200833333333339</v>
      </c>
      <c r="H36" s="5">
        <v>1</v>
      </c>
      <c r="I36" s="5">
        <f>+'Seguridad Humana'!M175</f>
        <v>0.20500000000000002</v>
      </c>
      <c r="J36" s="5">
        <f>+'Seguridad Humana'!N175</f>
        <v>0.46671999999999997</v>
      </c>
      <c r="K36" s="5">
        <f>+'Seguridad Humana'!AD175</f>
        <v>1</v>
      </c>
      <c r="L36" s="5">
        <v>0.33614128532133036</v>
      </c>
      <c r="M36" s="5">
        <f>+'Seguridad Humana'!AE175</f>
        <v>0.72925518879719931</v>
      </c>
      <c r="N36" s="5">
        <f>+'Seguridad Humana'!AI175</f>
        <v>0.383075</v>
      </c>
      <c r="O36" s="5">
        <f>+'Seguridad Humana'!AJ175</f>
        <v>0.76648888888888889</v>
      </c>
      <c r="P36" s="5">
        <f>+'Seguridad Humana'!AK175</f>
        <v>0.89195000000000002</v>
      </c>
      <c r="Q36" s="33">
        <f>+'Seguridad Humana'!AL175</f>
        <v>2.6718500000000003E-2</v>
      </c>
      <c r="R36" s="33">
        <f>+'Seguridad Humana'!AM175</f>
        <v>0.75401999999999991</v>
      </c>
      <c r="S36" s="33">
        <f>+'Seguridad Humana'!AN175</f>
        <v>0.88581500000000002</v>
      </c>
      <c r="T36" s="25"/>
      <c r="U36" s="2"/>
      <c r="V36" s="64"/>
    </row>
    <row r="37" spans="2:22" ht="30.6" customHeight="1" x14ac:dyDescent="0.7">
      <c r="B37" s="32" t="s">
        <v>1631</v>
      </c>
      <c r="C37" s="1167"/>
      <c r="D37" s="5">
        <f>+'Seguridad Humana'!J179</f>
        <v>0.1752103260310604</v>
      </c>
      <c r="E37" s="5">
        <f>+'Seguridad Humana'!K179</f>
        <v>0.31178031471767975</v>
      </c>
      <c r="F37" s="5">
        <f>+'Seguridad Humana'!L179</f>
        <v>0.37729867324899724</v>
      </c>
      <c r="G37" s="5">
        <f t="shared" si="6"/>
        <v>0.42014576416743804</v>
      </c>
      <c r="H37" s="5">
        <f t="shared" si="5"/>
        <v>0.79539924663169803</v>
      </c>
      <c r="I37" s="5">
        <f>+'Seguridad Humana'!M179</f>
        <v>0.17445397511056257</v>
      </c>
      <c r="J37" s="5">
        <f>+'Seguridad Humana'!N179</f>
        <v>0.31513853748842946</v>
      </c>
      <c r="K37" s="5">
        <f>+'Seguridad Humana'!AD179</f>
        <v>0.94106875000000001</v>
      </c>
      <c r="L37" s="5">
        <v>0.30189780163599178</v>
      </c>
      <c r="M37" s="5">
        <f>+'Seguridad Humana'!AE179</f>
        <v>0.62487280163599179</v>
      </c>
      <c r="N37" s="5">
        <f>+'Seguridad Humana'!AI179</f>
        <v>0.1083654494497583</v>
      </c>
      <c r="O37" s="5">
        <f>+'Seguridad Humana'!AJ179</f>
        <v>0.41810057338270079</v>
      </c>
      <c r="P37" s="5">
        <f>+'Seguridad Humana'!AK179</f>
        <v>0.65516446621413138</v>
      </c>
      <c r="Q37" s="33">
        <f>+'Seguridad Humana'!AL179</f>
        <v>1.2047093098837808E-2</v>
      </c>
      <c r="R37" s="33">
        <f>+'Seguridad Humana'!AM179</f>
        <v>0.4377733158490178</v>
      </c>
      <c r="S37" s="33">
        <f>+'Seguridad Humana'!AN179</f>
        <v>0.684038715828448</v>
      </c>
      <c r="T37" s="25"/>
      <c r="U37" s="2"/>
      <c r="V37" s="64"/>
    </row>
    <row r="38" spans="2:22" ht="34.200000000000003" customHeight="1" x14ac:dyDescent="0.7">
      <c r="B38" s="32" t="s">
        <v>1632</v>
      </c>
      <c r="C38" s="1167"/>
      <c r="D38" s="5">
        <f>+'Seguridad Humana'!J184</f>
        <v>4.2000000000000003E-2</v>
      </c>
      <c r="E38" s="5">
        <f>+'Seguridad Humana'!K184</f>
        <v>0.33</v>
      </c>
      <c r="F38" s="5">
        <f>+'Seguridad Humana'!L184</f>
        <v>0.33</v>
      </c>
      <c r="G38" s="5">
        <f t="shared" si="6"/>
        <v>0.33</v>
      </c>
      <c r="H38" s="5">
        <f t="shared" si="5"/>
        <v>0.35500000000000004</v>
      </c>
      <c r="I38" s="5">
        <f>+'Seguridad Humana'!M184</f>
        <v>4.2000000000000003E-2</v>
      </c>
      <c r="J38" s="5">
        <f>+'Seguridad Humana'!N184</f>
        <v>0.33</v>
      </c>
      <c r="K38" s="5">
        <f>+'Seguridad Humana'!AD184</f>
        <v>7.575757575757576E-2</v>
      </c>
      <c r="L38" s="5">
        <v>0</v>
      </c>
      <c r="M38" s="5">
        <f>+'Seguridad Humana'!AE184</f>
        <v>0</v>
      </c>
      <c r="N38" s="5">
        <f>+'Seguridad Humana'!AI184</f>
        <v>0</v>
      </c>
      <c r="O38" s="5">
        <f>+'Seguridad Humana'!AJ184</f>
        <v>2.5000000000000001E-2</v>
      </c>
      <c r="P38" s="5">
        <f>+'Seguridad Humana'!AK184</f>
        <v>2.5000000000000001E-2</v>
      </c>
      <c r="Q38" s="33">
        <f>+'Seguridad Humana'!AL184</f>
        <v>0</v>
      </c>
      <c r="R38" s="33">
        <f>+'Seguridad Humana'!AM184</f>
        <v>2.5000000000000001E-2</v>
      </c>
      <c r="S38" s="33">
        <f>+'Seguridad Humana'!AN184</f>
        <v>2.5000000000000001E-2</v>
      </c>
      <c r="T38" s="25"/>
      <c r="U38" s="2"/>
      <c r="V38" s="64"/>
    </row>
    <row r="39" spans="2:22" ht="53.4" customHeight="1" x14ac:dyDescent="0.7">
      <c r="B39" s="32" t="s">
        <v>1633</v>
      </c>
      <c r="C39" s="1167"/>
      <c r="D39" s="5">
        <f>+'Seguridad Humana'!J186</f>
        <v>0.13873355263157894</v>
      </c>
      <c r="E39" s="5">
        <f>+'Seguridad Humana'!K186</f>
        <v>0.30382894736842103</v>
      </c>
      <c r="F39" s="5">
        <f>+'Seguridad Humana'!L186</f>
        <v>0.26398026315789475</v>
      </c>
      <c r="G39" s="5">
        <f t="shared" si="6"/>
        <v>0.48595970394736843</v>
      </c>
      <c r="H39" s="5">
        <f t="shared" si="5"/>
        <v>0.8467506578947368</v>
      </c>
      <c r="I39" s="5">
        <f>+'Seguridad Humana'!M186</f>
        <v>0.11001315789473685</v>
      </c>
      <c r="J39" s="5">
        <f>+'Seguridad Humana'!N186</f>
        <v>0.30417105263157895</v>
      </c>
      <c r="K39" s="5">
        <f>+'Seguridad Humana'!AD186</f>
        <v>0.98120000000000007</v>
      </c>
      <c r="L39" s="5">
        <v>8.4964285714285714E-2</v>
      </c>
      <c r="M39" s="5">
        <f>+'Seguridad Humana'!AE186</f>
        <v>0.32500000000000001</v>
      </c>
      <c r="N39" s="5">
        <f>+'Seguridad Humana'!AI186</f>
        <v>0.18213075657894739</v>
      </c>
      <c r="O39" s="5">
        <f>+'Seguridad Humana'!AJ186</f>
        <v>0.58277039473684211</v>
      </c>
      <c r="P39" s="5">
        <f>+'Seguridad Humana'!AK186</f>
        <v>0.64975460526315787</v>
      </c>
      <c r="Q39" s="33">
        <f>+'Seguridad Humana'!AL186</f>
        <v>1.4271164473684213E-2</v>
      </c>
      <c r="R39" s="33">
        <f>+'Seguridad Humana'!AM186</f>
        <v>0.58047085526315789</v>
      </c>
      <c r="S39" s="33">
        <f>+'Seguridad Humana'!AN186</f>
        <v>0.64707164473684209</v>
      </c>
      <c r="T39" s="25"/>
      <c r="U39" s="2"/>
      <c r="V39" s="64"/>
    </row>
    <row r="40" spans="2:22" ht="33" customHeight="1" x14ac:dyDescent="0.7">
      <c r="B40" s="32" t="s">
        <v>1620</v>
      </c>
      <c r="C40" s="1167"/>
      <c r="D40" s="5">
        <f>+'Seguridad Humana'!J192</f>
        <v>1.2500000000000001E-2</v>
      </c>
      <c r="E40" s="5">
        <f>+'Seguridad Humana'!K192</f>
        <v>0.31666666666666665</v>
      </c>
      <c r="F40" s="5">
        <f>+'Seguridad Humana'!L192</f>
        <v>0.42500000000000004</v>
      </c>
      <c r="G40" s="5">
        <f t="shared" ref="G40:G67" si="15">+N40+E40</f>
        <v>0.32916666666666666</v>
      </c>
      <c r="H40" s="5">
        <f t="shared" si="5"/>
        <v>0.51005833333333339</v>
      </c>
      <c r="I40" s="5">
        <f>+'Seguridad Humana'!M192</f>
        <v>3.7499999999999999E-3</v>
      </c>
      <c r="J40" s="5">
        <f>+'Seguridad Humana'!N192</f>
        <v>0.32333333333333331</v>
      </c>
      <c r="K40" s="5">
        <f>+'Seguridad Humana'!AD192</f>
        <v>0.24791666666666667</v>
      </c>
      <c r="L40" s="5">
        <v>8.8749999999999996E-2</v>
      </c>
      <c r="M40" s="5">
        <f>+'Seguridad Humana'!AE192</f>
        <v>0.11466666666666667</v>
      </c>
      <c r="N40" s="5">
        <f>+'Seguridad Humana'!AI192</f>
        <v>1.2500000000000001E-2</v>
      </c>
      <c r="O40" s="5">
        <f>+'Seguridad Humana'!AJ192</f>
        <v>8.5058333333333333E-2</v>
      </c>
      <c r="P40" s="5">
        <f>+'Seguridad Humana'!AK192</f>
        <v>0.13178333333333334</v>
      </c>
      <c r="Q40" s="33">
        <f>+'Seguridad Humana'!AL192</f>
        <v>3.7500000000000001E-4</v>
      </c>
      <c r="R40" s="33">
        <f>+'Seguridad Humana'!AM192</f>
        <v>8.6501666666666671E-2</v>
      </c>
      <c r="S40" s="33">
        <f>+'Seguridad Humana'!AN192</f>
        <v>0.14573666666666665</v>
      </c>
      <c r="T40" s="25"/>
      <c r="U40" s="2"/>
      <c r="V40" s="64"/>
    </row>
    <row r="41" spans="2:22" ht="53.4" customHeight="1" x14ac:dyDescent="0.7">
      <c r="B41" s="32" t="s">
        <v>1621</v>
      </c>
      <c r="C41" s="1167"/>
      <c r="D41" s="5">
        <f>+'Seguridad Humana'!J195</f>
        <v>0.19771672771672774</v>
      </c>
      <c r="E41" s="5">
        <f>+'Seguridad Humana'!K195</f>
        <v>0.28894993894993898</v>
      </c>
      <c r="F41" s="5">
        <f>+'Seguridad Humana'!L195</f>
        <v>0.23064713064713063</v>
      </c>
      <c r="G41" s="5">
        <f t="shared" si="15"/>
        <v>0.4896703296703297</v>
      </c>
      <c r="H41" s="5">
        <f t="shared" si="5"/>
        <v>0.81882783882783872</v>
      </c>
      <c r="I41" s="5">
        <f>+'Seguridad Humana'!M195</f>
        <v>0.19857509157509157</v>
      </c>
      <c r="J41" s="5">
        <f>+'Seguridad Humana'!N195</f>
        <v>0.29342490842490843</v>
      </c>
      <c r="K41" s="5">
        <f>+'Seguridad Humana'!AD195</f>
        <v>0.99259259259259258</v>
      </c>
      <c r="L41" s="5">
        <v>0.47455197132616483</v>
      </c>
      <c r="M41" s="5">
        <f>+'Seguridad Humana'!AE195</f>
        <v>0.88888888888888884</v>
      </c>
      <c r="N41" s="5">
        <f>+'Seguridad Humana'!AI195</f>
        <v>0.20072039072039072</v>
      </c>
      <c r="O41" s="5">
        <f>+'Seguridad Humana'!AJ195</f>
        <v>0.58818070818070811</v>
      </c>
      <c r="P41" s="5">
        <f>+'Seguridad Humana'!AK195</f>
        <v>0.79251526251526261</v>
      </c>
      <c r="Q41" s="33">
        <f>+'Seguridad Humana'!AL195</f>
        <v>1.9708058608058607E-2</v>
      </c>
      <c r="R41" s="33">
        <f>+'Seguridad Humana'!AM195</f>
        <v>0.64027106227106223</v>
      </c>
      <c r="S41" s="33">
        <f>+'Seguridad Humana'!AN195</f>
        <v>0.83677289377289377</v>
      </c>
      <c r="T41" s="25"/>
      <c r="U41" s="2"/>
      <c r="V41" s="64"/>
    </row>
    <row r="42" spans="2:22" ht="48.6" customHeight="1" x14ac:dyDescent="0.7">
      <c r="B42" s="32" t="s">
        <v>1622</v>
      </c>
      <c r="C42" s="1167"/>
      <c r="D42" s="5">
        <f>+'Seguridad Humana'!J199</f>
        <v>0.14374999999999999</v>
      </c>
      <c r="E42" s="5">
        <f>+'Seguridad Humana'!K199</f>
        <v>0.36074640522875817</v>
      </c>
      <c r="F42" s="5">
        <f>+'Seguridad Humana'!L199</f>
        <v>0.30612745098039212</v>
      </c>
      <c r="G42" s="5">
        <f t="shared" si="15"/>
        <v>0.61816307189542485</v>
      </c>
      <c r="H42" s="5">
        <f t="shared" si="5"/>
        <v>0.72476470588235298</v>
      </c>
      <c r="I42" s="5">
        <f>+'Seguridad Humana'!M199</f>
        <v>6.7500000000000004E-2</v>
      </c>
      <c r="J42" s="5">
        <f>+'Seguridad Humana'!N199</f>
        <v>0.36927960784313729</v>
      </c>
      <c r="K42" s="5">
        <f>+'Seguridad Humana'!AD199</f>
        <v>0.70303030303030312</v>
      </c>
      <c r="L42" s="5">
        <v>4.6175438596491224E-2</v>
      </c>
      <c r="M42" s="5">
        <f>+'Seguridad Humana'!AE199</f>
        <v>0.12922807017543858</v>
      </c>
      <c r="N42" s="5">
        <f>+'Seguridad Humana'!AI199</f>
        <v>0.25741666666666668</v>
      </c>
      <c r="O42" s="5">
        <f>+'Seguridad Humana'!AJ199</f>
        <v>0.4186372549019608</v>
      </c>
      <c r="P42" s="5">
        <f>+'Seguridad Humana'!AK199</f>
        <v>0.46964052287581698</v>
      </c>
      <c r="Q42" s="33">
        <f>+'Seguridad Humana'!AL199</f>
        <v>1.4611666666666665E-2</v>
      </c>
      <c r="R42" s="33">
        <f>+'Seguridad Humana'!AM199</f>
        <v>0.40015588235294119</v>
      </c>
      <c r="S42" s="33">
        <f>+'Seguridad Humana'!AN199</f>
        <v>0.43291078431372548</v>
      </c>
      <c r="T42" s="25"/>
      <c r="U42" s="2"/>
      <c r="V42" s="64"/>
    </row>
    <row r="43" spans="2:22" ht="60.6" customHeight="1" x14ac:dyDescent="0.7">
      <c r="B43" s="32" t="s">
        <v>1634</v>
      </c>
      <c r="C43" s="1167"/>
      <c r="D43" s="5">
        <f>+'Seguridad Humana'!J203</f>
        <v>0.24264705882352941</v>
      </c>
      <c r="E43" s="5">
        <f>+'Seguridad Humana'!K203</f>
        <v>0.30147058823529416</v>
      </c>
      <c r="F43" s="5">
        <f>+'Seguridad Humana'!L203</f>
        <v>0.24264705882352941</v>
      </c>
      <c r="G43" s="5">
        <f t="shared" si="15"/>
        <v>0.54411764705882359</v>
      </c>
      <c r="H43" s="5">
        <f t="shared" si="5"/>
        <v>0.81617647058823528</v>
      </c>
      <c r="I43" s="5">
        <f>+'Seguridad Humana'!M203</f>
        <v>0.24044117647058824</v>
      </c>
      <c r="J43" s="5">
        <f>+'Seguridad Humana'!N203</f>
        <v>0.31691176470588234</v>
      </c>
      <c r="K43" s="5">
        <f>+'Seguridad Humana'!AD203</f>
        <v>1</v>
      </c>
      <c r="L43" s="5">
        <v>0</v>
      </c>
      <c r="M43" s="5">
        <f>+'Seguridad Humana'!AE203</f>
        <v>0.75</v>
      </c>
      <c r="N43" s="5">
        <f>+'Seguridad Humana'!AI203</f>
        <v>0.24264705882352941</v>
      </c>
      <c r="O43" s="5">
        <f>+'Seguridad Humana'!AJ203</f>
        <v>0.57352941176470584</v>
      </c>
      <c r="P43" s="5">
        <f>+'Seguridad Humana'!AK203</f>
        <v>0.75735294117647056</v>
      </c>
      <c r="Q43" s="33">
        <f>+'Seguridad Humana'!AL203</f>
        <v>2.4044117647058827E-2</v>
      </c>
      <c r="R43" s="33">
        <f>+'Seguridad Humana'!AM203</f>
        <v>0.59558823529411775</v>
      </c>
      <c r="S43" s="33">
        <f>+'Seguridad Humana'!AN203</f>
        <v>0.75955882352941173</v>
      </c>
      <c r="T43" s="25"/>
      <c r="U43" s="2"/>
      <c r="V43" s="64"/>
    </row>
    <row r="44" spans="2:22" ht="47.4" customHeight="1" x14ac:dyDescent="0.7">
      <c r="B44" s="32" t="s">
        <v>1625</v>
      </c>
      <c r="C44" s="1167"/>
      <c r="D44" s="5">
        <f>+'Seguridad Humana'!J206</f>
        <v>0.20833333333333331</v>
      </c>
      <c r="E44" s="5">
        <f>+'Seguridad Humana'!K206</f>
        <v>0.2361111111111111</v>
      </c>
      <c r="F44" s="5">
        <f>+'Seguridad Humana'!L206</f>
        <v>0.21666666666666667</v>
      </c>
      <c r="G44" s="5">
        <f t="shared" si="15"/>
        <v>0.34305555555555556</v>
      </c>
      <c r="H44" s="5">
        <f t="shared" si="5"/>
        <v>0.80138888888888893</v>
      </c>
      <c r="I44" s="5">
        <f>+'Seguridad Humana'!M206</f>
        <v>0.2</v>
      </c>
      <c r="J44" s="5">
        <f>+'Seguridad Humana'!N206</f>
        <v>0.23888888888888887</v>
      </c>
      <c r="K44" s="5">
        <f>+'Seguridad Humana'!AD206</f>
        <v>1</v>
      </c>
      <c r="L44" s="5">
        <v>8.2582582582582581E-2</v>
      </c>
      <c r="M44" s="5">
        <f>+'Seguridad Humana'!AE206</f>
        <v>0.3858858858858859</v>
      </c>
      <c r="N44" s="5">
        <f>+'Seguridad Humana'!AI206</f>
        <v>0.10694444444444444</v>
      </c>
      <c r="O44" s="5">
        <f>+'Seguridad Humana'!AJ206</f>
        <v>0.58472222222222225</v>
      </c>
      <c r="P44" s="5">
        <f>+'Seguridad Humana'!AK206</f>
        <v>0.65277777777777779</v>
      </c>
      <c r="Q44" s="33">
        <f>+'Seguridad Humana'!AL206</f>
        <v>5.8611111111111112E-3</v>
      </c>
      <c r="R44" s="33">
        <f>+'Seguridad Humana'!AM206</f>
        <v>0.55444444444444452</v>
      </c>
      <c r="S44" s="33">
        <f>+'Seguridad Humana'!AN206</f>
        <v>0.62222222222222223</v>
      </c>
      <c r="T44" s="25"/>
      <c r="U44" s="2"/>
      <c r="V44" s="64"/>
    </row>
    <row r="45" spans="2:22" ht="81" customHeight="1" x14ac:dyDescent="0.7">
      <c r="B45" s="35" t="s">
        <v>1624</v>
      </c>
      <c r="C45" s="1168"/>
      <c r="D45" s="36">
        <f>+'Seguridad Humana'!J209</f>
        <v>0.14262820512820512</v>
      </c>
      <c r="E45" s="36">
        <f>+'Seguridad Humana'!K209</f>
        <v>0.22275641025641027</v>
      </c>
      <c r="F45" s="36">
        <f>+'Seguridad Humana'!L209</f>
        <v>0.625</v>
      </c>
      <c r="G45" s="36">
        <f t="shared" si="15"/>
        <v>0.46314102564102566</v>
      </c>
      <c r="H45" s="36">
        <v>1</v>
      </c>
      <c r="I45" s="36">
        <f>+'Seguridad Humana'!M209</f>
        <v>0.15576923076923077</v>
      </c>
      <c r="J45" s="36">
        <f>+'Seguridad Humana'!N209</f>
        <v>0</v>
      </c>
      <c r="K45" s="36">
        <f>+'Seguridad Humana'!AD209</f>
        <v>0.9642857142857143</v>
      </c>
      <c r="L45" s="36">
        <v>0.5</v>
      </c>
      <c r="M45" s="36">
        <f>+'Seguridad Humana'!AE209</f>
        <v>0.5</v>
      </c>
      <c r="N45" s="36">
        <f>+'Seguridad Humana'!AI209</f>
        <v>0.24038461538461539</v>
      </c>
      <c r="O45" s="36">
        <f>+'Seguridad Humana'!AJ209</f>
        <v>0.76041666666666674</v>
      </c>
      <c r="P45" s="36">
        <f>+'Seguridad Humana'!AK209</f>
        <v>0.76041666666666674</v>
      </c>
      <c r="Q45" s="37">
        <f>+'Seguridad Humana'!AL209</f>
        <v>2.4230769230769233E-2</v>
      </c>
      <c r="R45" s="37">
        <f>+'Seguridad Humana'!AM209</f>
        <v>0.71250000000000002</v>
      </c>
      <c r="S45" s="37">
        <f>+'Seguridad Humana'!AN209</f>
        <v>0.71250000000000002</v>
      </c>
      <c r="T45" s="25"/>
      <c r="U45" s="2"/>
      <c r="V45" s="64"/>
    </row>
    <row r="46" spans="2:22" ht="61.2" x14ac:dyDescent="0.7">
      <c r="B46" s="38" t="str">
        <f>+'Vida Digna'!B3:C3</f>
        <v xml:space="preserve"> VIDA DIGNA
</v>
      </c>
      <c r="C46" s="1169">
        <v>0.2</v>
      </c>
      <c r="D46" s="645">
        <f>+'Vida Digna'!J3</f>
        <v>0.25323854832043019</v>
      </c>
      <c r="E46" s="645">
        <f>+'Vida Digna'!K3</f>
        <v>0.29872026705958277</v>
      </c>
      <c r="F46" s="645">
        <f>+'Vida Digna'!L3</f>
        <v>0.31001232315895783</v>
      </c>
      <c r="G46" s="645">
        <f t="shared" si="15"/>
        <v>0.51679316213702775</v>
      </c>
      <c r="H46" s="645">
        <f t="shared" si="5"/>
        <v>0.82276088820641258</v>
      </c>
      <c r="I46" s="645">
        <f>+'Vida Digna'!M3</f>
        <v>0.20215522261646302</v>
      </c>
      <c r="J46" s="645">
        <f>+'Vida Digna'!N3</f>
        <v>0.26377249543649056</v>
      </c>
      <c r="K46" s="645">
        <f>+'Vida Digna'!AD3</f>
        <v>0.71907447715303718</v>
      </c>
      <c r="L46" s="645">
        <v>0.27856668470614288</v>
      </c>
      <c r="M46" s="645">
        <f>+'Vida Digna'!AE3</f>
        <v>0.53094458900377417</v>
      </c>
      <c r="N46" s="645">
        <f>+'Vida Digna'!AI3</f>
        <v>0.21807289507744496</v>
      </c>
      <c r="O46" s="645">
        <f>+'Vida Digna'!AJ3</f>
        <v>0.5127485650474547</v>
      </c>
      <c r="P46" s="1055">
        <f>+'Vida Digna'!AK3</f>
        <v>0.63168445247603899</v>
      </c>
      <c r="Q46" s="646">
        <f>+'Vida Digna'!AL3</f>
        <v>0.17961900387690335</v>
      </c>
      <c r="R46" s="646">
        <f>+'Vida Digna'!AM3</f>
        <v>0.48090129462939524</v>
      </c>
      <c r="S46" s="646">
        <f>+'Vida Digna'!AN3</f>
        <v>0.58988272717320955</v>
      </c>
      <c r="T46" s="25"/>
      <c r="U46" s="2"/>
      <c r="V46" s="64"/>
    </row>
    <row r="47" spans="2:22" ht="84.6" customHeight="1" x14ac:dyDescent="0.7">
      <c r="B47" s="30" t="str">
        <f>+'Vida Digna'!B4:C4</f>
        <v xml:space="preserve"> Educación
</v>
      </c>
      <c r="C47" s="1170"/>
      <c r="D47" s="23">
        <f>+(D48+D49+D50+D51+D52+D53+D54+D55+D56+D57+D58+D59+D60+D61+D62+D63)/15</f>
        <v>0.26981900399515463</v>
      </c>
      <c r="E47" s="23">
        <f>+(E48+E49+E50+E51+E52+E53+E54+E55+E56+E57+E58+E59+E60+E61+E62+E63)/16</f>
        <v>0.26016382169667063</v>
      </c>
      <c r="F47" s="23">
        <f>+(F48+F49+F50+F51+F52+F53+F54+F55+F56+F57+F58+F59+F60+F61+F62+F63)/16</f>
        <v>0.26864479781308737</v>
      </c>
      <c r="G47" s="23">
        <f t="shared" si="15"/>
        <v>0.4734945434130825</v>
      </c>
      <c r="H47" s="23">
        <f t="shared" si="5"/>
        <v>0.77414858915772211</v>
      </c>
      <c r="I47" s="24">
        <f>+(I48+I49+I50+I51+I52+I53+I54+I55+I56+I57+I58+I59+I60+I61+I62+I63)/15</f>
        <v>0.25378937395993473</v>
      </c>
      <c r="J47" s="24">
        <f t="shared" ref="J47" si="16">+(J48+J49+J50+J51+J52+J53+J54+J55+J56+J57+J58+J59+J60+J61+J62+J63)/15</f>
        <v>0.33318807472732404</v>
      </c>
      <c r="K47" s="24">
        <f>+(K48+K49+K50+K51+K52+K53+K54+K55+K56+K57+K58+K59+K60+K61+K62+K63)/16</f>
        <v>0.85063192848151603</v>
      </c>
      <c r="L47" s="24">
        <v>0.31459107233382766</v>
      </c>
      <c r="M47" s="24">
        <f>+(M48+M49+M50+M51+M52+M53+M54+M55+M56+M57+M58+M59+M60+M61+M62+M63)/16</f>
        <v>0.53873890382188561</v>
      </c>
      <c r="N47" s="23">
        <f>+(N48+N49+N50+N51+N52+N53+N54+N55+N56+N57+N58+N59+N60+N61+N62+N63)/15</f>
        <v>0.21333072171641188</v>
      </c>
      <c r="O47" s="23">
        <f>+(O48+O49+O50+O51+O52+O53+O54+O55+O56+O57+O58+O59+O60+O61+O62+O63)/16</f>
        <v>0.50550379134463475</v>
      </c>
      <c r="P47" s="23">
        <f>+(P48+P49+P50+P51+P52+P53+P54+P55+P56+P57+P58+P59+P60+P61+P62+P63)/16</f>
        <v>0.60716308793220919</v>
      </c>
      <c r="Q47" s="31">
        <f>+(Q48+Q49+Q50+Q51+Q52+Q53+Q54+Q55+Q56+Q57+Q58+Q59+Q60+Q61+Q62+Q63)</f>
        <v>0.19538897473062464</v>
      </c>
      <c r="R47" s="31">
        <f>+'Vida Digna'!AM4</f>
        <v>0.44645446238331843</v>
      </c>
      <c r="S47" s="31">
        <f>+'Vida Digna'!AN4</f>
        <v>0.5386949104853106</v>
      </c>
      <c r="T47" s="25"/>
      <c r="U47" s="2"/>
      <c r="V47" s="64"/>
    </row>
    <row r="48" spans="2:22" ht="32.4" customHeight="1" x14ac:dyDescent="0.7">
      <c r="B48" s="32" t="s">
        <v>1680</v>
      </c>
      <c r="C48" s="1170"/>
      <c r="D48" s="5">
        <f>+'Vida Digna'!J5</f>
        <v>0.13533333333333333</v>
      </c>
      <c r="E48" s="5">
        <f>+'Vida Digna'!K5</f>
        <v>0.26333333333333325</v>
      </c>
      <c r="F48" s="5">
        <f>+'Vida Digna'!L5</f>
        <v>0.36180555555555549</v>
      </c>
      <c r="G48" s="5">
        <f t="shared" si="15"/>
        <v>0.36946666666666661</v>
      </c>
      <c r="H48" s="5">
        <f t="shared" si="5"/>
        <v>0.65183333333333326</v>
      </c>
      <c r="I48" s="5">
        <f>+'Vida Digna'!M5</f>
        <v>0.12433333333333335</v>
      </c>
      <c r="J48" s="5">
        <f>+'Vida Digna'!N5</f>
        <v>1.2288333333333334</v>
      </c>
      <c r="K48" s="5">
        <f>+'Vida Digna'!AD5</f>
        <v>0.70866013071895428</v>
      </c>
      <c r="L48" s="5">
        <v>0.13186520222123937</v>
      </c>
      <c r="M48" s="5">
        <f>+'Vida Digna'!AE5</f>
        <v>0.2656690746474028</v>
      </c>
      <c r="N48" s="5">
        <f>+'Vida Digna'!AI5</f>
        <v>0.10613333333333333</v>
      </c>
      <c r="O48" s="5">
        <f>+'Vida Digna'!AJ5</f>
        <v>0.29002777777777777</v>
      </c>
      <c r="P48" s="5">
        <f>+'Vida Digna'!AK5</f>
        <v>0.39311111111111113</v>
      </c>
      <c r="Q48" s="33">
        <f>+'Vida Digna'!AL5</f>
        <v>2.4725000000000007E-2</v>
      </c>
      <c r="R48" s="33">
        <f>+'Vida Digna'!AM5</f>
        <v>0.34426666666666667</v>
      </c>
      <c r="S48" s="33">
        <f>+'Vida Digna'!AN5</f>
        <v>0.42336666666666672</v>
      </c>
      <c r="T48" s="25"/>
      <c r="U48" s="2"/>
      <c r="V48" s="64"/>
    </row>
    <row r="49" spans="2:22" ht="50.4" customHeight="1" x14ac:dyDescent="0.7">
      <c r="B49" s="32" t="s">
        <v>1638</v>
      </c>
      <c r="C49" s="1170"/>
      <c r="D49" s="5">
        <f>+'Vida Digna'!J12</f>
        <v>0.33035714285714285</v>
      </c>
      <c r="E49" s="5">
        <f>+'Vida Digna'!K12</f>
        <v>0.43154761904761907</v>
      </c>
      <c r="F49" s="5">
        <f>+'Vida Digna'!L12</f>
        <v>0.24404761904761904</v>
      </c>
      <c r="G49" s="5">
        <f t="shared" si="15"/>
        <v>0.66666666666666674</v>
      </c>
      <c r="H49" s="5">
        <f t="shared" si="5"/>
        <v>0.81845238095238093</v>
      </c>
      <c r="I49" s="5">
        <f>+'Vida Digna'!M12</f>
        <v>0.33928571428571425</v>
      </c>
      <c r="J49" s="5">
        <f>+'Vida Digna'!N12</f>
        <v>0.47023809523809523</v>
      </c>
      <c r="K49" s="5">
        <f>+'Vida Digna'!AD12</f>
        <v>1</v>
      </c>
      <c r="L49" s="5">
        <v>0.5</v>
      </c>
      <c r="M49" s="5">
        <f>+'Vida Digna'!AE12</f>
        <v>0.5</v>
      </c>
      <c r="N49" s="5">
        <f>+'Vida Digna'!AI12</f>
        <v>0.23511904761904762</v>
      </c>
      <c r="O49" s="5">
        <f>+'Vida Digna'!AJ12</f>
        <v>0.57440476190476186</v>
      </c>
      <c r="P49" s="5">
        <f>+'Vida Digna'!AK12</f>
        <v>0.69940476190476186</v>
      </c>
      <c r="Q49" s="33">
        <f>+'Vida Digna'!AL12</f>
        <v>5.261904761904761E-3</v>
      </c>
      <c r="R49" s="33">
        <f>+'Vida Digna'!AM12</f>
        <v>0.58452380952380956</v>
      </c>
      <c r="S49" s="33">
        <f>+'Vida Digna'!AN12</f>
        <v>0.73452380952380958</v>
      </c>
      <c r="T49" s="25"/>
      <c r="U49" s="2"/>
      <c r="V49" s="64"/>
    </row>
    <row r="50" spans="2:22" ht="39.6" customHeight="1" x14ac:dyDescent="0.7">
      <c r="B50" s="32" t="s">
        <v>1681</v>
      </c>
      <c r="C50" s="1170"/>
      <c r="D50" s="5">
        <f>+'Vida Digna'!J15</f>
        <v>0.24305555555555555</v>
      </c>
      <c r="E50" s="5">
        <f>+'Vida Digna'!K15</f>
        <v>0.26562064156206416</v>
      </c>
      <c r="F50" s="5">
        <f>+'Vida Digna'!L15</f>
        <v>0.29013947001394697</v>
      </c>
      <c r="G50" s="5">
        <f t="shared" si="15"/>
        <v>0.51059598300484288</v>
      </c>
      <c r="H50" s="5">
        <f t="shared" si="5"/>
        <v>0.68818619810177828</v>
      </c>
      <c r="I50" s="5">
        <f>+'Vida Digna'!M15</f>
        <v>0.22361111111111112</v>
      </c>
      <c r="J50" s="5">
        <f>+'Vida Digna'!N15</f>
        <v>0.2536436541143654</v>
      </c>
      <c r="K50" s="5">
        <f>+'Vida Digna'!AD15</f>
        <v>0.74378181818181821</v>
      </c>
      <c r="L50" s="5">
        <v>0.29472727272727273</v>
      </c>
      <c r="M50" s="5">
        <f>+'Vida Digna'!AE15</f>
        <v>0.49806060606060604</v>
      </c>
      <c r="N50" s="5">
        <f>+'Vida Digna'!AI15</f>
        <v>0.24497534144277869</v>
      </c>
      <c r="O50" s="5">
        <f>+'Vida Digna'!AJ15</f>
        <v>0.39804672808783126</v>
      </c>
      <c r="P50" s="5">
        <f>+'Vida Digna'!AK15</f>
        <v>0.5303396573807605</v>
      </c>
      <c r="Q50" s="33">
        <f>+'Vida Digna'!AL15</f>
        <v>2.2443072307612263E-2</v>
      </c>
      <c r="R50" s="33">
        <f>+'Vida Digna'!AM15</f>
        <v>0.43835776173121815</v>
      </c>
      <c r="S50" s="33">
        <f>+'Vida Digna'!AN15</f>
        <v>0.584817357690814</v>
      </c>
      <c r="T50" s="25"/>
      <c r="U50" s="2"/>
      <c r="V50" s="64"/>
    </row>
    <row r="51" spans="2:22" ht="36.6" x14ac:dyDescent="0.7">
      <c r="B51" s="32" t="s">
        <v>1640</v>
      </c>
      <c r="C51" s="1170"/>
      <c r="D51" s="5">
        <f>+'Vida Digna'!J21</f>
        <v>0.28974632671496775</v>
      </c>
      <c r="E51" s="5">
        <f>+'Vida Digna'!K21</f>
        <v>0.22570672713529855</v>
      </c>
      <c r="F51" s="5">
        <f>+'Vida Digna'!L21</f>
        <v>0.21716221447928766</v>
      </c>
      <c r="G51" s="5">
        <f t="shared" si="15"/>
        <v>0.6101491436683073</v>
      </c>
      <c r="H51" s="5">
        <f t="shared" si="5"/>
        <v>0.76486380270265286</v>
      </c>
      <c r="I51" s="5">
        <f>+'Vida Digna'!M21</f>
        <v>0.28333533359143115</v>
      </c>
      <c r="J51" s="5">
        <f>+'Vida Digna'!N21</f>
        <v>0.22066402116402117</v>
      </c>
      <c r="K51" s="5">
        <f>+'Vida Digna'!AD21</f>
        <v>0.75412917795844614</v>
      </c>
      <c r="L51" s="5">
        <v>0.61597492523579489</v>
      </c>
      <c r="M51" s="5">
        <f>+'Vida Digna'!AE21</f>
        <v>0.6380292155509546</v>
      </c>
      <c r="N51" s="5">
        <f>+'Vida Digna'!AI21</f>
        <v>0.38444241653300881</v>
      </c>
      <c r="O51" s="5">
        <f>+'Vida Digna'!AJ21</f>
        <v>0.54770158822336523</v>
      </c>
      <c r="P51" s="5">
        <f>+'Vida Digna'!AK21</f>
        <v>0.67018090352672233</v>
      </c>
      <c r="Q51" s="33">
        <f>+'Vida Digna'!AL21</f>
        <v>3.9090985933668859E-2</v>
      </c>
      <c r="R51" s="33">
        <f>+'Vida Digna'!AM21</f>
        <v>0.56458837430636211</v>
      </c>
      <c r="S51" s="33">
        <f>+'Vida Digna'!AN21</f>
        <v>0.68045505065169709</v>
      </c>
      <c r="T51" s="25"/>
      <c r="U51" s="2"/>
      <c r="V51" s="64"/>
    </row>
    <row r="52" spans="2:22" ht="21.6" customHeight="1" x14ac:dyDescent="0.7">
      <c r="B52" s="32" t="s">
        <v>1641</v>
      </c>
      <c r="C52" s="1170"/>
      <c r="D52" s="5">
        <f>+'Vida Digna'!J29</f>
        <v>0.15707666719467767</v>
      </c>
      <c r="E52" s="5">
        <f>+'Vida Digna'!K29</f>
        <v>0.26624623792174879</v>
      </c>
      <c r="F52" s="5">
        <f>+'Vida Digna'!L29</f>
        <v>0.25778816199376947</v>
      </c>
      <c r="G52" s="5">
        <f t="shared" si="15"/>
        <v>0.5515008712181213</v>
      </c>
      <c r="H52" s="5">
        <v>1</v>
      </c>
      <c r="I52" s="5">
        <f>+'Vida Digna'!M29</f>
        <v>0.14557658799303025</v>
      </c>
      <c r="J52" s="5">
        <f>+'Vida Digna'!N29</f>
        <v>0.263632583557738</v>
      </c>
      <c r="K52" s="5">
        <f>+'Vida Digna'!AD29</f>
        <v>1</v>
      </c>
      <c r="L52" s="5">
        <v>0.80629539951573848</v>
      </c>
      <c r="M52" s="5">
        <f>+'Vida Digna'!AE29</f>
        <v>0.95535714285714279</v>
      </c>
      <c r="N52" s="5">
        <f>+'Vida Digna'!AI29</f>
        <v>0.28525463329637252</v>
      </c>
      <c r="O52" s="5">
        <f>+'Vida Digna'!AJ29</f>
        <v>0.78257167749089174</v>
      </c>
      <c r="P52" s="5">
        <f>+'Vida Digna'!AK29</f>
        <v>0.94934064628544268</v>
      </c>
      <c r="Q52" s="33">
        <f>+'Vida Digna'!AL29</f>
        <v>1.4958914145414224E-2</v>
      </c>
      <c r="R52" s="33">
        <f>+'Vida Digna'!AM29</f>
        <v>0.80359971487406945</v>
      </c>
      <c r="S52" s="33">
        <f>+'Vida Digna'!AN29</f>
        <v>0.95120980516394738</v>
      </c>
      <c r="T52" s="25"/>
      <c r="U52" s="2"/>
      <c r="V52" s="64"/>
    </row>
    <row r="53" spans="2:22" ht="37.200000000000003" customHeight="1" x14ac:dyDescent="0.7">
      <c r="B53" s="32" t="s">
        <v>1642</v>
      </c>
      <c r="C53" s="1170"/>
      <c r="D53" s="5">
        <f>+'Vida Digna'!J34</f>
        <v>0.44396853146853149</v>
      </c>
      <c r="E53" s="5">
        <f>+'Vida Digna'!K34</f>
        <v>0.2717074592074592</v>
      </c>
      <c r="F53" s="5">
        <f>+'Vida Digna'!L34</f>
        <v>0.12613636363636363</v>
      </c>
      <c r="G53" s="5">
        <f t="shared" si="15"/>
        <v>0.41523310023310023</v>
      </c>
      <c r="H53" s="5">
        <f t="shared" si="5"/>
        <v>0.76856060606060606</v>
      </c>
      <c r="I53" s="5">
        <f>+'Vida Digna'!M34</f>
        <v>0.55517482517482519</v>
      </c>
      <c r="J53" s="5">
        <f>+'Vida Digna'!N34</f>
        <v>0.28403263403263401</v>
      </c>
      <c r="K53" s="5">
        <f>+'Vida Digna'!AD34</f>
        <v>0.96666666666666667</v>
      </c>
      <c r="L53" s="5">
        <v>0.33333333333333331</v>
      </c>
      <c r="M53" s="5">
        <f>+'Vida Digna'!AE34</f>
        <v>0.5</v>
      </c>
      <c r="N53" s="5">
        <f>+'Vida Digna'!AI34</f>
        <v>0.14352564102564103</v>
      </c>
      <c r="O53" s="5">
        <f>+'Vida Digna'!AJ34</f>
        <v>0.64242424242424245</v>
      </c>
      <c r="P53" s="5">
        <f>+'Vida Digna'!AK34</f>
        <v>0.64242424242424245</v>
      </c>
      <c r="Q53" s="33">
        <f>+'Vida Digna'!AL34</f>
        <v>3.6297435897435898E-3</v>
      </c>
      <c r="R53" s="33">
        <f>+'Vida Digna'!AM34</f>
        <v>0.71393939393939398</v>
      </c>
      <c r="S53" s="33">
        <f>+'Vida Digna'!AN34</f>
        <v>0.71393939393939398</v>
      </c>
      <c r="T53" s="25"/>
      <c r="U53" s="2"/>
      <c r="V53" s="64"/>
    </row>
    <row r="54" spans="2:22" ht="36.6" x14ac:dyDescent="0.7">
      <c r="B54" s="32" t="s">
        <v>1682</v>
      </c>
      <c r="C54" s="1170"/>
      <c r="D54" s="5">
        <f>+'Vida Digna'!J39</f>
        <v>0.40860215053763443</v>
      </c>
      <c r="E54" s="5">
        <f>+'Vida Digna'!K39</f>
        <v>0.19892473118279572</v>
      </c>
      <c r="F54" s="5">
        <f>+'Vida Digna'!L39</f>
        <v>0.25</v>
      </c>
      <c r="G54" s="5">
        <f t="shared" si="15"/>
        <v>0.442349045274959</v>
      </c>
      <c r="H54" s="5">
        <f t="shared" si="5"/>
        <v>0.9699403239556692</v>
      </c>
      <c r="I54" s="5">
        <f>+'Vida Digna'!M39</f>
        <v>0.34516129032258069</v>
      </c>
      <c r="J54" s="5">
        <f>+'Vida Digna'!N39</f>
        <v>0.21935483870967742</v>
      </c>
      <c r="K54" s="5">
        <f>+'Vida Digna'!AD39</f>
        <v>0.84513213981244684</v>
      </c>
      <c r="L54" s="5">
        <v>0.1111111111111111</v>
      </c>
      <c r="M54" s="5">
        <f>+'Vida Digna'!AE39</f>
        <v>0.40185848252344414</v>
      </c>
      <c r="N54" s="5">
        <f>+'Vida Digna'!AI39</f>
        <v>0.24342431409216325</v>
      </c>
      <c r="O54" s="5">
        <f>+'Vida Digna'!AJ39</f>
        <v>0.7199403239556692</v>
      </c>
      <c r="P54" s="5">
        <f>+'Vida Digna'!AK39</f>
        <v>0.74873827791986358</v>
      </c>
      <c r="Q54" s="33">
        <f>+'Vida Digna'!AL39</f>
        <v>9.3589740945466543E-3</v>
      </c>
      <c r="R54" s="33">
        <f>+'Vida Digna'!AM39</f>
        <v>0.57991048593350381</v>
      </c>
      <c r="S54" s="33">
        <f>+'Vida Digna'!AN39</f>
        <v>0.62310741687979543</v>
      </c>
      <c r="T54" s="25"/>
      <c r="U54" s="2"/>
      <c r="V54" s="64"/>
    </row>
    <row r="55" spans="2:22" ht="34.200000000000003" customHeight="1" x14ac:dyDescent="0.7">
      <c r="B55" s="32" t="s">
        <v>1644</v>
      </c>
      <c r="C55" s="1170"/>
      <c r="D55" s="5">
        <f>+'Vida Digna'!J43</f>
        <v>0.40173750334135255</v>
      </c>
      <c r="E55" s="5">
        <f>+'Vida Digna'!K43</f>
        <v>0.22403635391606525</v>
      </c>
      <c r="F55" s="5">
        <f>+'Vida Digna'!L43</f>
        <v>0.21467187917669073</v>
      </c>
      <c r="G55" s="5">
        <f t="shared" si="15"/>
        <v>0.39633520449077786</v>
      </c>
      <c r="H55" s="5">
        <f t="shared" si="5"/>
        <v>0.73373630045442395</v>
      </c>
      <c r="I55" s="5">
        <f>+'Vida Digna'!M43</f>
        <v>0.32804397219994652</v>
      </c>
      <c r="J55" s="5">
        <f>+'Vida Digna'!N43</f>
        <v>0.24091753541833738</v>
      </c>
      <c r="K55" s="5">
        <f>+'Vida Digna'!AD43</f>
        <v>0.67272727272727273</v>
      </c>
      <c r="L55" s="5">
        <v>0.47272727272727266</v>
      </c>
      <c r="M55" s="5">
        <f>+'Vida Digna'!AE43</f>
        <v>0.6</v>
      </c>
      <c r="N55" s="5">
        <f>+'Vida Digna'!AI43</f>
        <v>0.17229885057471264</v>
      </c>
      <c r="O55" s="5">
        <f>+'Vida Digna'!AJ43</f>
        <v>0.51906442127773322</v>
      </c>
      <c r="P55" s="5">
        <f>+'Vida Digna'!AK43</f>
        <v>0.62542635658914725</v>
      </c>
      <c r="Q55" s="33">
        <f>+'Vida Digna'!AL43</f>
        <v>2.7574712643678163E-3</v>
      </c>
      <c r="R55" s="33">
        <f>+'Vida Digna'!AM43</f>
        <v>0.44778401496925957</v>
      </c>
      <c r="S55" s="33">
        <f>+'Vida Digna'!AN43</f>
        <v>0.6208527131782946</v>
      </c>
      <c r="T55" s="25"/>
      <c r="U55" s="2"/>
      <c r="V55" s="64"/>
    </row>
    <row r="56" spans="2:22" ht="25.95" customHeight="1" x14ac:dyDescent="0.7">
      <c r="B56" s="32" t="s">
        <v>1645</v>
      </c>
      <c r="C56" s="1170"/>
      <c r="D56" s="5">
        <f>+'Vida Digna'!J49</f>
        <v>0</v>
      </c>
      <c r="E56" s="5">
        <f>+'Vida Digna'!K49</f>
        <v>6.6666666666666666E-2</v>
      </c>
      <c r="F56" s="5">
        <f>+'Vida Digna'!L49</f>
        <v>0.33333333333333331</v>
      </c>
      <c r="G56" s="5">
        <f t="shared" si="15"/>
        <v>6.6666666666666666E-2</v>
      </c>
      <c r="H56" s="5">
        <f t="shared" si="5"/>
        <v>0.66666666666666663</v>
      </c>
      <c r="I56" s="5">
        <f>+'Vida Digna'!M49</f>
        <v>0</v>
      </c>
      <c r="J56" s="5">
        <f>+'Vida Digna'!N49</f>
        <v>6.6666666666666666E-2</v>
      </c>
      <c r="K56" s="5">
        <f>+'Vida Digna'!AD49</f>
        <v>1</v>
      </c>
      <c r="L56" s="5">
        <v>0</v>
      </c>
      <c r="M56" s="5">
        <f>+'Vida Digna'!AE49</f>
        <v>0.4</v>
      </c>
      <c r="N56" s="5">
        <f>+'Vida Digna'!AI49</f>
        <v>0</v>
      </c>
      <c r="O56" s="5">
        <f>+'Vida Digna'!AJ49</f>
        <v>0.33333333333333331</v>
      </c>
      <c r="P56" s="5">
        <f>+'Vida Digna'!AK49</f>
        <v>0.46666666666666667</v>
      </c>
      <c r="Q56" s="33">
        <f>+'Vida Digna'!AL49</f>
        <v>0</v>
      </c>
      <c r="R56" s="33">
        <f>+'Vida Digna'!AM49</f>
        <v>0.33333333333333331</v>
      </c>
      <c r="S56" s="33">
        <f>+'Vida Digna'!AN49</f>
        <v>0.46666666666666667</v>
      </c>
      <c r="T56" s="25"/>
      <c r="U56" s="2"/>
      <c r="V56" s="64"/>
    </row>
    <row r="57" spans="2:22" ht="55.95" customHeight="1" x14ac:dyDescent="0.7">
      <c r="B57" s="32" t="s">
        <v>1646</v>
      </c>
      <c r="C57" s="1170"/>
      <c r="D57" s="5">
        <f>+'Vida Digna'!J52</f>
        <v>0.20288161993769471</v>
      </c>
      <c r="E57" s="5">
        <f>+'Vida Digna'!K52</f>
        <v>0.21845794392523366</v>
      </c>
      <c r="F57" s="5">
        <f>+'Vida Digna'!L52</f>
        <v>0.25</v>
      </c>
      <c r="G57" s="5">
        <f t="shared" si="15"/>
        <v>0.60311526479750777</v>
      </c>
      <c r="H57" s="5">
        <v>1</v>
      </c>
      <c r="I57" s="5">
        <f>+'Vida Digna'!M52</f>
        <v>0.18177570093457943</v>
      </c>
      <c r="J57" s="5">
        <f>+'Vida Digna'!N52</f>
        <v>0.19813084112149532</v>
      </c>
      <c r="K57" s="5">
        <f>+'Vida Digna'!AD52</f>
        <v>0.98888888888888893</v>
      </c>
      <c r="L57" s="5">
        <v>0.15866666666666665</v>
      </c>
      <c r="M57" s="5">
        <f>+'Vida Digna'!AE52</f>
        <v>1</v>
      </c>
      <c r="N57" s="5">
        <f>+'Vida Digna'!AI52</f>
        <v>0.38465732087227411</v>
      </c>
      <c r="O57" s="5">
        <f>+'Vida Digna'!AJ52</f>
        <v>0.77749999999999997</v>
      </c>
      <c r="P57" s="5">
        <f>+'Vida Digna'!AK52</f>
        <v>0.91666666666666663</v>
      </c>
      <c r="Q57" s="33">
        <f>+'Vida Digna'!AL52</f>
        <v>7.6028037383177559E-3</v>
      </c>
      <c r="R57" s="33">
        <f>+'Vida Digna'!AM52</f>
        <v>0.84124999999999994</v>
      </c>
      <c r="S57" s="33">
        <f>+'Vida Digna'!AN52</f>
        <v>0.96249999999999991</v>
      </c>
      <c r="T57" s="25"/>
      <c r="U57" s="2"/>
      <c r="V57" s="64"/>
    </row>
    <row r="58" spans="2:22" ht="52.95" customHeight="1" x14ac:dyDescent="0.7">
      <c r="B58" s="32" t="s">
        <v>1647</v>
      </c>
      <c r="C58" s="1170"/>
      <c r="D58" s="5">
        <f>+'Vida Digna'!J56</f>
        <v>0.19781931464174454</v>
      </c>
      <c r="E58" s="5">
        <f>+'Vida Digna'!K56</f>
        <v>0.12694704049844238</v>
      </c>
      <c r="F58" s="5">
        <f>+'Vida Digna'!L56</f>
        <v>0.3259345794392523</v>
      </c>
      <c r="G58" s="5">
        <f t="shared" si="15"/>
        <v>0.24143302180685361</v>
      </c>
      <c r="H58" s="5">
        <f t="shared" si="5"/>
        <v>0.69852024922118372</v>
      </c>
      <c r="I58" s="5">
        <f>+'Vida Digna'!M56</f>
        <v>0.17172897196261683</v>
      </c>
      <c r="J58" s="5">
        <f>+'Vida Digna'!N56</f>
        <v>0.16542056074766354</v>
      </c>
      <c r="K58" s="5">
        <f>+'Vida Digna'!AD56</f>
        <v>1</v>
      </c>
      <c r="L58" s="5">
        <v>0.61627906976744184</v>
      </c>
      <c r="M58" s="5">
        <f>+'Vida Digna'!AE56</f>
        <v>0.7441860465116279</v>
      </c>
      <c r="N58" s="5">
        <f>+'Vida Digna'!AI56</f>
        <v>0.11448598130841121</v>
      </c>
      <c r="O58" s="5">
        <f>+'Vida Digna'!AJ56</f>
        <v>0.37258566978193147</v>
      </c>
      <c r="P58" s="5">
        <f>+'Vida Digna'!AK56</f>
        <v>0.39018691588785043</v>
      </c>
      <c r="Q58" s="33">
        <f>+'Vida Digna'!AL56</f>
        <v>2.9345794392523369E-3</v>
      </c>
      <c r="R58" s="33">
        <f>+'Vida Digna'!AM56</f>
        <v>0.47887850467289728</v>
      </c>
      <c r="S58" s="33">
        <f>+'Vida Digna'!AN56</f>
        <v>0.51028037383177571</v>
      </c>
      <c r="T58" s="25"/>
      <c r="U58" s="2"/>
      <c r="V58" s="64"/>
    </row>
    <row r="59" spans="2:22" ht="46.95" customHeight="1" x14ac:dyDescent="0.7">
      <c r="B59" s="32" t="s">
        <v>1683</v>
      </c>
      <c r="C59" s="1170"/>
      <c r="D59" s="5">
        <f>+'Vida Digna'!J60</f>
        <v>0.21443137254901962</v>
      </c>
      <c r="E59" s="5">
        <f>+'Vida Digna'!K60</f>
        <v>0.2941830065359477</v>
      </c>
      <c r="F59" s="5">
        <f>+'Vida Digna'!L60</f>
        <v>0.32348459383753497</v>
      </c>
      <c r="G59" s="5">
        <f t="shared" si="15"/>
        <v>0.48618660130718949</v>
      </c>
      <c r="H59" s="5">
        <f t="shared" si="5"/>
        <v>0.63706512605042009</v>
      </c>
      <c r="I59" s="5">
        <f>+'Vida Digna'!M60</f>
        <v>0.15490686274509805</v>
      </c>
      <c r="J59" s="5">
        <f>+'Vida Digna'!N60</f>
        <v>0.28919771241830067</v>
      </c>
      <c r="K59" s="5">
        <f>+'Vida Digna'!AD60</f>
        <v>0.51087674487674484</v>
      </c>
      <c r="L59" s="5">
        <v>8.6831070702038451E-2</v>
      </c>
      <c r="M59" s="5">
        <f>+'Vida Digna'!AE60</f>
        <v>9.8580146967243737E-2</v>
      </c>
      <c r="N59" s="5">
        <f>+'Vida Digna'!AI60</f>
        <v>0.19200359477124182</v>
      </c>
      <c r="O59" s="5">
        <f>+'Vida Digna'!AJ60</f>
        <v>0.31358053221288518</v>
      </c>
      <c r="P59" s="5">
        <f>+'Vida Digna'!AK60</f>
        <v>0.34637464985994398</v>
      </c>
      <c r="Q59" s="33">
        <f>+'Vida Digna'!AL60</f>
        <v>1.4392630718954247E-2</v>
      </c>
      <c r="R59" s="33">
        <f>+'Vida Digna'!AM60</f>
        <v>0.30288872549019608</v>
      </c>
      <c r="S59" s="33">
        <f>+'Vida Digna'!AN60</f>
        <v>0.37357254901960779</v>
      </c>
      <c r="T59" s="25"/>
      <c r="U59" s="2"/>
      <c r="V59" s="64"/>
    </row>
    <row r="60" spans="2:22" ht="55.2" customHeight="1" x14ac:dyDescent="0.7">
      <c r="B60" s="32" t="s">
        <v>1684</v>
      </c>
      <c r="C60" s="1170"/>
      <c r="D60" s="5">
        <f>+'Vida Digna'!J68</f>
        <v>0.20065789473684209</v>
      </c>
      <c r="E60" s="5">
        <f>+'Vida Digna'!K68</f>
        <v>0.29276315789473684</v>
      </c>
      <c r="F60" s="5">
        <f>+'Vida Digna'!L68</f>
        <v>0.31776315789473686</v>
      </c>
      <c r="G60" s="5">
        <f t="shared" si="15"/>
        <v>0.42973684210526314</v>
      </c>
      <c r="H60" s="5">
        <f t="shared" si="5"/>
        <v>0.75360526315789467</v>
      </c>
      <c r="I60" s="5">
        <f>+'Vida Digna'!M68</f>
        <v>0.24013157894736842</v>
      </c>
      <c r="J60" s="5">
        <f>+'Vida Digna'!N68</f>
        <v>0.25855263157894737</v>
      </c>
      <c r="K60" s="5">
        <f>+'Vida Digna'!AD68</f>
        <v>0.79437499999999994</v>
      </c>
      <c r="L60" s="5">
        <v>6.8312500000000012E-2</v>
      </c>
      <c r="M60" s="5">
        <f>+'Vida Digna'!AE68</f>
        <v>0.40919285714285714</v>
      </c>
      <c r="N60" s="5">
        <f>+'Vida Digna'!AI68</f>
        <v>0.1369736842105263</v>
      </c>
      <c r="O60" s="5">
        <f>+'Vida Digna'!AJ68</f>
        <v>0.43584210526315786</v>
      </c>
      <c r="P60" s="5">
        <f>+'Vida Digna'!AK68</f>
        <v>0.56489078947368421</v>
      </c>
      <c r="Q60" s="33">
        <f>+'Vida Digna'!AL68</f>
        <v>3.7978947368421051E-3</v>
      </c>
      <c r="R60" s="33">
        <f>+'Vida Digna'!AM68</f>
        <v>0.46981842105263161</v>
      </c>
      <c r="S60" s="33">
        <f>+'Vida Digna'!AN68</f>
        <v>0.63044315789473682</v>
      </c>
      <c r="T60" s="25"/>
      <c r="U60" s="2"/>
      <c r="V60" s="64"/>
    </row>
    <row r="61" spans="2:22" ht="28.95" customHeight="1" x14ac:dyDescent="0.7">
      <c r="B61" s="32" t="s">
        <v>1685</v>
      </c>
      <c r="C61" s="1170"/>
      <c r="D61" s="5">
        <f>+'Vida Digna'!J73</f>
        <v>0.26633986928104575</v>
      </c>
      <c r="E61" s="5">
        <f>+'Vida Digna'!K73</f>
        <v>0.51470588235294124</v>
      </c>
      <c r="F61" s="5">
        <f>+'Vida Digna'!L73</f>
        <v>0.57598039215686281</v>
      </c>
      <c r="G61" s="5">
        <f t="shared" si="15"/>
        <v>0.62359477124183016</v>
      </c>
      <c r="H61" s="5">
        <v>1</v>
      </c>
      <c r="I61" s="5">
        <f>+'Vida Digna'!M73</f>
        <v>0.26470588235294118</v>
      </c>
      <c r="J61" s="5">
        <f>+'Vida Digna'!N73</f>
        <v>0.4882352941176471</v>
      </c>
      <c r="K61" s="5">
        <f>+'Vida Digna'!AD73</f>
        <v>0.89111111111111108</v>
      </c>
      <c r="L61" s="5">
        <v>0.33333333333333331</v>
      </c>
      <c r="M61" s="5">
        <f>+'Vida Digna'!AE73</f>
        <v>0.88888888888888884</v>
      </c>
      <c r="N61" s="5">
        <f>+'Vida Digna'!AI73</f>
        <v>0.10888888888888888</v>
      </c>
      <c r="O61" s="5">
        <f>+'Vida Digna'!AJ73</f>
        <v>0.51470588235294124</v>
      </c>
      <c r="P61" s="5">
        <f>+'Vida Digna'!AK73</f>
        <v>0.84313725490196079</v>
      </c>
      <c r="Q61" s="33">
        <f>+'Vida Digna'!AL73</f>
        <v>1.9599999999999999E-3</v>
      </c>
      <c r="R61" s="33">
        <f>+'Vida Digna'!AM73</f>
        <v>0.4882352941176471</v>
      </c>
      <c r="S61" s="33">
        <f>+'Vida Digna'!AN73</f>
        <v>0.85882352941176465</v>
      </c>
      <c r="T61" s="25"/>
      <c r="U61" s="2"/>
      <c r="V61" s="64"/>
    </row>
    <row r="62" spans="2:22" ht="37.200000000000003" customHeight="1" x14ac:dyDescent="0.7">
      <c r="B62" s="32" t="s">
        <v>1686</v>
      </c>
      <c r="C62" s="1170"/>
      <c r="D62" s="5">
        <f>+'Vida Digna'!J77</f>
        <v>0.19</v>
      </c>
      <c r="E62" s="5">
        <f>+'Vida Digna'!K77</f>
        <v>0.25316323485526709</v>
      </c>
      <c r="F62" s="5">
        <f>+'Vida Digna'!L77</f>
        <v>0</v>
      </c>
      <c r="G62" s="5">
        <f t="shared" si="15"/>
        <v>0.25316323485526709</v>
      </c>
      <c r="H62" s="5">
        <f t="shared" si="5"/>
        <v>0.10991495076096687</v>
      </c>
      <c r="I62" s="5">
        <f>+'Vida Digna'!M77</f>
        <v>3.9E-2</v>
      </c>
      <c r="J62" s="5">
        <f>+'Vida Digna'!N77</f>
        <v>0.10689794091316027</v>
      </c>
      <c r="K62" s="5">
        <f>+'Vida Digna'!AD77</f>
        <v>0.90476190476190477</v>
      </c>
      <c r="L62" s="5"/>
      <c r="M62" s="5"/>
      <c r="N62" s="5">
        <f>+'Vida Digna'!AI77</f>
        <v>0</v>
      </c>
      <c r="O62" s="5">
        <f>+'Vida Digna'!AJ77</f>
        <v>0.10991495076096687</v>
      </c>
      <c r="P62" s="5">
        <f>+'Vida Digna'!AK77</f>
        <v>0.10991495076096687</v>
      </c>
      <c r="Q62" s="33">
        <f>+'Vida Digna'!AL77</f>
        <v>0</v>
      </c>
      <c r="R62" s="33">
        <f>+'Vida Digna'!AM77</f>
        <v>9.6897940913160258E-2</v>
      </c>
      <c r="S62" s="33">
        <f>+'Vida Digna'!AN77</f>
        <v>9.6897940913160258E-2</v>
      </c>
      <c r="T62" s="25"/>
      <c r="U62" s="2"/>
      <c r="V62" s="64"/>
    </row>
    <row r="63" spans="2:22" ht="50.4" customHeight="1" x14ac:dyDescent="0.7">
      <c r="B63" s="32" t="s">
        <v>1687</v>
      </c>
      <c r="C63" s="1170"/>
      <c r="D63" s="5">
        <f>+'Vida Digna'!J85</f>
        <v>0.36527777777777776</v>
      </c>
      <c r="E63" s="5">
        <f>+'Vida Digna'!K85</f>
        <v>0.24861111111111106</v>
      </c>
      <c r="F63" s="5">
        <f>+'Vida Digna'!L85</f>
        <v>0.21006944444444442</v>
      </c>
      <c r="G63" s="5">
        <f t="shared" si="15"/>
        <v>0.69638888888888884</v>
      </c>
      <c r="H63" s="5">
        <f t="shared" si="5"/>
        <v>0.96648611111111105</v>
      </c>
      <c r="I63" s="5">
        <f>+'Vida Digna'!M85</f>
        <v>0.41006944444444449</v>
      </c>
      <c r="J63" s="5">
        <f>+'Vida Digna'!N85</f>
        <v>0.24340277777777775</v>
      </c>
      <c r="K63" s="5">
        <f>+'Vida Digna'!AD85</f>
        <v>0.82899999999999996</v>
      </c>
      <c r="L63" s="5">
        <v>0.504</v>
      </c>
      <c r="M63" s="5">
        <f>+'Vida Digna'!AE85</f>
        <v>0.72</v>
      </c>
      <c r="N63" s="5">
        <f>+'Vida Digna'!AI85</f>
        <v>0.44777777777777777</v>
      </c>
      <c r="O63" s="5">
        <f>+'Vida Digna'!AJ85</f>
        <v>0.75641666666666663</v>
      </c>
      <c r="P63" s="5">
        <f>+'Vida Digna'!AK85</f>
        <v>0.81780555555555556</v>
      </c>
      <c r="Q63" s="33">
        <f>+'Vida Digna'!AL85</f>
        <v>4.2475000000000006E-2</v>
      </c>
      <c r="R63" s="33">
        <f>+'Vida Digna'!AM85</f>
        <v>0.70870833333333327</v>
      </c>
      <c r="S63" s="33">
        <f>+'Vida Digna'!AN85</f>
        <v>0.78447222222222224</v>
      </c>
      <c r="T63" s="25"/>
      <c r="U63" s="2"/>
      <c r="V63" s="64"/>
    </row>
    <row r="64" spans="2:22" ht="73.2" customHeight="1" x14ac:dyDescent="0.7">
      <c r="B64" s="30" t="str">
        <f>+'Vida Digna'!B91:C91</f>
        <v xml:space="preserve"> Acceso a Servicios Básicos
</v>
      </c>
      <c r="C64" s="1170"/>
      <c r="D64" s="23">
        <f t="shared" ref="D64:I64" si="17">+(D65+D66+D67)/3</f>
        <v>0.36897145335135689</v>
      </c>
      <c r="E64" s="23">
        <f t="shared" si="17"/>
        <v>0.37316486001714971</v>
      </c>
      <c r="F64" s="23">
        <f t="shared" ref="F64" si="18">+(F65+F66+F67)/3</f>
        <v>0.45902477549928916</v>
      </c>
      <c r="G64" s="23">
        <f t="shared" si="15"/>
        <v>0.4942397664731964</v>
      </c>
      <c r="H64" s="23">
        <f t="shared" si="5"/>
        <v>0.8285663941096183</v>
      </c>
      <c r="I64" s="24">
        <f t="shared" si="17"/>
        <v>0.13546025296319508</v>
      </c>
      <c r="J64" s="24">
        <f t="shared" ref="J64:M64" si="19">+(J65+J66+J67)/3</f>
        <v>0.19876656861431621</v>
      </c>
      <c r="K64" s="24">
        <f t="shared" si="19"/>
        <v>0.67621105726609232</v>
      </c>
      <c r="L64" s="24">
        <v>0.36923564775930373</v>
      </c>
      <c r="M64" s="24">
        <f t="shared" si="19"/>
        <v>0.64469988264411415</v>
      </c>
      <c r="N64" s="23">
        <f>+(N65+N66+N67)/3</f>
        <v>0.12107490645604667</v>
      </c>
      <c r="O64" s="23">
        <f>+(O65+O66+O67)/3</f>
        <v>0.36954161861032914</v>
      </c>
      <c r="P64" s="23">
        <f>+(P65+P66+P67)/3</f>
        <v>0.6354420978123686</v>
      </c>
      <c r="Q64" s="31">
        <f>+(Q65+Q66+Q67)</f>
        <v>0.1147193821346188</v>
      </c>
      <c r="R64" s="31">
        <f>+'Vida Digna'!AM91</f>
        <v>0.34878279505494242</v>
      </c>
      <c r="S64" s="31">
        <f>+'Vida Digna'!AN91</f>
        <v>0.62411608115625583</v>
      </c>
      <c r="T64" s="25"/>
      <c r="U64" s="2"/>
      <c r="V64" s="64"/>
    </row>
    <row r="65" spans="2:22" ht="33.6" customHeight="1" x14ac:dyDescent="0.7">
      <c r="B65" s="32" t="s">
        <v>1688</v>
      </c>
      <c r="C65" s="1170"/>
      <c r="D65" s="5">
        <f>+'Vida Digna'!J92</f>
        <v>0.36703340767311832</v>
      </c>
      <c r="E65" s="5">
        <f>+'Vida Digna'!K92</f>
        <v>0.21758981814668724</v>
      </c>
      <c r="F65" s="5">
        <f>+'Vida Digna'!L92</f>
        <v>0.47422563602167717</v>
      </c>
      <c r="G65" s="5">
        <f t="shared" si="15"/>
        <v>0.37590977561006533</v>
      </c>
      <c r="H65" s="5">
        <f t="shared" si="5"/>
        <v>0.96843164264631532</v>
      </c>
      <c r="I65" s="5">
        <f>+'Vida Digna'!M92</f>
        <v>0.19522004460387099</v>
      </c>
      <c r="J65" s="5">
        <f>+'Vida Digna'!N92</f>
        <v>0.17639494393818686</v>
      </c>
      <c r="K65" s="5">
        <f>+'Vida Digna'!AD92</f>
        <v>0.75411296977807518</v>
      </c>
      <c r="L65" s="5">
        <v>0.32717358726621898</v>
      </c>
      <c r="M65" s="5">
        <f>+'Vida Digna'!AE92</f>
        <v>0.54833447937096225</v>
      </c>
      <c r="N65" s="5">
        <f>+'Vida Digna'!AI92</f>
        <v>0.1583199574633781</v>
      </c>
      <c r="O65" s="5">
        <f>+'Vida Digna'!AJ92</f>
        <v>0.49420600662463821</v>
      </c>
      <c r="P65" s="5">
        <f>+'Vida Digna'!AK92</f>
        <v>0.68242490454821725</v>
      </c>
      <c r="Q65" s="33">
        <f>+'Vida Digna'!AL92</f>
        <v>5.7744382134618799E-2</v>
      </c>
      <c r="R65" s="33">
        <f>+'Vida Digna'!AM92</f>
        <v>0.42700370015697831</v>
      </c>
      <c r="S65" s="33">
        <f>+'Vida Digna'!AN92</f>
        <v>0.58071166044644551</v>
      </c>
      <c r="T65" s="25"/>
      <c r="U65" s="2"/>
      <c r="V65" s="64"/>
    </row>
    <row r="66" spans="2:22" ht="51" customHeight="1" x14ac:dyDescent="0.7">
      <c r="B66" s="32" t="s">
        <v>1689</v>
      </c>
      <c r="C66" s="1170"/>
      <c r="D66" s="5">
        <f>+'Vida Digna'!J101</f>
        <v>0.11488095238095238</v>
      </c>
      <c r="E66" s="5">
        <f>+'Vida Digna'!K101</f>
        <v>0.27142857142857141</v>
      </c>
      <c r="F66" s="5">
        <f>+'Vida Digna'!L101</f>
        <v>0.32299107142857142</v>
      </c>
      <c r="G66" s="5">
        <f t="shared" si="15"/>
        <v>0.35133333333333333</v>
      </c>
      <c r="H66" s="5">
        <f t="shared" si="5"/>
        <v>0.60975297619047619</v>
      </c>
      <c r="I66" s="5">
        <f>+'Vida Digna'!M101</f>
        <v>8.6160714285714285E-2</v>
      </c>
      <c r="J66" s="5">
        <f>+'Vida Digna'!N101</f>
        <v>0.20357142857142857</v>
      </c>
      <c r="K66" s="5">
        <f>+'Vida Digna'!AD101</f>
        <v>0.66666666666666663</v>
      </c>
      <c r="L66" s="5">
        <v>0.35708163265306125</v>
      </c>
      <c r="M66" s="5">
        <f>+'Vida Digna'!AE101</f>
        <v>0.92959183673469381</v>
      </c>
      <c r="N66" s="5">
        <f>+'Vida Digna'!AI101</f>
        <v>7.9904761904761909E-2</v>
      </c>
      <c r="O66" s="5">
        <f>+'Vida Digna'!AJ101</f>
        <v>0.28676190476190477</v>
      </c>
      <c r="P66" s="5">
        <f>+'Vida Digna'!AK101</f>
        <v>0.77374999999999994</v>
      </c>
      <c r="Q66" s="33">
        <f>+'Vida Digna'!AL101</f>
        <v>2.0974999999999997E-2</v>
      </c>
      <c r="R66" s="33">
        <f>+'Vida Digna'!AM101</f>
        <v>0.26678571428571429</v>
      </c>
      <c r="S66" s="33">
        <f>+'Vida Digna'!AN101</f>
        <v>0.77374999999999994</v>
      </c>
      <c r="T66" s="25"/>
      <c r="U66" s="2"/>
      <c r="V66" s="64"/>
    </row>
    <row r="67" spans="2:22" ht="33" customHeight="1" x14ac:dyDescent="0.7">
      <c r="B67" s="32" t="s">
        <v>1690</v>
      </c>
      <c r="C67" s="1170"/>
      <c r="D67" s="5">
        <f>+'Vida Digna'!J106</f>
        <v>0.625</v>
      </c>
      <c r="E67" s="5">
        <f>+'Vida Digna'!K106</f>
        <v>0.63047619047619041</v>
      </c>
      <c r="F67" s="5">
        <f>+'Vida Digna'!L106</f>
        <v>0.57985761904761901</v>
      </c>
      <c r="G67" s="5">
        <f t="shared" si="15"/>
        <v>0.75547619047619041</v>
      </c>
      <c r="H67" s="5">
        <f t="shared" si="5"/>
        <v>0.90751456349206339</v>
      </c>
      <c r="I67" s="5">
        <f>+'Vida Digna'!M106</f>
        <v>0.125</v>
      </c>
      <c r="J67" s="5">
        <f>+'Vida Digna'!N106</f>
        <v>0.21633333333333332</v>
      </c>
      <c r="K67" s="5">
        <f>+'Vida Digna'!AD106</f>
        <v>0.60785353535353537</v>
      </c>
      <c r="L67" s="5">
        <v>0.42345172335863096</v>
      </c>
      <c r="M67" s="5">
        <f>+'Vida Digna'!AE106</f>
        <v>0.45617333182668657</v>
      </c>
      <c r="N67" s="5">
        <f>+'Vida Digna'!AI106</f>
        <v>0.125</v>
      </c>
      <c r="O67" s="5">
        <f>+'Vida Digna'!AJ106</f>
        <v>0.32765694444444443</v>
      </c>
      <c r="P67" s="5">
        <f>+'Vida Digna'!AK106</f>
        <v>0.45015138888888889</v>
      </c>
      <c r="Q67" s="33">
        <f>+'Vida Digna'!AL106</f>
        <v>3.6000000000000004E-2</v>
      </c>
      <c r="R67" s="33">
        <f>+'Vida Digna'!AM106</f>
        <v>0.35318833333333338</v>
      </c>
      <c r="S67" s="33">
        <f>+'Vida Digna'!AN106</f>
        <v>0.50018166666666664</v>
      </c>
      <c r="T67" s="25"/>
      <c r="U67" s="2"/>
      <c r="V67" s="64"/>
    </row>
    <row r="68" spans="2:22" ht="69" customHeight="1" x14ac:dyDescent="0.7">
      <c r="B68" s="30" t="str">
        <f>+'Vida Digna'!B119:C119</f>
        <v xml:space="preserve"> Vivienda Digna y Hábitat
</v>
      </c>
      <c r="C68" s="1170"/>
      <c r="D68" s="23">
        <f t="shared" ref="D68:I68" si="20">+(D69+D70+D71+D72)/4</f>
        <v>0.17725490196078431</v>
      </c>
      <c r="E68" s="23">
        <f t="shared" si="20"/>
        <v>0.1495081699346405</v>
      </c>
      <c r="F68" s="23">
        <f t="shared" ref="F68" si="21">+(F69+F70+F71+F72)/4</f>
        <v>0.34533562091503267</v>
      </c>
      <c r="G68" s="23">
        <f t="shared" ref="G68:G131" si="22">+N68+E68</f>
        <v>0.29275669934640519</v>
      </c>
      <c r="H68" s="23">
        <f t="shared" si="5"/>
        <v>0.58509444444444447</v>
      </c>
      <c r="I68" s="24">
        <f t="shared" si="20"/>
        <v>0.16792156862745097</v>
      </c>
      <c r="J68" s="24">
        <f t="shared" ref="J68:K68" si="23">+(J69+J70+J71+J72)/4</f>
        <v>0.15253039215686273</v>
      </c>
      <c r="K68" s="24">
        <f t="shared" si="23"/>
        <v>0.78501096491228073</v>
      </c>
      <c r="L68" s="24">
        <v>0.27728498276195812</v>
      </c>
      <c r="M68" s="24">
        <f t="shared" ref="M68" si="24">+(M69+M70+M71+M72)/4</f>
        <v>0.32044171818528938</v>
      </c>
      <c r="N68" s="23">
        <f>+(N69+N70+N71+N72)/4</f>
        <v>0.14324852941176469</v>
      </c>
      <c r="O68" s="23">
        <f>+(O69+O70+O71+O72)/4</f>
        <v>0.2397588235294118</v>
      </c>
      <c r="P68" s="23">
        <f>+(P69+P70+P71+P72)/4</f>
        <v>0.26794313725490199</v>
      </c>
      <c r="Q68" s="31">
        <f>+(Q69+Q70+Q71+Q72)</f>
        <v>0.13347823529411765</v>
      </c>
      <c r="R68" s="31">
        <f>+'Vida Digna'!AM119</f>
        <v>0.22248258823529413</v>
      </c>
      <c r="S68" s="31">
        <f>+'Vida Digna'!AN119</f>
        <v>0.24614376470588237</v>
      </c>
      <c r="T68" s="25"/>
      <c r="U68" s="2"/>
      <c r="V68" s="64"/>
    </row>
    <row r="69" spans="2:22" ht="42" customHeight="1" x14ac:dyDescent="0.7">
      <c r="B69" s="32" t="s">
        <v>1657</v>
      </c>
      <c r="C69" s="1170"/>
      <c r="D69" s="5">
        <f>+'Vida Digna'!J120</f>
        <v>0.04</v>
      </c>
      <c r="E69" s="5">
        <f>+'Vida Digna'!K120</f>
        <v>4.4999999999999998E-2</v>
      </c>
      <c r="F69" s="5">
        <f>+'Vida Digna'!L120</f>
        <v>0.45960000000000001</v>
      </c>
      <c r="G69" s="5">
        <f t="shared" si="22"/>
        <v>8.09E-2</v>
      </c>
      <c r="H69" s="5">
        <f t="shared" ref="H69:H132" si="25">+O69+F69</f>
        <v>0.54590000000000005</v>
      </c>
      <c r="I69" s="5">
        <f>+'Vida Digna'!M120</f>
        <v>0.04</v>
      </c>
      <c r="J69" s="5">
        <f>+'Vida Digna'!N120</f>
        <v>4.4999999999999998E-2</v>
      </c>
      <c r="K69" s="5">
        <f>+'Vida Digna'!AD120</f>
        <v>1</v>
      </c>
      <c r="L69" s="5">
        <v>1</v>
      </c>
      <c r="M69" s="5">
        <f>+'Vida Digna'!AE120</f>
        <v>1</v>
      </c>
      <c r="N69" s="5">
        <f>+'Vida Digna'!AI120</f>
        <v>3.5900000000000001E-2</v>
      </c>
      <c r="O69" s="5">
        <f>+'Vida Digna'!AJ120</f>
        <v>8.6300000000000002E-2</v>
      </c>
      <c r="P69" s="5">
        <f>+'Vida Digna'!AK120</f>
        <v>9.6600000000000005E-2</v>
      </c>
      <c r="Q69" s="33">
        <f>+'Vida Digna'!AL120</f>
        <v>1.077E-2</v>
      </c>
      <c r="R69" s="33">
        <f>+'Vida Digna'!AM120</f>
        <v>8.6300000000000002E-2</v>
      </c>
      <c r="S69" s="33">
        <f>+'Vida Digna'!AN120</f>
        <v>9.6600000000000005E-2</v>
      </c>
      <c r="T69" s="25"/>
      <c r="U69" s="2"/>
      <c r="V69" s="64"/>
    </row>
    <row r="70" spans="2:22" ht="33.6" customHeight="1" x14ac:dyDescent="0.7">
      <c r="B70" s="32" t="s">
        <v>1691</v>
      </c>
      <c r="C70" s="1170"/>
      <c r="D70" s="5">
        <f>+'Vida Digna'!J122</f>
        <v>0.21568627450980393</v>
      </c>
      <c r="E70" s="5">
        <f>+'Vida Digna'!K122</f>
        <v>5.7254901960784317E-2</v>
      </c>
      <c r="F70" s="5">
        <f>+'Vida Digna'!L122</f>
        <v>0.35843137254901963</v>
      </c>
      <c r="G70" s="5">
        <f t="shared" si="22"/>
        <v>0.28321568627450983</v>
      </c>
      <c r="H70" s="5">
        <f t="shared" si="25"/>
        <v>0.64400000000000002</v>
      </c>
      <c r="I70" s="5">
        <f>+'Vida Digna'!M122</f>
        <v>0.21568627450980393</v>
      </c>
      <c r="J70" s="5">
        <f>+'Vida Digna'!N122</f>
        <v>5.7254901960784317E-2</v>
      </c>
      <c r="K70" s="5">
        <f>+'Vida Digna'!AD122</f>
        <v>1</v>
      </c>
      <c r="L70" s="5">
        <v>4.3763676148796501E-4</v>
      </c>
      <c r="M70" s="5">
        <f>+'Vida Digna'!AE122</f>
        <v>6.0831509846827135E-2</v>
      </c>
      <c r="N70" s="5">
        <f>+'Vida Digna'!AI122</f>
        <v>0.22596078431372549</v>
      </c>
      <c r="O70" s="5">
        <f>+'Vida Digna'!AJ122</f>
        <v>0.28556862745098038</v>
      </c>
      <c r="P70" s="5">
        <f>+'Vida Digna'!AK122</f>
        <v>0.30737254901960787</v>
      </c>
      <c r="Q70" s="33">
        <f>+'Vida Digna'!AL122</f>
        <v>6.7788235294117649E-2</v>
      </c>
      <c r="R70" s="33">
        <f>+'Vida Digna'!AM122</f>
        <v>0.28556862745098038</v>
      </c>
      <c r="S70" s="33">
        <f>+'Vida Digna'!AN122</f>
        <v>0.30737254901960787</v>
      </c>
      <c r="T70" s="25"/>
      <c r="U70" s="2"/>
      <c r="V70" s="64"/>
    </row>
    <row r="71" spans="2:22" ht="26.4" customHeight="1" x14ac:dyDescent="0.7">
      <c r="B71" s="32" t="s">
        <v>1692</v>
      </c>
      <c r="C71" s="1170"/>
      <c r="D71" s="5">
        <f>+'Vida Digna'!J124</f>
        <v>0.33</v>
      </c>
      <c r="E71" s="5">
        <f>+'Vida Digna'!K124</f>
        <v>0.2</v>
      </c>
      <c r="F71" s="5">
        <f>+'Vida Digna'!L124</f>
        <v>0.30220000000000002</v>
      </c>
      <c r="G71" s="5">
        <f t="shared" si="22"/>
        <v>0.39580000000000004</v>
      </c>
      <c r="H71" s="5">
        <f t="shared" si="25"/>
        <v>0.59580000000000011</v>
      </c>
      <c r="I71" s="5">
        <f>+'Vida Digna'!M124</f>
        <v>0.33</v>
      </c>
      <c r="J71" s="5">
        <f>+'Vida Digna'!N124</f>
        <v>0.2</v>
      </c>
      <c r="K71" s="5">
        <f>+'Vida Digna'!AD124</f>
        <v>0.48899999999999999</v>
      </c>
      <c r="L71" s="5">
        <v>1.7868960953011249E-2</v>
      </c>
      <c r="M71" s="5">
        <f>+'Vida Digna'!AE124</f>
        <v>5.4268696227663796E-2</v>
      </c>
      <c r="N71" s="5">
        <f>+'Vida Digna'!AI124</f>
        <v>0.1958</v>
      </c>
      <c r="O71" s="5">
        <f>+'Vida Digna'!AJ124</f>
        <v>0.29360000000000003</v>
      </c>
      <c r="P71" s="1051">
        <f>+'Vida Digna'!AK124</f>
        <v>0.32540000000000002</v>
      </c>
      <c r="Q71" s="33">
        <f>+'Vida Digna'!AL124</f>
        <v>3.916E-2</v>
      </c>
      <c r="R71" s="33">
        <f>+'Vida Digna'!AM124</f>
        <v>0.29360000000000003</v>
      </c>
      <c r="S71" s="33">
        <f>+'Vida Digna'!AN124</f>
        <v>0.32540000000000002</v>
      </c>
      <c r="T71" s="25"/>
      <c r="U71" s="2"/>
      <c r="V71" s="64"/>
    </row>
    <row r="72" spans="2:22" ht="40.950000000000003" customHeight="1" x14ac:dyDescent="0.7">
      <c r="B72" s="32" t="s">
        <v>1660</v>
      </c>
      <c r="C72" s="1170"/>
      <c r="D72" s="5">
        <f>+'Vida Digna'!J126</f>
        <v>0.12333333333333334</v>
      </c>
      <c r="E72" s="5">
        <f>+'Vida Digna'!K126</f>
        <v>0.29577777777777775</v>
      </c>
      <c r="F72" s="5">
        <f>+'Vida Digna'!L126</f>
        <v>0.26111111111111113</v>
      </c>
      <c r="G72" s="5">
        <f t="shared" si="22"/>
        <v>0.41111111111111109</v>
      </c>
      <c r="H72" s="5">
        <f t="shared" si="25"/>
        <v>0.55467777777777783</v>
      </c>
      <c r="I72" s="5">
        <f>+'Vida Digna'!M126</f>
        <v>8.5999999999999993E-2</v>
      </c>
      <c r="J72" s="5">
        <f>+'Vida Digna'!N126</f>
        <v>0.30786666666666662</v>
      </c>
      <c r="K72" s="5">
        <f>+'Vida Digna'!AD126</f>
        <v>0.65104385964912281</v>
      </c>
      <c r="L72" s="5">
        <v>9.0833333333333335E-2</v>
      </c>
      <c r="M72" s="5">
        <f>+'Vida Digna'!AE126</f>
        <v>0.16666666666666666</v>
      </c>
      <c r="N72" s="5">
        <f>+'Vida Digna'!AI126</f>
        <v>0.11533333333333333</v>
      </c>
      <c r="O72" s="5">
        <f>+'Vida Digna'!AJ126</f>
        <v>0.2935666666666667</v>
      </c>
      <c r="P72" s="1051">
        <f>+'Vida Digna'!AK126</f>
        <v>0.34240000000000004</v>
      </c>
      <c r="Q72" s="33">
        <f>+'Vida Digna'!AL126</f>
        <v>1.5760000000000003E-2</v>
      </c>
      <c r="R72" s="33">
        <f>+'Vida Digna'!AM126</f>
        <v>0.26100999999999996</v>
      </c>
      <c r="S72" s="33">
        <f>+'Vida Digna'!AN126</f>
        <v>0.29936000000000007</v>
      </c>
      <c r="T72" s="25"/>
      <c r="U72" s="2"/>
      <c r="V72" s="64"/>
    </row>
    <row r="73" spans="2:22" ht="49.8" x14ac:dyDescent="0.7">
      <c r="B73" s="30" t="str">
        <f>+'Vida Digna'!B130:C130</f>
        <v xml:space="preserve">Artes, Cultura y Patrimonio
</v>
      </c>
      <c r="C73" s="1170"/>
      <c r="D73" s="23">
        <f>+(D74+D75+D76+D77+D78+D79)/5</f>
        <v>0.22655250131358057</v>
      </c>
      <c r="E73" s="23">
        <f>+(E74+E75+E76+E77+E78+E79)/6</f>
        <v>0.40396612216494382</v>
      </c>
      <c r="F73" s="23">
        <f>+(F74+F75+F76+F77+F78+F79)/6</f>
        <v>0.29090906847916592</v>
      </c>
      <c r="G73" s="23">
        <f>+N73+E73</f>
        <v>0.62944856845567554</v>
      </c>
      <c r="H73" s="23">
        <f t="shared" si="25"/>
        <v>0.9703589812832929</v>
      </c>
      <c r="I73" s="24">
        <f>+(I74+I75+I76+I77+I78+I79)/5</f>
        <v>0.2503571688629197</v>
      </c>
      <c r="J73" s="24">
        <f t="shared" ref="J73" si="26">+(J74+J75+J76+J77+J78+J79)/5</f>
        <v>0.41655725758418588</v>
      </c>
      <c r="K73" s="24">
        <f>+(K74+K75+K76+K77+K78+K79)/6</f>
        <v>0.77299867847723902</v>
      </c>
      <c r="L73" s="24">
        <v>0.18142593292338735</v>
      </c>
      <c r="M73" s="24">
        <f>+(M74+M75+M76+M77+M78+M79)/6</f>
        <v>0.42240063770537456</v>
      </c>
      <c r="N73" s="23">
        <f>+(N74+N75+N76+N77+N78+N79)/5</f>
        <v>0.22548244629073172</v>
      </c>
      <c r="O73" s="23">
        <f>+(O74+O75+O76+O77+O78+O79)/5</f>
        <v>0.67944991280412703</v>
      </c>
      <c r="P73" s="23">
        <f>+(P74+P75+P76+P77+P78+P79)/5</f>
        <v>0.73574166511009231</v>
      </c>
      <c r="Q73" s="31">
        <f>+(Q74+Q75+Q76+Q77+Q78+Q79)</f>
        <v>0.19044610699286973</v>
      </c>
      <c r="R73" s="31">
        <f>+'Vida Digna'!AM130</f>
        <v>0.53503946200167696</v>
      </c>
      <c r="S73" s="31">
        <f>+'Vida Digna'!AN130</f>
        <v>0.58026576484522496</v>
      </c>
      <c r="T73" s="25"/>
      <c r="U73" s="2"/>
      <c r="V73" s="64"/>
    </row>
    <row r="74" spans="2:22" ht="52.2" customHeight="1" x14ac:dyDescent="0.7">
      <c r="B74" s="32" t="s">
        <v>1662</v>
      </c>
      <c r="C74" s="1170"/>
      <c r="D74" s="5">
        <f>+'Vida Digna'!J131</f>
        <v>0.10484583990123605</v>
      </c>
      <c r="E74" s="5">
        <f>+'Vida Digna'!K131</f>
        <v>0.29872381632299655</v>
      </c>
      <c r="F74" s="5">
        <f>+'Vida Digna'!L131</f>
        <v>0.17201691087499532</v>
      </c>
      <c r="G74" s="5">
        <f t="shared" si="22"/>
        <v>0.45689993666554396</v>
      </c>
      <c r="H74" s="5">
        <f t="shared" si="25"/>
        <v>0.75871758600674122</v>
      </c>
      <c r="I74" s="5">
        <f>+'Vida Digna'!M131</f>
        <v>6.9160844314598499E-2</v>
      </c>
      <c r="J74" s="5">
        <f>+'Vida Digna'!N131</f>
        <v>0.33846857958759585</v>
      </c>
      <c r="K74" s="5">
        <f>+'Vida Digna'!AD131</f>
        <v>0.9198774509803922</v>
      </c>
      <c r="L74" s="5">
        <v>0.30629580780624849</v>
      </c>
      <c r="M74" s="5">
        <f>+'Vida Digna'!AE131</f>
        <v>0.76479353144766693</v>
      </c>
      <c r="N74" s="5">
        <f>+'Vida Digna'!AI131</f>
        <v>0.15817612034254738</v>
      </c>
      <c r="O74" s="5">
        <f>+'Vida Digna'!AJ131</f>
        <v>0.58670067513174595</v>
      </c>
      <c r="P74" s="1051">
        <f>+'Vida Digna'!AK131</f>
        <v>0.71357332555046149</v>
      </c>
      <c r="Q74" s="33">
        <f>+'Vida Digna'!AL131</f>
        <v>3.4655134770647515E-2</v>
      </c>
      <c r="R74" s="33">
        <f>+'Vida Digna'!AM131</f>
        <v>0.51559228074633057</v>
      </c>
      <c r="S74" s="33">
        <f>+'Vida Digna'!AN131</f>
        <v>0.61018504948408325</v>
      </c>
      <c r="T74" s="25"/>
      <c r="U74" s="2"/>
      <c r="V74" s="64"/>
    </row>
    <row r="75" spans="2:22" ht="55.95" customHeight="1" x14ac:dyDescent="0.7">
      <c r="B75" s="32" t="s">
        <v>1663</v>
      </c>
      <c r="C75" s="1170"/>
      <c r="D75" s="5">
        <f>+'Vida Digna'!J140</f>
        <v>0.22499999999999998</v>
      </c>
      <c r="E75" s="5">
        <f>+'Vida Digna'!K140</f>
        <v>0.29166666666666663</v>
      </c>
      <c r="F75" s="5">
        <f>+'Vida Digna'!L140</f>
        <v>0.15</v>
      </c>
      <c r="G75" s="5">
        <f t="shared" si="22"/>
        <v>0.66124999999999989</v>
      </c>
      <c r="H75" s="5">
        <v>1</v>
      </c>
      <c r="I75" s="5">
        <f>+'Vida Digna'!M140</f>
        <v>0.23583333333333334</v>
      </c>
      <c r="J75" s="5">
        <f>+'Vida Digna'!N140</f>
        <v>0.27083333333333331</v>
      </c>
      <c r="K75" s="5">
        <f>+'Vida Digna'!AD140</f>
        <v>1</v>
      </c>
      <c r="L75" s="5">
        <v>0.26666666666666666</v>
      </c>
      <c r="M75" s="5">
        <f>+'Vida Digna'!AE140</f>
        <v>0.76666666666666661</v>
      </c>
      <c r="N75" s="5">
        <f>+'Vida Digna'!AI140</f>
        <v>0.36958333333333332</v>
      </c>
      <c r="O75" s="5">
        <f>+'Vida Digna'!AJ140</f>
        <v>0.98750000000000004</v>
      </c>
      <c r="P75" s="1051">
        <f>+'Vida Digna'!AK140</f>
        <v>0.99</v>
      </c>
      <c r="Q75" s="33">
        <f>+'Vida Digna'!AL140</f>
        <v>4.7750000000000001E-2</v>
      </c>
      <c r="R75" s="33">
        <f>+'Vida Digna'!AM140</f>
        <v>0.98750000000000004</v>
      </c>
      <c r="S75" s="33">
        <f>+'Vida Digna'!AN140</f>
        <v>0.99</v>
      </c>
      <c r="T75" s="25"/>
      <c r="U75" s="2"/>
      <c r="V75" s="64"/>
    </row>
    <row r="76" spans="2:22" ht="40.950000000000003" customHeight="1" x14ac:dyDescent="0.7">
      <c r="B76" s="32" t="s">
        <v>1664</v>
      </c>
      <c r="C76" s="1170"/>
      <c r="D76" s="5">
        <f>+'Vida Digna'!J145</f>
        <v>0.15208333333333332</v>
      </c>
      <c r="E76" s="5">
        <f>+'Vida Digna'!K145</f>
        <v>0.25</v>
      </c>
      <c r="F76" s="5">
        <f>+'Vida Digna'!L145</f>
        <v>0.25</v>
      </c>
      <c r="G76" s="5">
        <f t="shared" si="22"/>
        <v>0.4392361111111111</v>
      </c>
      <c r="H76" s="5">
        <f t="shared" si="25"/>
        <v>0.92138888888888903</v>
      </c>
      <c r="I76" s="5">
        <f>+'Vida Digna'!M145</f>
        <v>0.24379166666666666</v>
      </c>
      <c r="J76" s="5">
        <f>+'Vida Digna'!N145</f>
        <v>0.25</v>
      </c>
      <c r="K76" s="5">
        <f>+'Vida Digna'!AD145</f>
        <v>0.94944444444444454</v>
      </c>
      <c r="L76" s="5">
        <v>7.489828076685219E-2</v>
      </c>
      <c r="M76" s="5">
        <f>+'Vida Digna'!AE145</f>
        <v>0.18694444444444444</v>
      </c>
      <c r="N76" s="5">
        <f>+'Vida Digna'!AI145</f>
        <v>0.1892361111111111</v>
      </c>
      <c r="O76" s="5">
        <f>+'Vida Digna'!AJ145</f>
        <v>0.67138888888888903</v>
      </c>
      <c r="P76" s="5">
        <f>+'Vida Digna'!AK145</f>
        <v>0.71812500000000001</v>
      </c>
      <c r="Q76" s="33">
        <f>+'Vida Digna'!AL145</f>
        <v>2.5790972222222222E-2</v>
      </c>
      <c r="R76" s="33">
        <f>+'Vida Digna'!AM145</f>
        <v>0.59612777777777781</v>
      </c>
      <c r="S76" s="33">
        <f>+'Vida Digna'!AN145</f>
        <v>0.6696875000000001</v>
      </c>
      <c r="T76" s="25"/>
      <c r="U76" s="2"/>
      <c r="V76" s="64"/>
    </row>
    <row r="77" spans="2:22" ht="47.4" customHeight="1" x14ac:dyDescent="0.7">
      <c r="B77" s="32" t="s">
        <v>1665</v>
      </c>
      <c r="C77" s="1170"/>
      <c r="D77" s="5">
        <f>+'Vida Digna'!J148</f>
        <v>0.21333333333333335</v>
      </c>
      <c r="E77" s="5">
        <f>+'Vida Digna'!K148</f>
        <v>0.57199999999999995</v>
      </c>
      <c r="F77" s="5">
        <f>+'Vida Digna'!L148</f>
        <v>0.3125</v>
      </c>
      <c r="G77" s="5">
        <f t="shared" si="22"/>
        <v>0.78866666666666663</v>
      </c>
      <c r="H77" s="5">
        <f t="shared" si="25"/>
        <v>0.95250000000000001</v>
      </c>
      <c r="I77" s="5">
        <f>+'Vida Digna'!M148</f>
        <v>0.128</v>
      </c>
      <c r="J77" s="5">
        <f>+'Vida Digna'!N148</f>
        <v>0.57200000000000006</v>
      </c>
      <c r="K77" s="5">
        <f>+'Vida Digna'!AD148</f>
        <v>0.84833333333333338</v>
      </c>
      <c r="L77" s="5">
        <v>0.22469484230055659</v>
      </c>
      <c r="M77" s="5">
        <f>+'Vida Digna'!AE148</f>
        <v>0.40899918367346944</v>
      </c>
      <c r="N77" s="5">
        <f>+'Vida Digna'!AI148</f>
        <v>0.21666666666666667</v>
      </c>
      <c r="O77" s="5">
        <f>+'Vida Digna'!AJ148</f>
        <v>0.64</v>
      </c>
      <c r="P77" s="5">
        <f>+'Vida Digna'!AK148</f>
        <v>0.69359999999999999</v>
      </c>
      <c r="Q77" s="33">
        <f>+'Vida Digna'!AL148</f>
        <v>6.5000000000000006E-3</v>
      </c>
      <c r="R77" s="33">
        <f>+'Vida Digna'!AM148</f>
        <v>0.64</v>
      </c>
      <c r="S77" s="33">
        <f>+'Vida Digna'!AN148</f>
        <v>0.69359999999999999</v>
      </c>
      <c r="T77" s="25"/>
      <c r="U77" s="2"/>
      <c r="V77" s="64"/>
    </row>
    <row r="78" spans="2:22" ht="51" customHeight="1" x14ac:dyDescent="0.7">
      <c r="B78" s="32" t="s">
        <v>1666</v>
      </c>
      <c r="C78" s="1170"/>
      <c r="D78" s="5">
        <f>+'Vida Digna'!J154</f>
        <v>0.4375</v>
      </c>
      <c r="E78" s="5">
        <f>+'Vida Digna'!K154</f>
        <v>0.34500000000000003</v>
      </c>
      <c r="F78" s="5">
        <f>+'Vida Digna'!L154</f>
        <v>0.25</v>
      </c>
      <c r="G78" s="5">
        <f t="shared" si="22"/>
        <v>0.53875000000000006</v>
      </c>
      <c r="H78" s="5">
        <f t="shared" si="25"/>
        <v>0.76166</v>
      </c>
      <c r="I78" s="5">
        <f>+'Vida Digna'!M154</f>
        <v>0.57500000000000007</v>
      </c>
      <c r="J78" s="5">
        <f>+'Vida Digna'!N154</f>
        <v>0.28500000000000003</v>
      </c>
      <c r="K78" s="5">
        <f>+'Vida Digna'!AD154</f>
        <v>0.92033684210526323</v>
      </c>
      <c r="L78" s="5">
        <v>0.21600000000000003</v>
      </c>
      <c r="M78" s="5">
        <f>+'Vida Digna'!AE154</f>
        <v>0.40699999999999992</v>
      </c>
      <c r="N78" s="5">
        <f>+'Vida Digna'!AI154</f>
        <v>0.19375000000000001</v>
      </c>
      <c r="O78" s="5">
        <f>+'Vida Digna'!AJ154</f>
        <v>0.51166</v>
      </c>
      <c r="P78" s="5">
        <f>+'Vida Digna'!AK154</f>
        <v>0.56340999999999997</v>
      </c>
      <c r="Q78" s="33">
        <f>+'Vida Digna'!AL154</f>
        <v>7.5749999999999998E-2</v>
      </c>
      <c r="R78" s="33">
        <f>+'Vida Digna'!AM154</f>
        <v>0.63333000000000006</v>
      </c>
      <c r="S78" s="33">
        <f>+'Vida Digna'!AN154</f>
        <v>0.65520500000000004</v>
      </c>
      <c r="T78" s="25"/>
      <c r="U78" s="2"/>
      <c r="V78" s="64"/>
    </row>
    <row r="79" spans="2:22" ht="43.95" customHeight="1" x14ac:dyDescent="0.7">
      <c r="B79" s="32" t="s">
        <v>1667</v>
      </c>
      <c r="C79" s="1170"/>
      <c r="D79" s="5">
        <f>+'Vida Digna'!J160</f>
        <v>0</v>
      </c>
      <c r="E79" s="5">
        <f>+'Vida Digna'!K160</f>
        <v>0.66640624999999998</v>
      </c>
      <c r="F79" s="5">
        <f>+'Vida Digna'!L160</f>
        <v>0.61093750000000002</v>
      </c>
      <c r="G79" s="5">
        <f t="shared" si="22"/>
        <v>0.66640624999999998</v>
      </c>
      <c r="H79" s="5">
        <f t="shared" si="25"/>
        <v>0.61093750000000002</v>
      </c>
      <c r="I79" s="5">
        <f>+'Vida Digna'!M160</f>
        <v>0</v>
      </c>
      <c r="J79" s="5">
        <f>+'Vida Digna'!N160</f>
        <v>0.36648437499999997</v>
      </c>
      <c r="K79" s="5">
        <f>+'Vida Digna'!AD160</f>
        <v>0</v>
      </c>
      <c r="L79" s="5">
        <v>0</v>
      </c>
      <c r="M79" s="5">
        <f>+'Vida Digna'!AE160</f>
        <v>0</v>
      </c>
      <c r="N79" s="5">
        <f>+'Vida Digna'!AI160</f>
        <v>0</v>
      </c>
      <c r="O79" s="5">
        <f>+'Vida Digna'!AJ160</f>
        <v>0</v>
      </c>
      <c r="P79" s="5">
        <f>+'Vida Digna'!AK160</f>
        <v>0</v>
      </c>
      <c r="Q79" s="33">
        <f>+'Vida Digna'!AL160</f>
        <v>0</v>
      </c>
      <c r="R79" s="33">
        <f>+'Vida Digna'!AM160</f>
        <v>0</v>
      </c>
      <c r="S79" s="33">
        <f>+'Vida Digna'!AN160</f>
        <v>0</v>
      </c>
      <c r="T79" s="25"/>
      <c r="U79" s="2"/>
      <c r="V79" s="64"/>
    </row>
    <row r="80" spans="2:22" ht="66.599999999999994" customHeight="1" x14ac:dyDescent="0.7">
      <c r="B80" s="30" t="str">
        <f>+'Vida Digna'!B164:C164</f>
        <v xml:space="preserve">Deporte y Recreación
</v>
      </c>
      <c r="C80" s="1170"/>
      <c r="D80" s="23">
        <f t="shared" ref="D80:I80" si="27">+(D81+D82+D83+D84+D85+D86+D87)/7</f>
        <v>0.23893651055292212</v>
      </c>
      <c r="E80" s="23">
        <f t="shared" si="27"/>
        <v>0.28593294105804123</v>
      </c>
      <c r="F80" s="23">
        <f t="shared" ref="F80" si="28">+(F81+F82+F83+F84+F85+F86+F87)/7</f>
        <v>0.27823918362960776</v>
      </c>
      <c r="G80" s="23">
        <f t="shared" si="22"/>
        <v>0.5512547869858142</v>
      </c>
      <c r="H80" s="23">
        <f t="shared" si="25"/>
        <v>0.85953944293246254</v>
      </c>
      <c r="I80" s="24">
        <f t="shared" si="27"/>
        <v>0.22368966475650506</v>
      </c>
      <c r="J80" s="24">
        <f t="shared" ref="J80:K80" si="29">+(J81+J82+J83+J84+J85+J86+J87)/7</f>
        <v>0.2870384761939736</v>
      </c>
      <c r="K80" s="24">
        <f t="shared" si="29"/>
        <v>0.93306223549163236</v>
      </c>
      <c r="L80" s="24">
        <v>0.24399006191224096</v>
      </c>
      <c r="M80" s="24">
        <f t="shared" ref="M80" si="30">+(M81+M82+M83+M84+M85+M86+M87)/7</f>
        <v>0.60946435222873763</v>
      </c>
      <c r="N80" s="23">
        <f>+(N81+N82+N83+N84+N85+N86+N87)/7</f>
        <v>0.26532184592777297</v>
      </c>
      <c r="O80" s="23">
        <f>+(O81+O82+O83+O84+O85+O86+O87)/7</f>
        <v>0.58130025930285478</v>
      </c>
      <c r="P80" s="23">
        <f>+(P81+P82+P83+P84+P85+P86+P87)/7</f>
        <v>0.73018811213974943</v>
      </c>
      <c r="Q80" s="31">
        <f>+(Q81+Q82+Q83+Q84+Q85+Q86+Q87)</f>
        <v>0.20257591878811407</v>
      </c>
      <c r="R80" s="31">
        <f>+'Vida Digna'!AM164</f>
        <v>0.50415658631572002</v>
      </c>
      <c r="S80" s="31">
        <f>+'Vida Digna'!AN164</f>
        <v>0.65715982293075492</v>
      </c>
      <c r="T80" s="25"/>
      <c r="U80" s="2"/>
      <c r="V80" s="64"/>
    </row>
    <row r="81" spans="2:24" ht="57.6" customHeight="1" x14ac:dyDescent="0.7">
      <c r="B81" s="32" t="s">
        <v>1669</v>
      </c>
      <c r="C81" s="1170"/>
      <c r="D81" s="5">
        <f>+'Vida Digna'!J165</f>
        <v>0.3125</v>
      </c>
      <c r="E81" s="5">
        <f>+'Vida Digna'!K165</f>
        <v>0.39083333333333331</v>
      </c>
      <c r="F81" s="5">
        <f>+'Vida Digna'!L165</f>
        <v>0.32791666666666669</v>
      </c>
      <c r="G81" s="5">
        <f t="shared" si="22"/>
        <v>0.56624999999999992</v>
      </c>
      <c r="H81" s="5">
        <f t="shared" si="25"/>
        <v>0.74208333333333343</v>
      </c>
      <c r="I81" s="5">
        <f>+'Vida Digna'!M165</f>
        <v>0.3125</v>
      </c>
      <c r="J81" s="5">
        <f>+'Vida Digna'!N165</f>
        <v>0.39083333333333331</v>
      </c>
      <c r="K81" s="5">
        <f>+'Vida Digna'!AD165</f>
        <v>0.63698630136986301</v>
      </c>
      <c r="L81" s="5">
        <v>0.32</v>
      </c>
      <c r="M81" s="5">
        <f>+'Vida Digna'!AE165</f>
        <v>0.55435185185185176</v>
      </c>
      <c r="N81" s="5">
        <f>+'Vida Digna'!AI165</f>
        <v>0.17541666666666667</v>
      </c>
      <c r="O81" s="5">
        <f>+'Vida Digna'!AJ165</f>
        <v>0.41416666666666668</v>
      </c>
      <c r="P81" s="5">
        <f>+'Vida Digna'!AK165</f>
        <v>0.59729166666666667</v>
      </c>
      <c r="Q81" s="33">
        <f>+'Vida Digna'!AL165</f>
        <v>6.139583333333333E-2</v>
      </c>
      <c r="R81" s="33">
        <f>+'Vida Digna'!AM165</f>
        <v>0.41416666666666668</v>
      </c>
      <c r="S81" s="33">
        <f>+'Vida Digna'!AN165</f>
        <v>0.59729166666666667</v>
      </c>
      <c r="T81" s="25"/>
      <c r="U81" s="2"/>
      <c r="V81" s="64"/>
    </row>
    <row r="82" spans="2:24" ht="34.950000000000003" customHeight="1" x14ac:dyDescent="0.7">
      <c r="B82" s="32" t="s">
        <v>1670</v>
      </c>
      <c r="C82" s="1170"/>
      <c r="D82" s="5">
        <f>+'Vida Digna'!J170</f>
        <v>3.2271422261484099E-2</v>
      </c>
      <c r="E82" s="5">
        <f>+'Vida Digna'!K170</f>
        <v>0.31835247349823326</v>
      </c>
      <c r="F82" s="5">
        <f>+'Vida Digna'!L170</f>
        <v>0.31835247349823326</v>
      </c>
      <c r="G82" s="5">
        <f t="shared" si="22"/>
        <v>0.35554880742049472</v>
      </c>
      <c r="H82" s="5">
        <f t="shared" si="25"/>
        <v>0.68052672261484104</v>
      </c>
      <c r="I82" s="5">
        <f>+'Vida Digna'!M170</f>
        <v>2.6429991166077735E-2</v>
      </c>
      <c r="J82" s="5">
        <f>+'Vida Digna'!N170</f>
        <v>0.32069346289752654</v>
      </c>
      <c r="K82" s="5">
        <f>+'Vida Digna'!AD170</f>
        <v>1</v>
      </c>
      <c r="L82" s="5">
        <v>5.4536784741144415E-2</v>
      </c>
      <c r="M82" s="5">
        <f>+'Vida Digna'!AE170</f>
        <v>0.43087193460490464</v>
      </c>
      <c r="N82" s="5">
        <f>+'Vida Digna'!AI170</f>
        <v>3.7196333922261481E-2</v>
      </c>
      <c r="O82" s="5">
        <f>+'Vida Digna'!AJ170</f>
        <v>0.36217424911660778</v>
      </c>
      <c r="P82" s="5">
        <f>+'Vida Digna'!AK170</f>
        <v>0.49730013250883387</v>
      </c>
      <c r="Q82" s="33">
        <f>+'Vida Digna'!AL170</f>
        <v>5.6649734982332153E-3</v>
      </c>
      <c r="R82" s="33">
        <f>+'Vida Digna'!AM170</f>
        <v>0.35829394876325088</v>
      </c>
      <c r="S82" s="33">
        <f>+'Vida Digna'!AN170</f>
        <v>0.44997018551236745</v>
      </c>
      <c r="T82" s="25"/>
      <c r="U82" s="2"/>
      <c r="V82" s="64"/>
    </row>
    <row r="83" spans="2:24" ht="48.6" customHeight="1" x14ac:dyDescent="0.7">
      <c r="B83" s="32" t="s">
        <v>1693</v>
      </c>
      <c r="C83" s="1170"/>
      <c r="D83" s="5">
        <f>+'Vida Digna'!J173</f>
        <v>0.25058139534883722</v>
      </c>
      <c r="E83" s="5">
        <f>+'Vida Digna'!K173</f>
        <v>0.25058139534883722</v>
      </c>
      <c r="F83" s="5">
        <f>+'Vida Digna'!L173</f>
        <v>0.25290697674418605</v>
      </c>
      <c r="G83" s="5">
        <f t="shared" si="22"/>
        <v>0.58438759689922481</v>
      </c>
      <c r="H83" s="5">
        <f t="shared" si="25"/>
        <v>0.83557364341085272</v>
      </c>
      <c r="I83" s="5">
        <f>+'Vida Digna'!M173</f>
        <v>0.2508139534883721</v>
      </c>
      <c r="J83" s="5">
        <f>+'Vida Digna'!N173</f>
        <v>0.2508139534883721</v>
      </c>
      <c r="K83" s="5">
        <f>+'Vida Digna'!AD173</f>
        <v>0.99314814814814811</v>
      </c>
      <c r="L83" s="5">
        <v>0.12551515151515152</v>
      </c>
      <c r="M83" s="5">
        <f>+'Vida Digna'!AE173</f>
        <v>0.43645454545454543</v>
      </c>
      <c r="N83" s="5">
        <f>+'Vida Digna'!AI173</f>
        <v>0.33380620155038759</v>
      </c>
      <c r="O83" s="5">
        <f>+'Vida Digna'!AJ173</f>
        <v>0.58266666666666667</v>
      </c>
      <c r="P83" s="5">
        <f>+'Vida Digna'!AK173</f>
        <v>0.69286434108527128</v>
      </c>
      <c r="Q83" s="33">
        <f>+'Vida Digna'!AL173</f>
        <v>3.3399534883720931E-2</v>
      </c>
      <c r="R83" s="33">
        <f>+'Vida Digna'!AM173</f>
        <v>0.58239999999999992</v>
      </c>
      <c r="S83" s="33">
        <f>+'Vida Digna'!AN173</f>
        <v>0.68667674418604652</v>
      </c>
      <c r="T83" s="25"/>
      <c r="U83" s="2"/>
      <c r="V83" s="64"/>
    </row>
    <row r="84" spans="2:24" ht="46.95" customHeight="1" x14ac:dyDescent="0.7">
      <c r="B84" s="32" t="s">
        <v>1672</v>
      </c>
      <c r="C84" s="1170"/>
      <c r="D84" s="5">
        <f>+'Vida Digna'!J176</f>
        <v>0.40547619047619043</v>
      </c>
      <c r="E84" s="5">
        <f>+'Vida Digna'!K176</f>
        <v>0.26428571428571429</v>
      </c>
      <c r="F84" s="5">
        <f>+'Vida Digna'!L176</f>
        <v>0.21910714285714283</v>
      </c>
      <c r="G84" s="5">
        <f t="shared" si="22"/>
        <v>0.63182240582800286</v>
      </c>
      <c r="H84" s="5">
        <f t="shared" si="25"/>
        <v>0.92676499644633981</v>
      </c>
      <c r="I84" s="5">
        <f>+'Vida Digna'!M176</f>
        <v>0.29269047619047617</v>
      </c>
      <c r="J84" s="5">
        <f>+'Vida Digna'!N176</f>
        <v>0.27214285714285719</v>
      </c>
      <c r="K84" s="5">
        <f>+'Vida Digna'!AD176</f>
        <v>0.99710447761194021</v>
      </c>
      <c r="L84" s="5">
        <v>0.40533254778737893</v>
      </c>
      <c r="M84" s="5">
        <f>+'Vida Digna'!AE176</f>
        <v>0.91782544046683867</v>
      </c>
      <c r="N84" s="5">
        <f>+'Vida Digna'!AI176</f>
        <v>0.36753669154228857</v>
      </c>
      <c r="O84" s="5">
        <f>+'Vida Digna'!AJ176</f>
        <v>0.70765785358919697</v>
      </c>
      <c r="P84" s="5">
        <f>+'Vida Digna'!AK176</f>
        <v>0.9011535181236674</v>
      </c>
      <c r="Q84" s="33">
        <f>+'Vida Digna'!AL176</f>
        <v>2.7086664889836534E-2</v>
      </c>
      <c r="R84" s="33">
        <f>+'Vida Digna'!AM176</f>
        <v>0.68686416133617634</v>
      </c>
      <c r="S84" s="33">
        <f>+'Vida Digna'!AN176</f>
        <v>0.89215884861407257</v>
      </c>
      <c r="T84" s="25"/>
      <c r="U84" s="2"/>
      <c r="V84" s="64"/>
    </row>
    <row r="85" spans="2:24" ht="58.95" customHeight="1" x14ac:dyDescent="0.7">
      <c r="B85" s="32" t="s">
        <v>1673</v>
      </c>
      <c r="C85" s="1170"/>
      <c r="D85" s="5">
        <f>+'Vida Digna'!J182</f>
        <v>0.25409836065573771</v>
      </c>
      <c r="E85" s="5">
        <f>+'Vida Digna'!K182</f>
        <v>0.25</v>
      </c>
      <c r="F85" s="5">
        <f>+'Vida Digna'!L182</f>
        <v>0.25</v>
      </c>
      <c r="G85" s="5">
        <f t="shared" si="22"/>
        <v>0.50537704918032789</v>
      </c>
      <c r="H85" s="5">
        <f t="shared" si="25"/>
        <v>0.73642622950819669</v>
      </c>
      <c r="I85" s="5">
        <f>+'Vida Digna'!M182</f>
        <v>0.25409836065573771</v>
      </c>
      <c r="J85" s="5">
        <f>+'Vida Digna'!N182</f>
        <v>0.25</v>
      </c>
      <c r="K85" s="5">
        <f>+'Vida Digna'!AD182</f>
        <v>0.92419672131147546</v>
      </c>
      <c r="L85" s="5">
        <v>0.33219672131147543</v>
      </c>
      <c r="M85" s="5">
        <f>+'Vida Digna'!AE182</f>
        <v>0.73691803278688528</v>
      </c>
      <c r="N85" s="5">
        <f>+'Vida Digna'!AI182</f>
        <v>0.25537704918032789</v>
      </c>
      <c r="O85" s="5">
        <f>+'Vida Digna'!AJ182</f>
        <v>0.48642622950819669</v>
      </c>
      <c r="P85" s="5">
        <f>+'Vida Digna'!AK182</f>
        <v>0.67065573770491804</v>
      </c>
      <c r="Q85" s="33">
        <f>+'Vida Digna'!AL182</f>
        <v>2.553770491803279E-2</v>
      </c>
      <c r="R85" s="33">
        <f>+'Vida Digna'!AM182</f>
        <v>0.48642622950819669</v>
      </c>
      <c r="S85" s="33">
        <f>+'Vida Digna'!AN182</f>
        <v>0.67065573770491804</v>
      </c>
      <c r="T85" s="25"/>
      <c r="U85" s="2"/>
      <c r="V85" s="64"/>
    </row>
    <row r="86" spans="2:24" ht="54.6" customHeight="1" x14ac:dyDescent="0.7">
      <c r="B86" s="32" t="s">
        <v>1694</v>
      </c>
      <c r="C86" s="1170"/>
      <c r="D86" s="5">
        <f>+'Vida Digna'!J184</f>
        <v>0.25</v>
      </c>
      <c r="E86" s="5">
        <f>+'Vida Digna'!K184</f>
        <v>0.25948888888888888</v>
      </c>
      <c r="F86" s="5">
        <f>+'Vida Digna'!L184</f>
        <v>0.30027777777777775</v>
      </c>
      <c r="G86" s="5">
        <f t="shared" si="22"/>
        <v>0.55990277777777775</v>
      </c>
      <c r="H86" s="5">
        <f t="shared" si="25"/>
        <v>0.99698472222222223</v>
      </c>
      <c r="I86" s="5">
        <f>+'Vida Digna'!M184</f>
        <v>0.25</v>
      </c>
      <c r="J86" s="5">
        <f>+'Vida Digna'!N184</f>
        <v>0.25981777777777776</v>
      </c>
      <c r="K86" s="5">
        <f>+'Vida Digna'!AD184</f>
        <v>1</v>
      </c>
      <c r="L86" s="5">
        <v>0.27288256136386979</v>
      </c>
      <c r="M86" s="5">
        <f>+'Vida Digna'!AE184</f>
        <v>0.66499532710280373</v>
      </c>
      <c r="N86" s="5">
        <f>+'Vida Digna'!AI184</f>
        <v>0.30041388888888887</v>
      </c>
      <c r="O86" s="5">
        <f>+'Vida Digna'!AJ184</f>
        <v>0.69670694444444448</v>
      </c>
      <c r="P86" s="5">
        <f>+'Vida Digna'!AK184</f>
        <v>0.89663472222222218</v>
      </c>
      <c r="Q86" s="33">
        <f>+'Vida Digna'!AL184</f>
        <v>3.0235694444444447E-2</v>
      </c>
      <c r="R86" s="33">
        <f>+'Vida Digna'!AM184</f>
        <v>0.69215680555555559</v>
      </c>
      <c r="S86" s="33">
        <f>+'Vida Digna'!AN184</f>
        <v>0.88947902777777776</v>
      </c>
      <c r="T86" s="25"/>
      <c r="U86" s="2"/>
      <c r="V86" s="64"/>
    </row>
    <row r="87" spans="2:24" ht="42" customHeight="1" x14ac:dyDescent="0.7">
      <c r="B87" s="32" t="s">
        <v>1675</v>
      </c>
      <c r="C87" s="1170"/>
      <c r="D87" s="5">
        <f>+'Vida Digna'!J187</f>
        <v>0.16762820512820512</v>
      </c>
      <c r="E87" s="5">
        <f>+'Vida Digna'!K187</f>
        <v>0.26798878205128207</v>
      </c>
      <c r="F87" s="5">
        <f>+'Vida Digna'!L187</f>
        <v>0.27911324786324787</v>
      </c>
      <c r="G87" s="5">
        <f t="shared" si="22"/>
        <v>0.65549487179487176</v>
      </c>
      <c r="H87" s="5">
        <v>1</v>
      </c>
      <c r="I87" s="5">
        <f>+'Vida Digna'!M187</f>
        <v>0.1792948717948718</v>
      </c>
      <c r="J87" s="5">
        <f>+'Vida Digna'!N187</f>
        <v>0.26496794871794871</v>
      </c>
      <c r="K87" s="5">
        <f>+'Vida Digna'!AD187</f>
        <v>0.98</v>
      </c>
      <c r="L87" s="5">
        <v>0.19746666666666668</v>
      </c>
      <c r="M87" s="5">
        <f>+'Vida Digna'!AE187</f>
        <v>0.52483333333333326</v>
      </c>
      <c r="N87" s="5">
        <f>+'Vida Digna'!AI187</f>
        <v>0.38750608974358969</v>
      </c>
      <c r="O87" s="5">
        <f>+'Vida Digna'!AJ187</f>
        <v>0.81930320512820509</v>
      </c>
      <c r="P87" s="5">
        <f>+'Vida Digna'!AK187</f>
        <v>0.8554166666666666</v>
      </c>
      <c r="Q87" s="33">
        <f>+'Vida Digna'!AL187</f>
        <v>1.9255512820512823E-2</v>
      </c>
      <c r="R87" s="33">
        <f>+'Vida Digna'!AM187</f>
        <v>0.85509487179487176</v>
      </c>
      <c r="S87" s="33">
        <f>+'Vida Digna'!AN187</f>
        <v>0.8843333333333333</v>
      </c>
      <c r="T87" s="25"/>
      <c r="U87" s="2"/>
      <c r="V87" s="64"/>
    </row>
    <row r="88" spans="2:24" ht="66.599999999999994" customHeight="1" x14ac:dyDescent="0.7">
      <c r="B88" s="30" t="str">
        <f>+'Vida Digna'!B192:C192</f>
        <v xml:space="preserve"> Infancia, Adolescencia y Familia
</v>
      </c>
      <c r="C88" s="1170"/>
      <c r="D88" s="23">
        <f t="shared" ref="D88:I88" si="31">+(D89+D90+D91)/3</f>
        <v>0.23789691874878258</v>
      </c>
      <c r="E88" s="23">
        <f t="shared" si="31"/>
        <v>0.31958568748605082</v>
      </c>
      <c r="F88" s="23">
        <f t="shared" ref="F88" si="32">+(F89+F90+F91)/3</f>
        <v>0.21792049261756397</v>
      </c>
      <c r="G88" s="23">
        <f t="shared" si="22"/>
        <v>0.65956460814799245</v>
      </c>
      <c r="H88" s="23">
        <f t="shared" si="25"/>
        <v>0.91885747731093426</v>
      </c>
      <c r="I88" s="24">
        <f t="shared" si="31"/>
        <v>0.18171330652877268</v>
      </c>
      <c r="J88" s="24">
        <f t="shared" ref="J88:K88" si="33">+(J89+J90+J91)/3</f>
        <v>0.28480466761010298</v>
      </c>
      <c r="K88" s="24">
        <f t="shared" si="33"/>
        <v>0.97274305555555551</v>
      </c>
      <c r="L88" s="24">
        <v>0.28487241054613938</v>
      </c>
      <c r="M88" s="24">
        <f t="shared" ref="M88" si="34">+(M89+M90+M91)/3</f>
        <v>0.6499220394372438</v>
      </c>
      <c r="N88" s="23">
        <f>+(N89+N90+N91)/3</f>
        <v>0.33997892066194169</v>
      </c>
      <c r="O88" s="23">
        <f>+(O89+O90+O91)/3</f>
        <v>0.70093698469337029</v>
      </c>
      <c r="P88" s="23">
        <f>+(P89+P90+P91)/3</f>
        <v>0.81362861460691238</v>
      </c>
      <c r="Q88" s="31">
        <f>+(Q89+Q90+Q91)</f>
        <v>0.24110540532107533</v>
      </c>
      <c r="R88" s="31">
        <f>+'Vida Digna'!AM192</f>
        <v>0.7250078734798705</v>
      </c>
      <c r="S88" s="31">
        <f>+'Vida Digna'!AN192</f>
        <v>0.81850960085645208</v>
      </c>
      <c r="T88" s="25"/>
      <c r="U88" s="2"/>
      <c r="V88" s="64"/>
    </row>
    <row r="89" spans="2:24" ht="39.6" customHeight="1" x14ac:dyDescent="0.7">
      <c r="B89" s="32" t="s">
        <v>1677</v>
      </c>
      <c r="C89" s="1170"/>
      <c r="D89" s="5">
        <f>+'Vida Digna'!J193</f>
        <v>0.23879427591508487</v>
      </c>
      <c r="E89" s="5">
        <f>+'Vida Digna'!K193</f>
        <v>0.33623578341513416</v>
      </c>
      <c r="F89" s="5">
        <f>+'Vida Digna'!L193</f>
        <v>0.24595149395575153</v>
      </c>
      <c r="G89" s="5">
        <f t="shared" si="22"/>
        <v>0.66864561950378887</v>
      </c>
      <c r="H89" s="5">
        <f t="shared" si="25"/>
        <v>0.92481233157623521</v>
      </c>
      <c r="I89" s="5">
        <f>+'Vida Digna'!M193</f>
        <v>0.11410989888238424</v>
      </c>
      <c r="J89" s="5">
        <f>+'Vida Digna'!N193</f>
        <v>0.33924147004908045</v>
      </c>
      <c r="K89" s="5">
        <f>+'Vida Digna'!AD193</f>
        <v>1</v>
      </c>
      <c r="L89" s="5">
        <v>0.34682556497175143</v>
      </c>
      <c r="M89" s="5">
        <f>+'Vida Digna'!AE193</f>
        <v>0.61175141242937858</v>
      </c>
      <c r="N89" s="5">
        <f>+'Vida Digna'!AI193</f>
        <v>0.33240983608865465</v>
      </c>
      <c r="O89" s="5">
        <f>+'Vida Digna'!AJ193</f>
        <v>0.67886083762048366</v>
      </c>
      <c r="P89" s="5">
        <f>+'Vida Digna'!AK193</f>
        <v>0.79876673150189637</v>
      </c>
      <c r="Q89" s="33">
        <f>+'Vida Digna'!AL193</f>
        <v>8.0094974636120198E-2</v>
      </c>
      <c r="R89" s="33">
        <f>+'Vida Digna'!AM193</f>
        <v>0.78121367009638698</v>
      </c>
      <c r="S89" s="33">
        <f>+'Vida Digna'!AN193</f>
        <v>0.86118600424913616</v>
      </c>
      <c r="T89" s="25"/>
      <c r="U89" s="2"/>
      <c r="V89" s="64"/>
    </row>
    <row r="90" spans="2:24" ht="53.4" customHeight="1" x14ac:dyDescent="0.7">
      <c r="B90" s="32" t="s">
        <v>1695</v>
      </c>
      <c r="C90" s="1170"/>
      <c r="D90" s="5">
        <f>+'Vida Digna'!J198</f>
        <v>0.31944444444444442</v>
      </c>
      <c r="E90" s="5">
        <f>+'Vida Digna'!K198</f>
        <v>0.34074074074074073</v>
      </c>
      <c r="F90" s="5">
        <f>+'Vida Digna'!L198</f>
        <v>0.28703703703703703</v>
      </c>
      <c r="G90" s="5">
        <f t="shared" si="22"/>
        <v>0.59807581018518519</v>
      </c>
      <c r="H90" s="5">
        <f t="shared" si="25"/>
        <v>0.86522800925925925</v>
      </c>
      <c r="I90" s="5">
        <f>+'Vida Digna'!M198</f>
        <v>0.27361111111111114</v>
      </c>
      <c r="J90" s="5">
        <f>+'Vida Digna'!N198</f>
        <v>0.2338888888888889</v>
      </c>
      <c r="K90" s="5">
        <f>+'Vida Digna'!AD198</f>
        <v>0.91822916666666665</v>
      </c>
      <c r="L90" s="5">
        <v>9.6291666666666664E-2</v>
      </c>
      <c r="M90" s="5">
        <f>+'Vida Digna'!AE198</f>
        <v>0.33801470588235294</v>
      </c>
      <c r="N90" s="5">
        <f>+'Vida Digna'!AI198</f>
        <v>0.25733506944444445</v>
      </c>
      <c r="O90" s="5">
        <f>+'Vida Digna'!AJ198</f>
        <v>0.57819097222222227</v>
      </c>
      <c r="P90" s="5">
        <f>+'Vida Digna'!AK198</f>
        <v>0.65451041666666665</v>
      </c>
      <c r="Q90" s="33">
        <f>+'Vida Digna'!AL198</f>
        <v>5.0629340277777775E-2</v>
      </c>
      <c r="R90" s="33">
        <f>+'Vida Digna'!AM198</f>
        <v>0.46282430555555554</v>
      </c>
      <c r="S90" s="33">
        <f>+'Vida Digna'!AN198</f>
        <v>0.55662291666666663</v>
      </c>
      <c r="T90" s="25"/>
      <c r="U90" s="2"/>
      <c r="V90" s="64"/>
    </row>
    <row r="91" spans="2:24" ht="48.6" customHeight="1" x14ac:dyDescent="0.7">
      <c r="B91" s="35" t="s">
        <v>1696</v>
      </c>
      <c r="C91" s="1171"/>
      <c r="D91" s="36">
        <f>+'Vida Digna'!J203</f>
        <v>0.1554520358868185</v>
      </c>
      <c r="E91" s="36">
        <f>+'Vida Digna'!K203</f>
        <v>0.28178053830227745</v>
      </c>
      <c r="F91" s="36">
        <f>+'Vida Digna'!L203</f>
        <v>0.12077294685990338</v>
      </c>
      <c r="G91" s="36">
        <f t="shared" si="22"/>
        <v>0.7119723947550034</v>
      </c>
      <c r="H91" s="36">
        <f t="shared" si="25"/>
        <v>0.96653209109730842</v>
      </c>
      <c r="I91" s="36">
        <f>+'Vida Digna'!M203</f>
        <v>0.15741890959282262</v>
      </c>
      <c r="J91" s="36">
        <f>+'Vida Digna'!N203</f>
        <v>0.28128364389233956</v>
      </c>
      <c r="K91" s="36">
        <f>+'Vida Digna'!AD203</f>
        <v>1</v>
      </c>
      <c r="L91" s="36">
        <v>0.41149999999999998</v>
      </c>
      <c r="M91" s="36">
        <f>+'Vida Digna'!AE203</f>
        <v>1</v>
      </c>
      <c r="N91" s="36">
        <f>+'Vida Digna'!AI203</f>
        <v>0.43019185645272601</v>
      </c>
      <c r="O91" s="36">
        <f>+'Vida Digna'!AJ203</f>
        <v>0.84575914423740506</v>
      </c>
      <c r="P91" s="36">
        <f>+'Vida Digna'!AK203</f>
        <v>0.98760869565217391</v>
      </c>
      <c r="Q91" s="37">
        <f>+'Vida Digna'!AL203</f>
        <v>0.11038109040717736</v>
      </c>
      <c r="R91" s="37">
        <f>+'Vida Digna'!AM203</f>
        <v>0.87477984817115262</v>
      </c>
      <c r="S91" s="37">
        <f>+'Vida Digna'!AN203</f>
        <v>0.99504347826086958</v>
      </c>
      <c r="T91" s="25"/>
      <c r="U91" s="2"/>
      <c r="V91" s="64"/>
    </row>
    <row r="92" spans="2:24" ht="120" customHeight="1" x14ac:dyDescent="0.7">
      <c r="B92" s="27" t="str">
        <f>+'Desarrollo Economico'!B3:B3</f>
        <v xml:space="preserve"> DESARROLLO ECONÓMICO EQUITATIVO
</v>
      </c>
      <c r="C92" s="1169">
        <v>0.15</v>
      </c>
      <c r="D92" s="28">
        <f>+'Desarrollo Economico'!J3</f>
        <v>0.25032106779384017</v>
      </c>
      <c r="E92" s="28">
        <f>+'Desarrollo Economico'!K3</f>
        <v>0.30640994027190521</v>
      </c>
      <c r="F92" s="28">
        <f>+'Desarrollo Economico'!L3</f>
        <v>0.32587747464732558</v>
      </c>
      <c r="G92" s="28">
        <f t="shared" si="22"/>
        <v>0.53752284707137843</v>
      </c>
      <c r="H92" s="28">
        <f t="shared" si="25"/>
        <v>0.81399807975980076</v>
      </c>
      <c r="I92" s="28">
        <f>+'Desarrollo Economico'!M3</f>
        <v>0.17821682568108904</v>
      </c>
      <c r="J92" s="28">
        <f>+'Desarrollo Economico'!N3</f>
        <v>0.29286468501983037</v>
      </c>
      <c r="K92" s="645">
        <f>+'Desarrollo Economico'!AD3</f>
        <v>0.8280801355041183</v>
      </c>
      <c r="L92" s="645">
        <v>0.13599855463539826</v>
      </c>
      <c r="M92" s="645">
        <f>+'Desarrollo Economico'!AE3</f>
        <v>0.28538799521787417</v>
      </c>
      <c r="N92" s="28">
        <f>+'Desarrollo Economico'!AI3</f>
        <v>0.23111290679947327</v>
      </c>
      <c r="O92" s="28">
        <f>+'Desarrollo Economico'!AJ3</f>
        <v>0.48812060511247513</v>
      </c>
      <c r="P92" s="1056">
        <f>+'Desarrollo Economico'!AK3</f>
        <v>0.58520124129298157</v>
      </c>
      <c r="Q92" s="29">
        <f>+'Desarrollo Economico'!AL3</f>
        <v>0.1928528471183292</v>
      </c>
      <c r="R92" s="29">
        <f>+'Desarrollo Economico'!AM3</f>
        <v>0.47987044466787071</v>
      </c>
      <c r="S92" s="29">
        <f>+'Desarrollo Economico'!AN3</f>
        <v>0.53129158872265736</v>
      </c>
      <c r="T92" s="25"/>
      <c r="U92" s="2"/>
      <c r="V92" s="64"/>
      <c r="X92" s="6"/>
    </row>
    <row r="93" spans="2:24" ht="78.599999999999994" customHeight="1" x14ac:dyDescent="0.7">
      <c r="B93" s="30" t="str">
        <f>+'Desarrollo Economico'!B4:B4</f>
        <v xml:space="preserve"> Competitividad e innovación
</v>
      </c>
      <c r="C93" s="1170"/>
      <c r="D93" s="23">
        <f t="shared" ref="D93:I93" si="35">+(D94+D95)/2</f>
        <v>0.2752</v>
      </c>
      <c r="E93" s="23">
        <f t="shared" si="35"/>
        <v>0.25843333333333329</v>
      </c>
      <c r="F93" s="23">
        <f t="shared" ref="F93" si="36">+(F94+F95)/2</f>
        <v>0.30312499999999998</v>
      </c>
      <c r="G93" s="23">
        <f t="shared" si="22"/>
        <v>0.57863333333333333</v>
      </c>
      <c r="H93" s="23">
        <f t="shared" si="25"/>
        <v>0.8939583333333333</v>
      </c>
      <c r="I93" s="24">
        <f t="shared" si="35"/>
        <v>0.2379</v>
      </c>
      <c r="J93" s="24">
        <f t="shared" ref="J93" si="37">+(J94+J95)/2</f>
        <v>0.26895000000000002</v>
      </c>
      <c r="K93" s="24">
        <f>+(K94+K95)/2</f>
        <v>0.85</v>
      </c>
      <c r="L93" s="24">
        <v>0</v>
      </c>
      <c r="M93" s="24">
        <f>+(M94+M95)/2</f>
        <v>8.1249999999999989E-2</v>
      </c>
      <c r="N93" s="23">
        <f>+(N94+N95)/2</f>
        <v>0.32019999999999998</v>
      </c>
      <c r="O93" s="23">
        <f>+(O94+O95)/2</f>
        <v>0.59083333333333332</v>
      </c>
      <c r="P93" s="23">
        <f>+(P94+P95)/2</f>
        <v>0.60245833333333332</v>
      </c>
      <c r="Q93" s="31">
        <f>+(Q94+Q95)</f>
        <v>0.24131999999999998</v>
      </c>
      <c r="R93" s="31">
        <f>+'Desarrollo Economico'!AM4</f>
        <v>0.55075000000000007</v>
      </c>
      <c r="S93" s="31">
        <f>+'Desarrollo Economico'!AN4</f>
        <v>0.57247499999999996</v>
      </c>
      <c r="T93" s="25"/>
      <c r="U93" s="2"/>
      <c r="V93" s="64"/>
    </row>
    <row r="94" spans="2:24" ht="54.6" customHeight="1" x14ac:dyDescent="0.7">
      <c r="B94" s="32" t="s">
        <v>1697</v>
      </c>
      <c r="C94" s="1170"/>
      <c r="D94" s="5">
        <f>+'Desarrollo Economico'!J5</f>
        <v>0.3004</v>
      </c>
      <c r="E94" s="5">
        <f>+'Desarrollo Economico'!K5</f>
        <v>0.25019999999999998</v>
      </c>
      <c r="F94" s="5">
        <f>+'Desarrollo Economico'!L5</f>
        <v>0.23125000000000001</v>
      </c>
      <c r="G94" s="5">
        <f t="shared" si="22"/>
        <v>0.65059999999999996</v>
      </c>
      <c r="H94" s="5">
        <f t="shared" si="25"/>
        <v>0.96124999999999994</v>
      </c>
      <c r="I94" s="5">
        <f>+'Desarrollo Economico'!M5</f>
        <v>0.2258</v>
      </c>
      <c r="J94" s="5">
        <f>+'Desarrollo Economico'!N5</f>
        <v>0.26290000000000002</v>
      </c>
      <c r="K94" s="5">
        <f>+'Desarrollo Economico'!AD5</f>
        <v>0.9</v>
      </c>
      <c r="L94" s="5">
        <v>0</v>
      </c>
      <c r="M94" s="5">
        <f>+'Desarrollo Economico'!AE5</f>
        <v>6.25E-2</v>
      </c>
      <c r="N94" s="5">
        <f>+'Desarrollo Economico'!AI5</f>
        <v>0.40039999999999998</v>
      </c>
      <c r="O94" s="5">
        <f>+'Desarrollo Economico'!AJ5</f>
        <v>0.73</v>
      </c>
      <c r="P94" s="5">
        <f>+'Desarrollo Economico'!AK5</f>
        <v>0.70324999999999993</v>
      </c>
      <c r="Q94" s="33">
        <f>+'Desarrollo Economico'!AL5</f>
        <v>0.10031999999999999</v>
      </c>
      <c r="R94" s="33">
        <f>+'Desarrollo Economico'!AM5</f>
        <v>0.70750000000000002</v>
      </c>
      <c r="S94" s="33">
        <f>+'Desarrollo Economico'!AN5</f>
        <v>0.64931249999999996</v>
      </c>
      <c r="T94" s="25"/>
      <c r="U94" s="2"/>
      <c r="V94" s="64"/>
    </row>
    <row r="95" spans="2:24" ht="50.4" customHeight="1" x14ac:dyDescent="0.7">
      <c r="B95" s="32" t="s">
        <v>1698</v>
      </c>
      <c r="C95" s="1170"/>
      <c r="D95" s="5">
        <f>+'Desarrollo Economico'!J11</f>
        <v>0.25</v>
      </c>
      <c r="E95" s="5">
        <f>+'Desarrollo Economico'!K11</f>
        <v>0.26666666666666666</v>
      </c>
      <c r="F95" s="5">
        <f>+'Desarrollo Economico'!L11</f>
        <v>0.375</v>
      </c>
      <c r="G95" s="5">
        <f t="shared" si="22"/>
        <v>0.5066666666666666</v>
      </c>
      <c r="H95" s="5">
        <f t="shared" si="25"/>
        <v>0.82666666666666666</v>
      </c>
      <c r="I95" s="5">
        <f>+'Desarrollo Economico'!M11</f>
        <v>0.25</v>
      </c>
      <c r="J95" s="5">
        <f>+'Desarrollo Economico'!N11</f>
        <v>0.27500000000000002</v>
      </c>
      <c r="K95" s="5">
        <f>+'Desarrollo Economico'!AD11</f>
        <v>0.79999999999999993</v>
      </c>
      <c r="L95" s="5">
        <v>0</v>
      </c>
      <c r="M95" s="5">
        <f>+'Desarrollo Economico'!AE11</f>
        <v>9.9999999999999992E-2</v>
      </c>
      <c r="N95" s="5">
        <f>+'Desarrollo Economico'!AI11</f>
        <v>0.24</v>
      </c>
      <c r="O95" s="5">
        <f>+'Desarrollo Economico'!AJ11</f>
        <v>0.45166666666666666</v>
      </c>
      <c r="P95" s="1051">
        <f>+'Desarrollo Economico'!AK11</f>
        <v>0.50166666666666671</v>
      </c>
      <c r="Q95" s="33">
        <f>+'Desarrollo Economico'!AL11</f>
        <v>0.14099999999999999</v>
      </c>
      <c r="R95" s="33">
        <f>+'Desarrollo Economico'!AM11</f>
        <v>0.44624999999999998</v>
      </c>
      <c r="S95" s="33">
        <f>+'Desarrollo Economico'!AN11</f>
        <v>0.52124999999999999</v>
      </c>
      <c r="T95" s="25"/>
      <c r="U95" s="2"/>
      <c r="V95" s="64"/>
    </row>
    <row r="96" spans="2:24" ht="93" customHeight="1" x14ac:dyDescent="0.7">
      <c r="B96" s="30" t="str">
        <f>+'Desarrollo Economico'!B15:B15</f>
        <v xml:space="preserve"> Diversificación Económica
</v>
      </c>
      <c r="C96" s="1170"/>
      <c r="D96" s="23">
        <f t="shared" ref="D96:I96" si="38">+(D97+D98+D99+D100)/4</f>
        <v>0.28770833333333334</v>
      </c>
      <c r="E96" s="23">
        <f t="shared" si="38"/>
        <v>0.34704861111111107</v>
      </c>
      <c r="F96" s="23">
        <f t="shared" ref="F96" si="39">+(F97+F98+F99+F100)/4</f>
        <v>0.37916666666666665</v>
      </c>
      <c r="G96" s="23">
        <f t="shared" si="22"/>
        <v>0.57802777777777781</v>
      </c>
      <c r="H96" s="23">
        <f t="shared" si="25"/>
        <v>0.96903299936386766</v>
      </c>
      <c r="I96" s="24">
        <f t="shared" si="38"/>
        <v>0.20433333333333331</v>
      </c>
      <c r="J96" s="24">
        <f t="shared" ref="J96:K96" si="40">+(J97+J98+J99+J100)/4</f>
        <v>0.33291666666666664</v>
      </c>
      <c r="K96" s="24">
        <f t="shared" si="40"/>
        <v>0.82645833333333329</v>
      </c>
      <c r="L96" s="24">
        <v>0.19053030303030299</v>
      </c>
      <c r="M96" s="24">
        <f t="shared" ref="M96" si="41">+(M97+M98+M99+M100)/4</f>
        <v>0.35075757575757577</v>
      </c>
      <c r="N96" s="23">
        <f>+(N97+N98+N99+N100)/4</f>
        <v>0.23097916666666671</v>
      </c>
      <c r="O96" s="23">
        <f>+(O97+O98+O99+O100)/4</f>
        <v>0.58986633269720101</v>
      </c>
      <c r="P96" s="23">
        <f>+(P97+P98+P99+P100)/4</f>
        <v>0.71430208333333345</v>
      </c>
      <c r="Q96" s="31">
        <f>+(Q97+Q98+Q99+Q100)</f>
        <v>0.373</v>
      </c>
      <c r="R96" s="31">
        <f>+'Desarrollo Economico'!AM15</f>
        <v>0.67023139312977098</v>
      </c>
      <c r="S96" s="31">
        <f>+'Desarrollo Economico'!AN15</f>
        <v>0.72318749999999998</v>
      </c>
      <c r="T96" s="25"/>
      <c r="U96" s="2"/>
      <c r="V96" s="64"/>
    </row>
    <row r="97" spans="2:22" ht="48" customHeight="1" x14ac:dyDescent="0.7">
      <c r="B97" s="32" t="s">
        <v>1699</v>
      </c>
      <c r="C97" s="1170"/>
      <c r="D97" s="5">
        <f>+'Desarrollo Economico'!J16</f>
        <v>0.25</v>
      </c>
      <c r="E97" s="5">
        <f>+'Desarrollo Economico'!K16</f>
        <v>0.21875</v>
      </c>
      <c r="F97" s="5">
        <f>+'Desarrollo Economico'!L16</f>
        <v>0.27500000000000002</v>
      </c>
      <c r="G97" s="5">
        <f t="shared" si="22"/>
        <v>0.65625</v>
      </c>
      <c r="H97" s="5">
        <f t="shared" si="25"/>
        <v>0.99687500000000007</v>
      </c>
      <c r="I97" s="5">
        <f>+'Desarrollo Economico'!M16</f>
        <v>0.25</v>
      </c>
      <c r="J97" s="5">
        <f>+'Desarrollo Economico'!N16</f>
        <v>0.22500000000000001</v>
      </c>
      <c r="K97" s="5">
        <f>+'Desarrollo Economico'!AD16</f>
        <v>0.82250000000000001</v>
      </c>
      <c r="L97" s="5">
        <v>0</v>
      </c>
      <c r="M97" s="5">
        <f>+'Desarrollo Economico'!AE16</f>
        <v>0</v>
      </c>
      <c r="N97" s="5">
        <f>+'Desarrollo Economico'!AI16</f>
        <v>0.4375</v>
      </c>
      <c r="O97" s="5">
        <f>+'Desarrollo Economico'!AJ16</f>
        <v>0.72187500000000004</v>
      </c>
      <c r="P97" s="5">
        <f>+'Desarrollo Economico'!AK16</f>
        <v>0.72187500000000004</v>
      </c>
      <c r="Q97" s="33">
        <f>+'Desarrollo Economico'!AL16</f>
        <v>0.17500000000000002</v>
      </c>
      <c r="R97" s="33">
        <f>+'Desarrollo Economico'!AM16</f>
        <v>0.88874999999999993</v>
      </c>
      <c r="S97" s="33">
        <f>+'Desarrollo Economico'!AN16</f>
        <v>0.88874999999999993</v>
      </c>
      <c r="T97" s="25"/>
      <c r="U97" s="2"/>
      <c r="V97" s="64"/>
    </row>
    <row r="98" spans="2:22" ht="48" customHeight="1" x14ac:dyDescent="0.7">
      <c r="B98" s="32" t="s">
        <v>1700</v>
      </c>
      <c r="C98" s="1170"/>
      <c r="D98" s="5">
        <f>+'Desarrollo Economico'!J21</f>
        <v>0.13416666666666666</v>
      </c>
      <c r="E98" s="5">
        <f>+'Desarrollo Economico'!K21</f>
        <v>0.15833333333333333</v>
      </c>
      <c r="F98" s="5">
        <f>+'Desarrollo Economico'!L21</f>
        <v>0.15833333333333333</v>
      </c>
      <c r="G98" s="5">
        <f t="shared" si="22"/>
        <v>0.38750000000000001</v>
      </c>
      <c r="H98" s="5">
        <f t="shared" si="25"/>
        <v>0.70992366412213737</v>
      </c>
      <c r="I98" s="5">
        <f>+'Desarrollo Economico'!M21</f>
        <v>0.15733333333333333</v>
      </c>
      <c r="J98" s="5">
        <f>+'Desarrollo Economico'!N21</f>
        <v>0.17666666666666667</v>
      </c>
      <c r="K98" s="5">
        <f>+'Desarrollo Economico'!AD21</f>
        <v>1</v>
      </c>
      <c r="L98" s="5">
        <v>0.3833333333333333</v>
      </c>
      <c r="M98" s="5">
        <f>+'Desarrollo Economico'!AE21</f>
        <v>0.76666666666666661</v>
      </c>
      <c r="N98" s="5">
        <f>+'Desarrollo Economico'!AI21</f>
        <v>0.22916666666666669</v>
      </c>
      <c r="O98" s="5">
        <f>+'Desarrollo Economico'!AJ21</f>
        <v>0.55159033078880404</v>
      </c>
      <c r="P98" s="5">
        <f>+'Desarrollo Economico'!AK21</f>
        <v>0.90833333333333333</v>
      </c>
      <c r="Q98" s="33">
        <f>+'Desarrollo Economico'!AL21</f>
        <v>2.7000000000000003E-2</v>
      </c>
      <c r="R98" s="33">
        <f>+'Desarrollo Economico'!AM21</f>
        <v>0.5779389312977099</v>
      </c>
      <c r="S98" s="33">
        <f>+'Desarrollo Economico'!AN21</f>
        <v>0.89</v>
      </c>
      <c r="T98" s="25"/>
      <c r="U98" s="2"/>
      <c r="V98" s="64"/>
    </row>
    <row r="99" spans="2:22" ht="48" customHeight="1" x14ac:dyDescent="0.7">
      <c r="B99" s="32" t="s">
        <v>1701</v>
      </c>
      <c r="C99" s="1170"/>
      <c r="D99" s="5">
        <f>+'Desarrollo Economico'!J24</f>
        <v>0.16666666666666666</v>
      </c>
      <c r="E99" s="5">
        <f>+'Desarrollo Economico'!K24</f>
        <v>0.41111111111111115</v>
      </c>
      <c r="F99" s="5">
        <f>+'Desarrollo Economico'!L24</f>
        <v>0.45</v>
      </c>
      <c r="G99" s="5">
        <f t="shared" si="22"/>
        <v>0.51836111111111116</v>
      </c>
      <c r="H99" s="5">
        <v>1</v>
      </c>
      <c r="I99" s="5">
        <f>+'Desarrollo Economico'!M24</f>
        <v>4.9999999999999996E-2</v>
      </c>
      <c r="J99" s="5">
        <f>+'Desarrollo Economico'!N24</f>
        <v>0.43999999999999995</v>
      </c>
      <c r="K99" s="5">
        <f>+'Desarrollo Economico'!AD24</f>
        <v>0.73333333333333339</v>
      </c>
      <c r="L99" s="5">
        <v>0.33333333333333331</v>
      </c>
      <c r="M99" s="5">
        <f>+'Desarrollo Economico'!AE24</f>
        <v>0.5</v>
      </c>
      <c r="N99" s="5">
        <f>+'Desarrollo Economico'!AI24</f>
        <v>0.10725000000000001</v>
      </c>
      <c r="O99" s="5">
        <f>+'Desarrollo Economico'!AJ24</f>
        <v>0.56099999999999994</v>
      </c>
      <c r="P99" s="5">
        <f>+'Desarrollo Economico'!AK24</f>
        <v>0.627</v>
      </c>
      <c r="Q99" s="33">
        <f>+'Desarrollo Economico'!AL24</f>
        <v>4.4999999999999998E-2</v>
      </c>
      <c r="R99" s="33">
        <f>+'Desarrollo Economico'!AM24</f>
        <v>0.42</v>
      </c>
      <c r="S99" s="33">
        <f>+'Desarrollo Economico'!AN24</f>
        <v>0.44</v>
      </c>
      <c r="T99" s="25"/>
      <c r="U99" s="2"/>
      <c r="V99" s="64"/>
    </row>
    <row r="100" spans="2:22" ht="48" customHeight="1" x14ac:dyDescent="0.7">
      <c r="B100" s="32" t="s">
        <v>1702</v>
      </c>
      <c r="C100" s="1170"/>
      <c r="D100" s="5">
        <f>+'Desarrollo Economico'!J28</f>
        <v>0.6</v>
      </c>
      <c r="E100" s="5">
        <f>+'Desarrollo Economico'!K28</f>
        <v>0.6</v>
      </c>
      <c r="F100" s="5">
        <f>+'Desarrollo Economico'!L28</f>
        <v>0.63333333333333341</v>
      </c>
      <c r="G100" s="5">
        <f t="shared" si="22"/>
        <v>0.75</v>
      </c>
      <c r="H100" s="5">
        <v>1</v>
      </c>
      <c r="I100" s="5">
        <f>+'Desarrollo Economico'!M28</f>
        <v>0.36</v>
      </c>
      <c r="J100" s="5">
        <f>+'Desarrollo Economico'!N28</f>
        <v>0.49</v>
      </c>
      <c r="K100" s="5">
        <f>+'Desarrollo Economico'!AD28</f>
        <v>0.75000000000000011</v>
      </c>
      <c r="L100" s="5">
        <v>4.5454545454545456E-2</v>
      </c>
      <c r="M100" s="5">
        <f>+'Desarrollo Economico'!AE28</f>
        <v>0.13636363636363638</v>
      </c>
      <c r="N100" s="5">
        <f>+'Desarrollo Economico'!AI28</f>
        <v>0.15</v>
      </c>
      <c r="O100" s="5">
        <f>+'Desarrollo Economico'!AJ28</f>
        <v>0.52500000000000002</v>
      </c>
      <c r="P100" s="5">
        <f>+'Desarrollo Economico'!AK28</f>
        <v>0.60000000000000009</v>
      </c>
      <c r="Q100" s="33">
        <f>+'Desarrollo Economico'!AL28</f>
        <v>0.126</v>
      </c>
      <c r="R100" s="33">
        <f>+'Desarrollo Economico'!AM28</f>
        <v>0.755</v>
      </c>
      <c r="S100" s="33">
        <f>+'Desarrollo Economico'!AN28</f>
        <v>0.8</v>
      </c>
      <c r="T100" s="25"/>
      <c r="U100" s="2"/>
      <c r="V100" s="64"/>
    </row>
    <row r="101" spans="2:22" ht="70.2" customHeight="1" x14ac:dyDescent="0.7">
      <c r="B101" s="30" t="str">
        <f>+'Desarrollo Economico'!B33:B33</f>
        <v xml:space="preserve"> Trabajo Decente y Cierre de Brechas Laborales
</v>
      </c>
      <c r="C101" s="1170"/>
      <c r="D101" s="23">
        <f t="shared" ref="D101:I101" si="42">+(D102+D103+D104)/3</f>
        <v>0.36472934472934471</v>
      </c>
      <c r="E101" s="23">
        <f t="shared" si="42"/>
        <v>0.15683760683760684</v>
      </c>
      <c r="F101" s="23">
        <f t="shared" ref="F101" si="43">+(F102+F103+F104)/3</f>
        <v>0.17341880341880342</v>
      </c>
      <c r="G101" s="23">
        <f t="shared" si="22"/>
        <v>0.44333803418803419</v>
      </c>
      <c r="H101" s="23">
        <f t="shared" si="25"/>
        <v>0.73340925925925926</v>
      </c>
      <c r="I101" s="24">
        <f t="shared" si="42"/>
        <v>0.25547008547008548</v>
      </c>
      <c r="J101" s="24">
        <f t="shared" ref="J101:K101" si="44">+(J102+J103+J104)/3</f>
        <v>0.16822649572649573</v>
      </c>
      <c r="K101" s="24">
        <f t="shared" si="44"/>
        <v>1.0525925925925925</v>
      </c>
      <c r="L101" s="24">
        <v>0.33333333333333331</v>
      </c>
      <c r="M101" s="24">
        <f t="shared" ref="M101" si="45">+(M102+M103+M104)/3</f>
        <v>0.5</v>
      </c>
      <c r="N101" s="23">
        <f>+(N102+N103+N104)/3</f>
        <v>0.28650042735042736</v>
      </c>
      <c r="O101" s="23">
        <f>+(O102+O103+O104)/3</f>
        <v>0.55999045584045581</v>
      </c>
      <c r="P101" s="23">
        <f>+(P102+P103+P104)/3</f>
        <v>0.6659591168091169</v>
      </c>
      <c r="Q101" s="31">
        <f>+(Q102+Q103+Q104)</f>
        <v>0.23447615384615383</v>
      </c>
      <c r="R101" s="31">
        <f>+'Desarrollo Economico'!AM33</f>
        <v>0.45406589743589743</v>
      </c>
      <c r="S101" s="31">
        <f>+'Desarrollo Economico'!AN33</f>
        <v>0.52909794871794869</v>
      </c>
      <c r="T101" s="25"/>
      <c r="U101" s="2"/>
      <c r="V101" s="64"/>
    </row>
    <row r="102" spans="2:22" ht="43.2" customHeight="1" x14ac:dyDescent="0.7">
      <c r="B102" s="32" t="s">
        <v>1703</v>
      </c>
      <c r="C102" s="1170"/>
      <c r="D102" s="5">
        <f>+'Desarrollo Economico'!J34</f>
        <v>8.6111111111111097E-2</v>
      </c>
      <c r="E102" s="5">
        <f>+'Desarrollo Economico'!K34</f>
        <v>8.1666666666666665E-2</v>
      </c>
      <c r="F102" s="5">
        <f>+'Desarrollo Economico'!L34</f>
        <v>0.20833333333333331</v>
      </c>
      <c r="G102" s="5">
        <f t="shared" si="22"/>
        <v>0.18703333333333333</v>
      </c>
      <c r="H102" s="5">
        <f t="shared" si="25"/>
        <v>0.48147777777777773</v>
      </c>
      <c r="I102" s="5">
        <f>+'Desarrollo Economico'!M34</f>
        <v>5.0833333333333328E-2</v>
      </c>
      <c r="J102" s="5">
        <f>+'Desarrollo Economico'!N34</f>
        <v>0.11583333333333333</v>
      </c>
      <c r="K102" s="5">
        <f>+'Desarrollo Economico'!AD34</f>
        <v>1.1577777777777778</v>
      </c>
      <c r="L102" s="5">
        <v>0</v>
      </c>
      <c r="M102" s="5">
        <f>+'Desarrollo Economico'!AE34</f>
        <v>0</v>
      </c>
      <c r="N102" s="5">
        <f>+'Desarrollo Economico'!AI34</f>
        <v>0.10536666666666666</v>
      </c>
      <c r="O102" s="5">
        <f>+'Desarrollo Economico'!AJ34</f>
        <v>0.27314444444444441</v>
      </c>
      <c r="P102" s="1051">
        <f>+'Desarrollo Economico'!AK34</f>
        <v>0.31758888888888887</v>
      </c>
      <c r="Q102" s="33">
        <f>+'Desarrollo Economico'!AL34</f>
        <v>4.5942499999999997E-2</v>
      </c>
      <c r="R102" s="33">
        <f>+'Desarrollo Economico'!AM34</f>
        <v>0.20471833333333331</v>
      </c>
      <c r="S102" s="33">
        <f>+'Desarrollo Economico'!AN34</f>
        <v>0.21805166666666664</v>
      </c>
      <c r="T102" s="25"/>
      <c r="U102" s="2"/>
      <c r="V102" s="64"/>
    </row>
    <row r="103" spans="2:22" ht="31.2" customHeight="1" x14ac:dyDescent="0.7">
      <c r="B103" s="32" t="s">
        <v>1704</v>
      </c>
      <c r="C103" s="1170"/>
      <c r="D103" s="5">
        <f>+'Desarrollo Economico'!J40</f>
        <v>0.58499999999999996</v>
      </c>
      <c r="E103" s="5">
        <f>+'Desarrollo Economico'!K40</f>
        <v>0.23500000000000001</v>
      </c>
      <c r="F103" s="5">
        <f>+'Desarrollo Economico'!L40</f>
        <v>0.23500000000000001</v>
      </c>
      <c r="G103" s="5">
        <f t="shared" si="22"/>
        <v>0.54375000000000007</v>
      </c>
      <c r="H103" s="5">
        <f t="shared" si="25"/>
        <v>0.77874999999999994</v>
      </c>
      <c r="I103" s="5">
        <f>+'Desarrollo Economico'!M40</f>
        <v>0.29249999999999998</v>
      </c>
      <c r="J103" s="5">
        <f>+'Desarrollo Economico'!N40</f>
        <v>0.23500000000000001</v>
      </c>
      <c r="K103" s="5">
        <f>+'Desarrollo Economico'!AD40</f>
        <v>1</v>
      </c>
      <c r="L103" s="5">
        <v>1</v>
      </c>
      <c r="M103" s="5">
        <f>+'Desarrollo Economico'!AE40</f>
        <v>1</v>
      </c>
      <c r="N103" s="5">
        <f>+'Desarrollo Economico'!AI40</f>
        <v>0.30875000000000002</v>
      </c>
      <c r="O103" s="5">
        <f>+'Desarrollo Economico'!AJ40</f>
        <v>0.54374999999999996</v>
      </c>
      <c r="P103" s="5">
        <f>+'Desarrollo Economico'!AK40</f>
        <v>0.77875000000000005</v>
      </c>
      <c r="Q103" s="33">
        <f>+'Desarrollo Economico'!AL40</f>
        <v>7.7187500000000006E-2</v>
      </c>
      <c r="R103" s="33">
        <f>+'Desarrollo Economico'!AM40</f>
        <v>0.54374999999999996</v>
      </c>
      <c r="S103" s="33">
        <f>+'Desarrollo Economico'!AN40</f>
        <v>0.77875000000000005</v>
      </c>
      <c r="T103" s="25"/>
      <c r="U103" s="2"/>
      <c r="V103" s="64"/>
    </row>
    <row r="104" spans="2:22" ht="51.6" customHeight="1" x14ac:dyDescent="0.7">
      <c r="B104" s="32" t="s">
        <v>1705</v>
      </c>
      <c r="C104" s="1170"/>
      <c r="D104" s="5">
        <f>+'Desarrollo Economico'!J43</f>
        <v>0.42307692307692307</v>
      </c>
      <c r="E104" s="5">
        <f>+'Desarrollo Economico'!K43</f>
        <v>0.15384615384615385</v>
      </c>
      <c r="F104" s="5">
        <f>+'Desarrollo Economico'!L43</f>
        <v>7.6923076923076927E-2</v>
      </c>
      <c r="G104" s="5">
        <f t="shared" si="22"/>
        <v>0.59923076923076923</v>
      </c>
      <c r="H104" s="5">
        <f t="shared" si="25"/>
        <v>0.94</v>
      </c>
      <c r="I104" s="5">
        <f>+'Desarrollo Economico'!M43</f>
        <v>0.42307692307692307</v>
      </c>
      <c r="J104" s="5">
        <f>+'Desarrollo Economico'!N43</f>
        <v>0.15384615384615385</v>
      </c>
      <c r="K104" s="5">
        <f>+'Desarrollo Economico'!AD43</f>
        <v>1</v>
      </c>
      <c r="L104" s="5">
        <v>0</v>
      </c>
      <c r="M104" s="5">
        <f>+'Desarrollo Economico'!AE43</f>
        <v>0.5</v>
      </c>
      <c r="N104" s="5">
        <f>+'Desarrollo Economico'!AI43</f>
        <v>0.44538461538461538</v>
      </c>
      <c r="O104" s="5">
        <f>+'Desarrollo Economico'!AJ43</f>
        <v>0.86307692307692307</v>
      </c>
      <c r="P104" s="5">
        <f>+'Desarrollo Economico'!AK43</f>
        <v>0.90153846153846151</v>
      </c>
      <c r="Q104" s="33">
        <f>+'Desarrollo Economico'!AL43</f>
        <v>0.11134615384615384</v>
      </c>
      <c r="R104" s="33">
        <f>+'Desarrollo Economico'!AM43</f>
        <v>0.86307692307692307</v>
      </c>
      <c r="S104" s="33">
        <f>+'Desarrollo Economico'!AN43</f>
        <v>0.90153846153846151</v>
      </c>
      <c r="T104" s="25"/>
      <c r="U104" s="2"/>
      <c r="V104" s="64"/>
    </row>
    <row r="105" spans="2:22" ht="49.8" x14ac:dyDescent="0.7">
      <c r="B105" s="30" t="str">
        <f>+'Desarrollo Economico'!B45:B45</f>
        <v xml:space="preserve"> Economía Popular y Emprendimiento
</v>
      </c>
      <c r="C105" s="1170"/>
      <c r="D105" s="23">
        <f>+(D106+D107+D108+D109)/3</f>
        <v>0.15416666666666667</v>
      </c>
      <c r="E105" s="23">
        <f>+(E106+E107+E108+E109)/4</f>
        <v>0.28135416666666668</v>
      </c>
      <c r="F105" s="23">
        <f>+(F106+F107+F108+F109)/4</f>
        <v>0.37308035714285714</v>
      </c>
      <c r="G105" s="23">
        <f t="shared" si="22"/>
        <v>0.45191666666666674</v>
      </c>
      <c r="H105" s="23">
        <f t="shared" si="25"/>
        <v>0.76544494047619049</v>
      </c>
      <c r="I105" s="24">
        <f>+(I106+I107+I108+I109)/3</f>
        <v>7.0208333333333331E-2</v>
      </c>
      <c r="J105" s="24">
        <f t="shared" ref="J105" si="46">+(J106+J107+J108+J109)/3</f>
        <v>0.38183333333333341</v>
      </c>
      <c r="K105" s="24">
        <f>+(K106+K107+K108+K109)/4</f>
        <v>0.70187500000000003</v>
      </c>
      <c r="L105" s="24">
        <v>0.23845833333333333</v>
      </c>
      <c r="M105" s="24">
        <f>+(M106+M107+M108+M109)/4</f>
        <v>0.323125</v>
      </c>
      <c r="N105" s="23">
        <f>+(N106+N107+N108+N109)/3</f>
        <v>0.17056250000000003</v>
      </c>
      <c r="O105" s="23">
        <f>+(O106+O107+O108+O109)/4</f>
        <v>0.39236458333333335</v>
      </c>
      <c r="P105" s="23">
        <f>+(P106+P107+P108+P109)/4</f>
        <v>0.48835863095238097</v>
      </c>
      <c r="Q105" s="31">
        <f>+(Q106+Q107+Q108+Q109)</f>
        <v>0.11891499999999999</v>
      </c>
      <c r="R105" s="31">
        <f>+'Desarrollo Economico'!AM45</f>
        <v>0.48483416666666668</v>
      </c>
      <c r="S105" s="31">
        <f>+'Desarrollo Economico'!AN45</f>
        <v>0.57444583333333343</v>
      </c>
      <c r="T105" s="25"/>
      <c r="U105" s="2"/>
      <c r="V105" s="64"/>
    </row>
    <row r="106" spans="2:22" ht="36" customHeight="1" x14ac:dyDescent="0.7">
      <c r="B106" s="32" t="s">
        <v>1706</v>
      </c>
      <c r="C106" s="1170"/>
      <c r="D106" s="5">
        <f>+'Desarrollo Economico'!J46</f>
        <v>0.21249999999999999</v>
      </c>
      <c r="E106" s="5">
        <f>+'Desarrollo Economico'!K46</f>
        <v>0.32916666666666666</v>
      </c>
      <c r="F106" s="5">
        <f>+'Desarrollo Economico'!L46</f>
        <v>0.28857142857142859</v>
      </c>
      <c r="G106" s="5">
        <f t="shared" si="22"/>
        <v>0.4916666666666667</v>
      </c>
      <c r="H106" s="5">
        <f t="shared" si="25"/>
        <v>0.67240476190476195</v>
      </c>
      <c r="I106" s="5">
        <f>+'Desarrollo Economico'!M46</f>
        <v>7.8125E-2</v>
      </c>
      <c r="J106" s="5">
        <f>+'Desarrollo Economico'!N46</f>
        <v>0.27500000000000002</v>
      </c>
      <c r="K106" s="5">
        <f>+'Desarrollo Economico'!AD46</f>
        <v>0.84500000000000008</v>
      </c>
      <c r="L106" s="5">
        <v>0</v>
      </c>
      <c r="M106" s="5">
        <f>+'Desarrollo Economico'!AE46</f>
        <v>0</v>
      </c>
      <c r="N106" s="5">
        <f>+'Desarrollo Economico'!AI46</f>
        <v>0.16250000000000001</v>
      </c>
      <c r="O106" s="5">
        <f>+'Desarrollo Economico'!AJ46</f>
        <v>0.3838333333333333</v>
      </c>
      <c r="P106" s="1051">
        <f>+'Desarrollo Economico'!AK46</f>
        <v>0.33614285714285713</v>
      </c>
      <c r="Q106" s="33">
        <f>+'Desarrollo Economico'!AL46</f>
        <v>1.6406250000000001E-2</v>
      </c>
      <c r="R106" s="33">
        <f>+'Desarrollo Economico'!AM46</f>
        <v>0.34800000000000003</v>
      </c>
      <c r="S106" s="33">
        <f>+'Desarrollo Economico'!AN46</f>
        <v>0.35300000000000004</v>
      </c>
      <c r="T106" s="25"/>
      <c r="U106" s="2"/>
      <c r="V106" s="64"/>
    </row>
    <row r="107" spans="2:22" ht="65.400000000000006" customHeight="1" x14ac:dyDescent="0.7">
      <c r="B107" s="32" t="s">
        <v>1707</v>
      </c>
      <c r="C107" s="1170"/>
      <c r="D107" s="5">
        <f>+'Desarrollo Economico'!J54</f>
        <v>0.125</v>
      </c>
      <c r="E107" s="5">
        <f>+'Desarrollo Economico'!K54</f>
        <v>0.34375</v>
      </c>
      <c r="F107" s="5">
        <f>+'Desarrollo Economico'!L54</f>
        <v>0.3</v>
      </c>
      <c r="G107" s="5">
        <f t="shared" si="22"/>
        <v>0.42743750000000003</v>
      </c>
      <c r="H107" s="5">
        <f t="shared" si="25"/>
        <v>0.76824999999999999</v>
      </c>
      <c r="I107" s="5">
        <f>+'Desarrollo Economico'!M54</f>
        <v>6.25E-2</v>
      </c>
      <c r="J107" s="5">
        <f>+'Desarrollo Economico'!N54</f>
        <v>0.36499999999999999</v>
      </c>
      <c r="K107" s="5">
        <f>+'Desarrollo Economico'!AD54</f>
        <v>1</v>
      </c>
      <c r="L107" s="5">
        <v>0.17049999999999998</v>
      </c>
      <c r="M107" s="5">
        <f>+'Desarrollo Economico'!AE54</f>
        <v>0.42616666666666669</v>
      </c>
      <c r="N107" s="5">
        <f>+'Desarrollo Economico'!AI54</f>
        <v>8.3687499999999998E-2</v>
      </c>
      <c r="O107" s="5">
        <f>+'Desarrollo Economico'!AJ54</f>
        <v>0.46825</v>
      </c>
      <c r="P107" s="5">
        <f>+'Desarrollo Economico'!AK54</f>
        <v>0.59</v>
      </c>
      <c r="Q107" s="33">
        <f>+'Desarrollo Economico'!AL54</f>
        <v>5.8581249999999994E-2</v>
      </c>
      <c r="R107" s="33">
        <f>+'Desarrollo Economico'!AM54</f>
        <v>0.61399999999999999</v>
      </c>
      <c r="S107" s="33">
        <f>+'Desarrollo Economico'!AN54</f>
        <v>0.74550000000000005</v>
      </c>
      <c r="T107" s="25"/>
      <c r="U107" s="2"/>
      <c r="V107" s="64"/>
    </row>
    <row r="108" spans="2:22" ht="36.6" x14ac:dyDescent="0.7">
      <c r="B108" s="32" t="s">
        <v>1708</v>
      </c>
      <c r="C108" s="1170"/>
      <c r="D108" s="5">
        <f>+'Desarrollo Economico'!J59</f>
        <v>0.125</v>
      </c>
      <c r="E108" s="5">
        <f>+'Desarrollo Economico'!K59</f>
        <v>0.45250000000000001</v>
      </c>
      <c r="F108" s="5">
        <f>+'Desarrollo Economico'!L59</f>
        <v>0.23708333333333331</v>
      </c>
      <c r="G108" s="5">
        <f t="shared" si="22"/>
        <v>0.71799999999999997</v>
      </c>
      <c r="H108" s="5">
        <f t="shared" si="25"/>
        <v>0.82029166666666664</v>
      </c>
      <c r="I108" s="5">
        <f>+'Desarrollo Economico'!M59</f>
        <v>7.0000000000000007E-2</v>
      </c>
      <c r="J108" s="5">
        <f>+'Desarrollo Economico'!N59</f>
        <v>0.50550000000000006</v>
      </c>
      <c r="K108" s="5">
        <f>+'Desarrollo Economico'!AD59</f>
        <v>0.96250000000000002</v>
      </c>
      <c r="L108" s="5">
        <v>0.45</v>
      </c>
      <c r="M108" s="5">
        <f>+'Desarrollo Economico'!AE59</f>
        <v>0.5</v>
      </c>
      <c r="N108" s="5">
        <f>+'Desarrollo Economico'!AI59</f>
        <v>0.26550000000000001</v>
      </c>
      <c r="O108" s="5">
        <f>+'Desarrollo Economico'!AJ59</f>
        <v>0.58320833333333333</v>
      </c>
      <c r="P108" s="5">
        <f>+'Desarrollo Economico'!AK59</f>
        <v>0.69895833333333335</v>
      </c>
      <c r="Q108" s="33">
        <f>+'Desarrollo Economico'!AL59</f>
        <v>4.3927500000000001E-2</v>
      </c>
      <c r="R108" s="33">
        <f>+'Desarrollo Economico'!AM59</f>
        <v>0.56505833333333333</v>
      </c>
      <c r="S108" s="33">
        <f>+'Desarrollo Economico'!AN59</f>
        <v>0.64145833333333335</v>
      </c>
      <c r="T108" s="25"/>
      <c r="U108" s="2"/>
      <c r="V108" s="64"/>
    </row>
    <row r="109" spans="2:22" ht="46.95" customHeight="1" x14ac:dyDescent="0.7">
      <c r="B109" s="32" t="s">
        <v>1709</v>
      </c>
      <c r="C109" s="1170"/>
      <c r="D109" s="5">
        <f>+'Desarrollo Economico'!J64</f>
        <v>0</v>
      </c>
      <c r="E109" s="5">
        <f>+'Desarrollo Economico'!K64</f>
        <v>0</v>
      </c>
      <c r="F109" s="5">
        <f>+'Desarrollo Economico'!L64</f>
        <v>0.66666666666666674</v>
      </c>
      <c r="G109" s="5">
        <f t="shared" si="22"/>
        <v>0</v>
      </c>
      <c r="H109" s="5">
        <f t="shared" si="25"/>
        <v>0.8008333333333334</v>
      </c>
      <c r="I109" s="5">
        <f>+'Desarrollo Economico'!M64</f>
        <v>0</v>
      </c>
      <c r="J109" s="5">
        <f>+'Desarrollo Economico'!N64</f>
        <v>0</v>
      </c>
      <c r="K109" s="5">
        <f>+'Desarrollo Economico'!AD64</f>
        <v>0</v>
      </c>
      <c r="L109" s="5">
        <v>0.33333333333333331</v>
      </c>
      <c r="M109" s="5">
        <f>+'Desarrollo Economico'!AE64</f>
        <v>0.36633333333333329</v>
      </c>
      <c r="N109" s="5">
        <f>+'Desarrollo Economico'!AI64</f>
        <v>0</v>
      </c>
      <c r="O109" s="5">
        <f>+'Desarrollo Economico'!AJ64</f>
        <v>0.13416666666666666</v>
      </c>
      <c r="P109" s="5">
        <f>+'Desarrollo Economico'!AK64</f>
        <v>0.32833333333333331</v>
      </c>
      <c r="Q109" s="33">
        <f>+'Desarrollo Economico'!AL64</f>
        <v>0</v>
      </c>
      <c r="R109" s="33">
        <f>+'Desarrollo Economico'!AM64</f>
        <v>0.13416666666666666</v>
      </c>
      <c r="S109" s="33">
        <f>+'Desarrollo Economico'!AN64</f>
        <v>0.32833333333333331</v>
      </c>
      <c r="T109" s="25"/>
      <c r="U109" s="2"/>
      <c r="V109" s="64"/>
    </row>
    <row r="110" spans="2:22" ht="88.95" customHeight="1" x14ac:dyDescent="0.7">
      <c r="B110" s="30" t="str">
        <f>+'Desarrollo Economico'!B67:B67</f>
        <v xml:space="preserve">Turismo Sostenible y Responsable
</v>
      </c>
      <c r="C110" s="1170"/>
      <c r="D110" s="23">
        <f>+(D111+D112+D113+D114+D115)/5</f>
        <v>0.1135</v>
      </c>
      <c r="E110" s="23">
        <f>+(E111+E112+E113+E114+E115)/5</f>
        <v>0.50593420257578892</v>
      </c>
      <c r="F110" s="23">
        <f>+(F111+F112+F113+F114+F115)/5</f>
        <v>0.32380212226365584</v>
      </c>
      <c r="G110" s="23">
        <f t="shared" si="22"/>
        <v>0.6744342025757889</v>
      </c>
      <c r="H110" s="23">
        <f t="shared" si="25"/>
        <v>0.83863768610593192</v>
      </c>
      <c r="I110" s="24">
        <f>+(I111+I112+I113+I114+I115)/5</f>
        <v>0.20750000000000002</v>
      </c>
      <c r="J110" s="24">
        <f t="shared" ref="J110:K110" si="47">+(J111+J112+J113+J114+J115)/5</f>
        <v>0.47529743197983565</v>
      </c>
      <c r="K110" s="24">
        <f t="shared" si="47"/>
        <v>0.86744444444444446</v>
      </c>
      <c r="L110" s="24">
        <v>6.3350452433357782E-2</v>
      </c>
      <c r="M110" s="24">
        <f t="shared" ref="M110" si="48">+(M111+M112+M113+M114+M115)/5</f>
        <v>0.35263389581804849</v>
      </c>
      <c r="N110" s="23">
        <f>+(N111+N112+N113+N114+N115)/5</f>
        <v>0.16850000000000001</v>
      </c>
      <c r="O110" s="23">
        <f>+(O111+O112+O113+O114+O115)/5</f>
        <v>0.51483556384227602</v>
      </c>
      <c r="P110" s="23">
        <f>+(P111+P112+P113+P114+P115)/5</f>
        <v>0.61448928035011385</v>
      </c>
      <c r="Q110" s="31">
        <f>+(Q111+Q112+Q113+Q114+Q115)</f>
        <v>8.3350000000000007E-2</v>
      </c>
      <c r="R110" s="31">
        <f>+'Desarrollo Economico'!AM67</f>
        <v>0.46027253772184246</v>
      </c>
      <c r="S110" s="31">
        <f>+'Desarrollo Economico'!AN67</f>
        <v>0.52973981003124782</v>
      </c>
      <c r="T110" s="25"/>
      <c r="U110" s="2"/>
      <c r="V110" s="64"/>
    </row>
    <row r="111" spans="2:22" ht="40.950000000000003" customHeight="1" x14ac:dyDescent="0.7">
      <c r="B111" s="32" t="s">
        <v>1710</v>
      </c>
      <c r="C111" s="1170"/>
      <c r="D111" s="5">
        <f>+'Desarrollo Economico'!J68</f>
        <v>0</v>
      </c>
      <c r="E111" s="5">
        <f>+'Desarrollo Economico'!K68</f>
        <v>0.3845486111111111</v>
      </c>
      <c r="F111" s="5">
        <f>+'Desarrollo Economico'!L68</f>
        <v>0.29913194444444441</v>
      </c>
      <c r="G111" s="5">
        <f t="shared" si="22"/>
        <v>0.3845486111111111</v>
      </c>
      <c r="H111" s="5">
        <f t="shared" si="25"/>
        <v>0.70086805555555554</v>
      </c>
      <c r="I111" s="5">
        <f>+'Desarrollo Economico'!M68</f>
        <v>0</v>
      </c>
      <c r="J111" s="5">
        <f>+'Desarrollo Economico'!N68</f>
        <v>0.35642361111111109</v>
      </c>
      <c r="K111" s="5">
        <f>+'Desarrollo Economico'!AD68</f>
        <v>1</v>
      </c>
      <c r="L111" s="5">
        <v>0</v>
      </c>
      <c r="M111" s="5">
        <f>+'Desarrollo Economico'!AE68</f>
        <v>0.5</v>
      </c>
      <c r="N111" s="5">
        <f>+'Desarrollo Economico'!AI68</f>
        <v>0</v>
      </c>
      <c r="O111" s="5">
        <f>+'Desarrollo Economico'!AJ68</f>
        <v>0.40173611111111107</v>
      </c>
      <c r="P111" s="5">
        <f>+'Desarrollo Economico'!AK68</f>
        <v>0.54157986111111112</v>
      </c>
      <c r="Q111" s="33">
        <f>+'Desarrollo Economico'!AL68</f>
        <v>0</v>
      </c>
      <c r="R111" s="33">
        <f>+'Desarrollo Economico'!AM68</f>
        <v>0.38048611111111108</v>
      </c>
      <c r="S111" s="33">
        <f>+'Desarrollo Economico'!AN68</f>
        <v>0.50126736111111114</v>
      </c>
      <c r="T111" s="25"/>
      <c r="U111" s="2"/>
      <c r="V111" s="64"/>
    </row>
    <row r="112" spans="2:22" ht="36.6" x14ac:dyDescent="0.7">
      <c r="B112" s="32" t="s">
        <v>1711</v>
      </c>
      <c r="C112" s="1170"/>
      <c r="D112" s="5">
        <f>+'Desarrollo Economico'!J73</f>
        <v>0</v>
      </c>
      <c r="E112" s="5">
        <f>+'Desarrollo Economico'!K73</f>
        <v>0.53803906843450033</v>
      </c>
      <c r="F112" s="5">
        <f>+'Desarrollo Economico'!L73</f>
        <v>0.36383700020716803</v>
      </c>
      <c r="G112" s="5">
        <f t="shared" si="22"/>
        <v>0.53803906843450033</v>
      </c>
      <c r="H112" s="5">
        <f t="shared" si="25"/>
        <v>0.82641759719632635</v>
      </c>
      <c r="I112" s="5">
        <f>+'Desarrollo Economico'!M73</f>
        <v>0</v>
      </c>
      <c r="J112" s="5">
        <f>+'Desarrollo Economico'!N73</f>
        <v>0.44564688212140052</v>
      </c>
      <c r="K112" s="5">
        <f>+'Desarrollo Economico'!AD73</f>
        <v>0.78472222222222221</v>
      </c>
      <c r="L112" s="5">
        <v>0.10008559550012229</v>
      </c>
      <c r="M112" s="5">
        <f>+'Desarrollo Economico'!AE73</f>
        <v>0.44650281242357542</v>
      </c>
      <c r="N112" s="5">
        <f>+'Desarrollo Economico'!AI73</f>
        <v>0</v>
      </c>
      <c r="O112" s="5">
        <f>+'Desarrollo Economico'!AJ73</f>
        <v>0.46258059698915827</v>
      </c>
      <c r="P112" s="1051">
        <f>+'Desarrollo Economico'!AK73</f>
        <v>0.59600542952834756</v>
      </c>
      <c r="Q112" s="33">
        <f>+'Desarrollo Economico'!AL73</f>
        <v>0</v>
      </c>
      <c r="R112" s="33">
        <f>+'Desarrollo Economico'!AM73</f>
        <v>0.4207967163869899</v>
      </c>
      <c r="S112" s="33">
        <f>+'Desarrollo Economico'!AN73</f>
        <v>0.520906515434017</v>
      </c>
      <c r="T112" s="25"/>
      <c r="U112" s="2"/>
      <c r="V112" s="64"/>
    </row>
    <row r="113" spans="2:22" ht="36.6" x14ac:dyDescent="0.7">
      <c r="B113" s="32" t="s">
        <v>1712</v>
      </c>
      <c r="C113" s="1170"/>
      <c r="D113" s="5">
        <f>+'Desarrollo Economico'!J86</f>
        <v>0.23749999999999999</v>
      </c>
      <c r="E113" s="5">
        <f>+'Desarrollo Economico'!K86</f>
        <v>0.23749999999999999</v>
      </c>
      <c r="F113" s="5">
        <f>+'Desarrollo Economico'!L86</f>
        <v>0.25</v>
      </c>
      <c r="G113" s="5">
        <f t="shared" si="22"/>
        <v>0.75</v>
      </c>
      <c r="H113" s="5">
        <f t="shared" si="25"/>
        <v>0.94166666666666665</v>
      </c>
      <c r="I113" s="5">
        <f>+'Desarrollo Economico'!M86</f>
        <v>0.23749999999999999</v>
      </c>
      <c r="J113" s="5">
        <f>+'Desarrollo Economico'!N86</f>
        <v>0.23749999999999999</v>
      </c>
      <c r="K113" s="5">
        <f>+'Desarrollo Economico'!AD86</f>
        <v>1</v>
      </c>
      <c r="L113" s="5">
        <v>0.13333333333333333</v>
      </c>
      <c r="M113" s="5">
        <f>+'Desarrollo Economico'!AE86</f>
        <v>0.4</v>
      </c>
      <c r="N113" s="5">
        <f>+'Desarrollo Economico'!AI86</f>
        <v>0.51249999999999996</v>
      </c>
      <c r="O113" s="5">
        <f>+'Desarrollo Economico'!AJ86</f>
        <v>0.69166666666666665</v>
      </c>
      <c r="P113" s="1051">
        <f>+'Desarrollo Economico'!AK86</f>
        <v>0.79166666666666663</v>
      </c>
      <c r="Q113" s="33">
        <f>+'Desarrollo Economico'!AL86</f>
        <v>4.3750000000000004E-2</v>
      </c>
      <c r="R113" s="33">
        <f>+'Desarrollo Economico'!AM86</f>
        <v>0.63250000000000006</v>
      </c>
      <c r="S113" s="33">
        <f>+'Desarrollo Economico'!AN86</f>
        <v>0.75</v>
      </c>
      <c r="T113" s="25"/>
      <c r="U113" s="2"/>
      <c r="V113" s="64"/>
    </row>
    <row r="114" spans="2:22" ht="30" customHeight="1" x14ac:dyDescent="0.7">
      <c r="B114" s="32" t="s">
        <v>1713</v>
      </c>
      <c r="C114" s="1170"/>
      <c r="D114" s="5">
        <f>+'Desarrollo Economico'!J91</f>
        <v>0</v>
      </c>
      <c r="E114" s="5">
        <f>+'Desarrollo Economico'!K91</f>
        <v>0.36958333333333332</v>
      </c>
      <c r="F114" s="5">
        <f>+'Desarrollo Economico'!L91</f>
        <v>0.37270833333333336</v>
      </c>
      <c r="G114" s="5">
        <f t="shared" si="22"/>
        <v>0.36958333333333332</v>
      </c>
      <c r="H114" s="5">
        <f t="shared" si="25"/>
        <v>0.72423611111111108</v>
      </c>
      <c r="I114" s="5">
        <f>+'Desarrollo Economico'!M91</f>
        <v>0</v>
      </c>
      <c r="J114" s="5">
        <f>+'Desarrollo Economico'!N91</f>
        <v>0.33691666666666664</v>
      </c>
      <c r="K114" s="5">
        <f>+'Desarrollo Economico'!AD91</f>
        <v>0.9458333333333333</v>
      </c>
      <c r="L114" s="5">
        <v>0</v>
      </c>
      <c r="M114" s="5">
        <f>+'Desarrollo Economico'!AE91</f>
        <v>0.25</v>
      </c>
      <c r="N114" s="5">
        <f>+'Desarrollo Economico'!AI91</f>
        <v>0</v>
      </c>
      <c r="O114" s="5">
        <f>+'Desarrollo Economico'!AJ91</f>
        <v>0.35152777777777777</v>
      </c>
      <c r="P114" s="5">
        <f>+'Desarrollo Economico'!AK91</f>
        <v>0.47652777777777777</v>
      </c>
      <c r="Q114" s="33">
        <f>+'Desarrollo Economico'!AL91</f>
        <v>0</v>
      </c>
      <c r="R114" s="33">
        <f>+'Desarrollo Economico'!AM91</f>
        <v>0.30080555555555555</v>
      </c>
      <c r="S114" s="33">
        <f>+'Desarrollo Economico'!AN91</f>
        <v>0.32580555555555557</v>
      </c>
      <c r="T114" s="25"/>
      <c r="U114" s="2"/>
      <c r="V114" s="64"/>
    </row>
    <row r="115" spans="2:22" ht="59.4" customHeight="1" x14ac:dyDescent="0.7">
      <c r="B115" s="32" t="s">
        <v>1714</v>
      </c>
      <c r="C115" s="1170"/>
      <c r="D115" s="5">
        <f>+'Desarrollo Economico'!J96</f>
        <v>0.33</v>
      </c>
      <c r="E115" s="5">
        <f>+'Desarrollo Economico'!K96</f>
        <v>1</v>
      </c>
      <c r="F115" s="5">
        <f>+'Desarrollo Economico'!L96</f>
        <v>0.33333333333333331</v>
      </c>
      <c r="G115" s="5">
        <v>1</v>
      </c>
      <c r="H115" s="5">
        <f t="shared" si="25"/>
        <v>1</v>
      </c>
      <c r="I115" s="5">
        <f>+'Desarrollo Economico'!M96</f>
        <v>0.8</v>
      </c>
      <c r="J115" s="5">
        <f>+'Desarrollo Economico'!N96</f>
        <v>1</v>
      </c>
      <c r="K115" s="5">
        <f>+'Desarrollo Economico'!AD96</f>
        <v>0.60666666666666669</v>
      </c>
      <c r="L115" s="5">
        <v>8.3333333333333329E-2</v>
      </c>
      <c r="M115" s="5">
        <f>+'Desarrollo Economico'!AE96</f>
        <v>0.16666666666666666</v>
      </c>
      <c r="N115" s="5">
        <f>+'Desarrollo Economico'!AI96</f>
        <v>0.33</v>
      </c>
      <c r="O115" s="5">
        <f>+'Desarrollo Economico'!AJ96</f>
        <v>0.66666666666666663</v>
      </c>
      <c r="P115" s="5">
        <f>+'Desarrollo Economico'!AK96</f>
        <v>0.66666666666666663</v>
      </c>
      <c r="Q115" s="33">
        <f>+'Desarrollo Economico'!AL96</f>
        <v>3.9600000000000003E-2</v>
      </c>
      <c r="R115" s="33">
        <f>+'Desarrollo Economico'!AM96</f>
        <v>0.85000000000000009</v>
      </c>
      <c r="S115" s="33">
        <f>+'Desarrollo Economico'!AN96</f>
        <v>0.85000000000000009</v>
      </c>
      <c r="T115" s="25"/>
      <c r="U115" s="2"/>
      <c r="V115" s="64"/>
    </row>
    <row r="116" spans="2:22" ht="49.8" x14ac:dyDescent="0.7">
      <c r="B116" s="30" t="str">
        <f>+'Desarrollo Economico'!B100:B100</f>
        <v xml:space="preserve"> Desarrollo Agropecuario 
</v>
      </c>
      <c r="C116" s="1170"/>
      <c r="D116" s="23">
        <f t="shared" ref="D116:I116" si="49">+(D117+D118+D119)/3</f>
        <v>0.17360979649420338</v>
      </c>
      <c r="E116" s="23">
        <f t="shared" si="49"/>
        <v>0.38970610582327403</v>
      </c>
      <c r="F116" s="23">
        <f t="shared" ref="F116" si="50">+(F117+F118+F119)/3</f>
        <v>0.30707770114258542</v>
      </c>
      <c r="G116" s="23">
        <f t="shared" si="22"/>
        <v>0.58398769273582618</v>
      </c>
      <c r="H116" s="23">
        <f t="shared" si="25"/>
        <v>0.71648722343886706</v>
      </c>
      <c r="I116" s="24">
        <f t="shared" si="49"/>
        <v>9.382477763087127E-2</v>
      </c>
      <c r="J116" s="24">
        <f t="shared" ref="J116:K116" si="51">+(J117+J118+J119)/3</f>
        <v>0.32245386743248144</v>
      </c>
      <c r="K116" s="24">
        <f t="shared" si="51"/>
        <v>0.78319057815845816</v>
      </c>
      <c r="L116" s="24">
        <v>9.2984126984126989E-2</v>
      </c>
      <c r="M116" s="24">
        <f t="shared" ref="M116" si="52">+(M117+M118+M119)/3</f>
        <v>0.35661616161616166</v>
      </c>
      <c r="N116" s="23">
        <f>+(N117+N118+N119)/3</f>
        <v>0.19428158691255218</v>
      </c>
      <c r="O116" s="23">
        <f>+(O117+O118+O119)/3</f>
        <v>0.40940952229628164</v>
      </c>
      <c r="P116" s="23">
        <f>+(P117+P118+P119)/3</f>
        <v>0.63463013316148098</v>
      </c>
      <c r="Q116" s="31">
        <f>+(Q117+Q118+Q119)</f>
        <v>0.10879627598215055</v>
      </c>
      <c r="R116" s="31">
        <f>+'Desarrollo Economico'!AM100</f>
        <v>0.45634263977502848</v>
      </c>
      <c r="S116" s="31">
        <f>+'Desarrollo Economico'!AN100</f>
        <v>0.50565623745173627</v>
      </c>
      <c r="T116" s="25"/>
      <c r="U116" s="2"/>
      <c r="V116" s="64"/>
    </row>
    <row r="117" spans="2:22" ht="54.6" customHeight="1" x14ac:dyDescent="0.7">
      <c r="B117" s="32" t="s">
        <v>1715</v>
      </c>
      <c r="C117" s="1170"/>
      <c r="D117" s="5">
        <f>+'Desarrollo Economico'!J101</f>
        <v>0.17798528579513301</v>
      </c>
      <c r="E117" s="5">
        <f>+'Desarrollo Economico'!K101</f>
        <v>0.28952461799660439</v>
      </c>
      <c r="F117" s="5">
        <f>+'Desarrollo Economico'!L101</f>
        <v>0.25646859083191847</v>
      </c>
      <c r="G117" s="5">
        <f t="shared" si="22"/>
        <v>0.46818902093944537</v>
      </c>
      <c r="H117" s="5">
        <f t="shared" si="25"/>
        <v>0.72454442558007925</v>
      </c>
      <c r="I117" s="5">
        <f>+'Desarrollo Economico'!M101</f>
        <v>0.17798528579513301</v>
      </c>
      <c r="J117" s="5">
        <f>+'Desarrollo Economico'!N101</f>
        <v>0.28952461799660439</v>
      </c>
      <c r="K117" s="5">
        <f>+'Desarrollo Economico'!AD101</f>
        <v>0.99957173447537462</v>
      </c>
      <c r="L117" s="5">
        <v>0.2</v>
      </c>
      <c r="M117" s="5">
        <f>+'Desarrollo Economico'!AE101</f>
        <v>0.50818181818181818</v>
      </c>
      <c r="N117" s="5">
        <f>+'Desarrollo Economico'!AI101</f>
        <v>0.17866440294284094</v>
      </c>
      <c r="O117" s="5">
        <f>+'Desarrollo Economico'!AJ101</f>
        <v>0.46807583474816078</v>
      </c>
      <c r="P117" s="5">
        <f>+'Desarrollo Economico'!AK101</f>
        <v>0.61125014148273915</v>
      </c>
      <c r="Q117" s="33">
        <f>+'Desarrollo Economico'!AL101</f>
        <v>4.4666100735710243E-2</v>
      </c>
      <c r="R117" s="33">
        <f>+'Desarrollo Economico'!AM101</f>
        <v>0.46807583474816072</v>
      </c>
      <c r="S117" s="33">
        <f>+'Desarrollo Economico'!AN101</f>
        <v>0.61125014148273915</v>
      </c>
      <c r="T117" s="25"/>
      <c r="U117" s="2"/>
      <c r="V117" s="64"/>
    </row>
    <row r="118" spans="2:22" ht="82.2" customHeight="1" x14ac:dyDescent="0.7">
      <c r="B118" s="32" t="s">
        <v>1716</v>
      </c>
      <c r="C118" s="1170"/>
      <c r="D118" s="5">
        <f>+'Desarrollo Economico'!J107</f>
        <v>9.2844103687477184E-2</v>
      </c>
      <c r="E118" s="5">
        <f>+'Desarrollo Economico'!K107</f>
        <v>0.32959369947321754</v>
      </c>
      <c r="F118" s="5">
        <f>+'Desarrollo Economico'!L107</f>
        <v>0.35476451259583791</v>
      </c>
      <c r="G118" s="5">
        <f t="shared" si="22"/>
        <v>0.48377405726803313</v>
      </c>
      <c r="H118" s="5">
        <f t="shared" si="25"/>
        <v>0.75658391140318848</v>
      </c>
      <c r="I118" s="5">
        <f>+'Desarrollo Economico'!M107</f>
        <v>6.5989047097480838E-2</v>
      </c>
      <c r="J118" s="5">
        <f>+'Desarrollo Economico'!N107</f>
        <v>0.26533698430083974</v>
      </c>
      <c r="K118" s="5">
        <f>+'Desarrollo Economico'!AD107</f>
        <v>0.8</v>
      </c>
      <c r="L118" s="5">
        <v>7.8952380952380954E-2</v>
      </c>
      <c r="M118" s="5">
        <f>+'Desarrollo Economico'!AE107</f>
        <v>0.52</v>
      </c>
      <c r="N118" s="5">
        <f>+'Desarrollo Economico'!AI107</f>
        <v>0.15418035779481562</v>
      </c>
      <c r="O118" s="5">
        <f>+'Desarrollo Economico'!AJ107</f>
        <v>0.40181939880735063</v>
      </c>
      <c r="P118" s="1051">
        <f>+'Desarrollo Economico'!AK107</f>
        <v>0.9343069246683704</v>
      </c>
      <c r="Q118" s="33">
        <f>+'Desarrollo Economico'!AL107</f>
        <v>5.2880175246440314E-2</v>
      </c>
      <c r="R118" s="33">
        <f>+'Desarrollo Economico'!AM107</f>
        <v>0.42956188389923333</v>
      </c>
      <c r="S118" s="33">
        <f>+'Desarrollo Economico'!AN107</f>
        <v>0.51243044906900337</v>
      </c>
      <c r="T118" s="25"/>
      <c r="U118" s="2"/>
      <c r="V118" s="64"/>
    </row>
    <row r="119" spans="2:22" ht="36" customHeight="1" x14ac:dyDescent="0.7">
      <c r="B119" s="32" t="s">
        <v>1717</v>
      </c>
      <c r="C119" s="1170"/>
      <c r="D119" s="5">
        <f>+'Desarrollo Economico'!J117</f>
        <v>0.25</v>
      </c>
      <c r="E119" s="5">
        <f>+'Desarrollo Economico'!K117</f>
        <v>0.55000000000000004</v>
      </c>
      <c r="F119" s="5">
        <f>+'Desarrollo Economico'!L117</f>
        <v>0.31</v>
      </c>
      <c r="G119" s="5">
        <f t="shared" si="22"/>
        <v>0.8</v>
      </c>
      <c r="H119" s="5">
        <f t="shared" si="25"/>
        <v>0.66833333333333333</v>
      </c>
      <c r="I119" s="5">
        <f>+'Desarrollo Economico'!M117</f>
        <v>3.7499999999999999E-2</v>
      </c>
      <c r="J119" s="5">
        <f>+'Desarrollo Economico'!N117</f>
        <v>0.41250000000000003</v>
      </c>
      <c r="K119" s="5">
        <f>+'Desarrollo Economico'!AD117</f>
        <v>0.54999999999999993</v>
      </c>
      <c r="L119" s="5">
        <v>0</v>
      </c>
      <c r="M119" s="5">
        <f>+'Desarrollo Economico'!AE117</f>
        <v>4.1666666666666664E-2</v>
      </c>
      <c r="N119" s="5">
        <f>+'Desarrollo Economico'!AI117</f>
        <v>0.25</v>
      </c>
      <c r="O119" s="5">
        <f>+'Desarrollo Economico'!AJ117</f>
        <v>0.35833333333333334</v>
      </c>
      <c r="P119" s="5">
        <f>+'Desarrollo Economico'!AK117</f>
        <v>0.35833333333333334</v>
      </c>
      <c r="Q119" s="33">
        <f>+'Desarrollo Economico'!AL117</f>
        <v>1.125E-2</v>
      </c>
      <c r="R119" s="33">
        <f>+'Desarrollo Economico'!AM117</f>
        <v>0.40749999999999997</v>
      </c>
      <c r="S119" s="33">
        <f>+'Desarrollo Economico'!AN117</f>
        <v>0.40749999999999997</v>
      </c>
      <c r="T119" s="25"/>
      <c r="U119" s="2"/>
      <c r="V119" s="64"/>
    </row>
    <row r="120" spans="2:22" ht="49.8" x14ac:dyDescent="0.7">
      <c r="B120" s="30" t="str">
        <f>+'Desarrollo Economico'!B124:B124</f>
        <v xml:space="preserve">Sistema Integral de Abastecimiento del Distrito
</v>
      </c>
      <c r="C120" s="1170"/>
      <c r="D120" s="23">
        <f t="shared" ref="D120:I120" si="53">+(D121+D122)/2</f>
        <v>0.3833333333333333</v>
      </c>
      <c r="E120" s="23">
        <f t="shared" si="53"/>
        <v>0.20555555555555555</v>
      </c>
      <c r="F120" s="23">
        <f t="shared" ref="F120" si="54">+(F121+F122)/2</f>
        <v>0.42147167189671053</v>
      </c>
      <c r="G120" s="23">
        <f t="shared" si="22"/>
        <v>0.45232222222222218</v>
      </c>
      <c r="H120" s="23">
        <f t="shared" si="25"/>
        <v>0.78101611634115498</v>
      </c>
      <c r="I120" s="24">
        <f t="shared" si="53"/>
        <v>0.1958333333333333</v>
      </c>
      <c r="J120" s="24">
        <f t="shared" ref="J120:K120" si="55">+(J121+J122)/2</f>
        <v>0.1958333333333333</v>
      </c>
      <c r="K120" s="24">
        <f t="shared" si="55"/>
        <v>0.71499999999999997</v>
      </c>
      <c r="L120" s="24">
        <v>3.3333333333333333E-2</v>
      </c>
      <c r="M120" s="24">
        <f t="shared" ref="M120" si="56">+(M121+M122)/2</f>
        <v>3.3333333333333333E-2</v>
      </c>
      <c r="N120" s="23">
        <f>+(N121+N122)/2</f>
        <v>0.24676666666666666</v>
      </c>
      <c r="O120" s="23">
        <f>+(O121+O122)/2</f>
        <v>0.35954444444444444</v>
      </c>
      <c r="P120" s="23">
        <f>+(P121+P122)/2</f>
        <v>0.37621111111111111</v>
      </c>
      <c r="Q120" s="31">
        <f>+(Q121+Q122)</f>
        <v>0.19011249999999999</v>
      </c>
      <c r="R120" s="31">
        <f>+'Desarrollo Economico'!AM124</f>
        <v>0.33761249999999998</v>
      </c>
      <c r="S120" s="31">
        <f>+'Desarrollo Economico'!AN124</f>
        <v>0.33886249999999996</v>
      </c>
      <c r="T120" s="25"/>
      <c r="U120" s="2"/>
      <c r="V120" s="64"/>
    </row>
    <row r="121" spans="2:22" ht="66" customHeight="1" x14ac:dyDescent="0.7">
      <c r="B121" s="32" t="s">
        <v>1718</v>
      </c>
      <c r="C121" s="1170"/>
      <c r="D121" s="5">
        <f>+'Desarrollo Economico'!J125</f>
        <v>0.33333333333333331</v>
      </c>
      <c r="E121" s="5">
        <f>+'Desarrollo Economico'!K125</f>
        <v>0.1111111111111111</v>
      </c>
      <c r="F121" s="5">
        <f>+'Desarrollo Economico'!L125</f>
        <v>0.40961001046008771</v>
      </c>
      <c r="G121" s="5">
        <f t="shared" si="22"/>
        <v>0.21111111111111108</v>
      </c>
      <c r="H121" s="5">
        <f t="shared" si="25"/>
        <v>0.56849889934897657</v>
      </c>
      <c r="I121" s="5">
        <f>+'Desarrollo Economico'!M125</f>
        <v>0.16666666666666666</v>
      </c>
      <c r="J121" s="5">
        <f>+'Desarrollo Economico'!N125</f>
        <v>0.16666666666666666</v>
      </c>
      <c r="K121" s="5">
        <f>+'Desarrollo Economico'!AD125</f>
        <v>0.43</v>
      </c>
      <c r="L121" s="5">
        <v>0</v>
      </c>
      <c r="M121" s="5">
        <f>+'Desarrollo Economico'!AE125</f>
        <v>0</v>
      </c>
      <c r="N121" s="5">
        <f>+'Desarrollo Economico'!AI125</f>
        <v>9.9999999999999992E-2</v>
      </c>
      <c r="O121" s="5">
        <f>+'Desarrollo Economico'!AJ125</f>
        <v>0.15888888888888889</v>
      </c>
      <c r="P121" s="5">
        <f>+'Desarrollo Economico'!AK125</f>
        <v>0.15888888888888889</v>
      </c>
      <c r="Q121" s="33">
        <f>+'Desarrollo Economico'!AL125</f>
        <v>0.125</v>
      </c>
      <c r="R121" s="33">
        <f>+'Desarrollo Economico'!AM125</f>
        <v>0.23833333333333331</v>
      </c>
      <c r="S121" s="33">
        <f>+'Desarrollo Economico'!AN125</f>
        <v>0.23833333333333331</v>
      </c>
      <c r="T121" s="25"/>
      <c r="U121" s="2"/>
      <c r="V121" s="64"/>
    </row>
    <row r="122" spans="2:22" ht="46.95" customHeight="1" x14ac:dyDescent="0.7">
      <c r="B122" s="35" t="s">
        <v>1719</v>
      </c>
      <c r="C122" s="1171"/>
      <c r="D122" s="36">
        <f>+'Desarrollo Economico'!J129</f>
        <v>0.43333333333333335</v>
      </c>
      <c r="E122" s="36">
        <f>+'Desarrollo Economico'!K129</f>
        <v>0.3</v>
      </c>
      <c r="F122" s="36">
        <f>+'Desarrollo Economico'!L129</f>
        <v>0.43333333333333335</v>
      </c>
      <c r="G122" s="36">
        <f t="shared" si="22"/>
        <v>0.69353333333333333</v>
      </c>
      <c r="H122" s="36">
        <f t="shared" si="25"/>
        <v>0.99353333333333338</v>
      </c>
      <c r="I122" s="36">
        <f>+'Desarrollo Economico'!M129</f>
        <v>0.22499999999999998</v>
      </c>
      <c r="J122" s="36">
        <f>+'Desarrollo Economico'!N129</f>
        <v>0.22499999999999998</v>
      </c>
      <c r="K122" s="36">
        <f>+'Desarrollo Economico'!AD129</f>
        <v>1</v>
      </c>
      <c r="L122" s="36">
        <v>6.6666666666666666E-2</v>
      </c>
      <c r="M122" s="36">
        <f>+'Desarrollo Economico'!AE129</f>
        <v>6.6666666666666666E-2</v>
      </c>
      <c r="N122" s="36">
        <f>+'Desarrollo Economico'!AI129</f>
        <v>0.39353333333333335</v>
      </c>
      <c r="O122" s="36">
        <f>+'Desarrollo Economico'!AJ129</f>
        <v>0.56020000000000003</v>
      </c>
      <c r="P122" s="36">
        <f>+'Desarrollo Economico'!AK129</f>
        <v>0.59353333333333336</v>
      </c>
      <c r="Q122" s="37">
        <f>+'Desarrollo Economico'!AL129</f>
        <v>6.511249999999999E-2</v>
      </c>
      <c r="R122" s="37">
        <f>+'Desarrollo Economico'!AM129</f>
        <v>0.63544999999999996</v>
      </c>
      <c r="S122" s="37">
        <f>+'Desarrollo Economico'!AN129</f>
        <v>0.64044999999999996</v>
      </c>
      <c r="T122" s="25"/>
      <c r="U122" s="2"/>
      <c r="V122" s="64"/>
    </row>
    <row r="123" spans="2:22" ht="120" customHeight="1" x14ac:dyDescent="0.7">
      <c r="B123" s="27" t="str">
        <f>+'Ciudad Conectada'!B3:B3</f>
        <v xml:space="preserve">CARTAGENA CIUDAD CONECTADA Y SOSTENIBLE
</v>
      </c>
      <c r="C123" s="1169">
        <v>0.25</v>
      </c>
      <c r="D123" s="28">
        <f>+'Ciudad Conectada'!J3</f>
        <v>0.22385775913845282</v>
      </c>
      <c r="E123" s="28">
        <f>+'Ciudad Conectada'!K3</f>
        <v>0.23066712604683681</v>
      </c>
      <c r="F123" s="28">
        <f>+'Ciudad Conectada'!L3</f>
        <v>0.29347279550978955</v>
      </c>
      <c r="G123" s="28">
        <f t="shared" si="22"/>
        <v>0.45219100013434554</v>
      </c>
      <c r="H123" s="28">
        <f t="shared" si="25"/>
        <v>0.77462032338918174</v>
      </c>
      <c r="I123" s="28">
        <f>+'Ciudad Conectada'!M3</f>
        <v>0.19844971717901827</v>
      </c>
      <c r="J123" s="28">
        <f>+'Ciudad Conectada'!N3</f>
        <v>0.20087091613383856</v>
      </c>
      <c r="K123" s="28">
        <f>+'Ciudad Conectada'!AD3</f>
        <v>0.84012102824924451</v>
      </c>
      <c r="L123" s="28">
        <v>0.20790903394659535</v>
      </c>
      <c r="M123" s="28">
        <f>+'Ciudad Conectada'!AE3</f>
        <v>0.38632016869631758</v>
      </c>
      <c r="N123" s="28">
        <f>+'Ciudad Conectada'!AI3</f>
        <v>0.22152387408750876</v>
      </c>
      <c r="O123" s="28">
        <f>+'Ciudad Conectada'!AJ3</f>
        <v>0.48114752787939219</v>
      </c>
      <c r="P123" s="1056">
        <f>+'Ciudad Conectada'!AK3</f>
        <v>0.57466973513094477</v>
      </c>
      <c r="Q123" s="29">
        <f>+'Ciudad Conectada'!AL3</f>
        <v>0.18576863791395756</v>
      </c>
      <c r="R123" s="29">
        <f>+'Ciudad Conectada'!AM3</f>
        <v>0.37052459010275579</v>
      </c>
      <c r="S123" s="29">
        <f>+'Ciudad Conectada'!AN3</f>
        <v>0.46213758781001518</v>
      </c>
      <c r="T123" s="25"/>
      <c r="U123" s="2"/>
      <c r="V123" s="64"/>
    </row>
    <row r="124" spans="2:22" ht="68.400000000000006" customHeight="1" x14ac:dyDescent="0.7">
      <c r="B124" s="30" t="str">
        <f>+'Ciudad Conectada'!B4:B4</f>
        <v xml:space="preserve"> Ordenamiento del Territorio y espacio público.
</v>
      </c>
      <c r="C124" s="1170"/>
      <c r="D124" s="23">
        <f t="shared" ref="D124:I124" si="57">+(D125+D126)/2</f>
        <v>0.17442942942942941</v>
      </c>
      <c r="E124" s="23">
        <f t="shared" si="57"/>
        <v>0.23004504504504508</v>
      </c>
      <c r="F124" s="23">
        <f t="shared" ref="F124" si="58">+(F125+F126)/2</f>
        <v>0.36019220779220779</v>
      </c>
      <c r="G124" s="23">
        <f t="shared" si="22"/>
        <v>0.46391147747747752</v>
      </c>
      <c r="H124" s="23">
        <f t="shared" si="25"/>
        <v>0.81703491612554102</v>
      </c>
      <c r="I124" s="24">
        <f t="shared" si="57"/>
        <v>0.18726443243243246</v>
      </c>
      <c r="J124" s="24">
        <f t="shared" ref="J124:K124" si="59">+(J125+J126)/2</f>
        <v>0.24209005405405412</v>
      </c>
      <c r="K124" s="643">
        <f t="shared" si="59"/>
        <v>0.92518035426731082</v>
      </c>
      <c r="L124" s="643">
        <v>0.17507481639349209</v>
      </c>
      <c r="M124" s="643">
        <f t="shared" ref="M124" si="60">+(M125+M126)/2</f>
        <v>0.36009345420094091</v>
      </c>
      <c r="N124" s="72">
        <f>+(N125+N126)/2</f>
        <v>0.23386643243243244</v>
      </c>
      <c r="O124" s="72">
        <f>+(O125+O126)/2</f>
        <v>0.45684270833333329</v>
      </c>
      <c r="P124" s="72">
        <f>+(P125+P126)/2</f>
        <v>0.50845678373015868</v>
      </c>
      <c r="Q124" s="31">
        <f>+(Q125+Q126)</f>
        <v>0.22782968756756758</v>
      </c>
      <c r="R124" s="31">
        <f>+'Ciudad Conectada'!AM4</f>
        <v>0.54951656666666659</v>
      </c>
      <c r="S124" s="31">
        <f>+'Ciudad Conectada'!AN4</f>
        <v>0.61735872466666675</v>
      </c>
      <c r="T124" s="25"/>
      <c r="U124" s="2"/>
      <c r="V124" s="64"/>
    </row>
    <row r="125" spans="2:22" ht="45.6" customHeight="1" x14ac:dyDescent="0.7">
      <c r="B125" s="32" t="s">
        <v>1720</v>
      </c>
      <c r="C125" s="1170"/>
      <c r="D125" s="5">
        <f>+'Ciudad Conectada'!J5</f>
        <v>0.21777777777777776</v>
      </c>
      <c r="E125" s="5">
        <f>+'Ciudad Conectada'!K5</f>
        <v>0.27000000000000007</v>
      </c>
      <c r="F125" s="5">
        <f>+'Ciudad Conectada'!L5</f>
        <v>0.31265714285714286</v>
      </c>
      <c r="G125" s="5">
        <f t="shared" si="22"/>
        <v>0.49375000000000008</v>
      </c>
      <c r="H125" s="5">
        <f t="shared" si="25"/>
        <v>0.65544255952380959</v>
      </c>
      <c r="I125" s="5">
        <f>+'Ciudad Conectada'!M5</f>
        <v>0.28966400000000003</v>
      </c>
      <c r="J125" s="5">
        <f>+'Ciudad Conectada'!N5</f>
        <v>0.31607200000000013</v>
      </c>
      <c r="K125" s="5">
        <f>+'Ciudad Conectada'!AD5</f>
        <v>0.85036070853462165</v>
      </c>
      <c r="L125" s="5">
        <v>9.9565713033897774E-2</v>
      </c>
      <c r="M125" s="5">
        <f>+'Ciudad Conectada'!AE5</f>
        <v>0.25105110593274599</v>
      </c>
      <c r="N125" s="5">
        <f>+'Ciudad Conectada'!AI5</f>
        <v>0.22375</v>
      </c>
      <c r="O125" s="5">
        <f>+'Ciudad Conectada'!AJ5</f>
        <v>0.34278541666666668</v>
      </c>
      <c r="P125" s="5">
        <f>+'Ciudad Conectada'!AK5</f>
        <v>0.40971356746031745</v>
      </c>
      <c r="Q125" s="33">
        <f>+'Ciudad Conectada'!AL5</f>
        <v>0.17677380000000001</v>
      </c>
      <c r="R125" s="33">
        <f>+'Ciudad Conectada'!AM5</f>
        <v>0.55102366666666669</v>
      </c>
      <c r="S125" s="33">
        <f>+'Ciudad Conectada'!AN5</f>
        <v>0.63851246380952387</v>
      </c>
      <c r="T125" s="25"/>
      <c r="U125" s="2"/>
      <c r="V125" s="64"/>
    </row>
    <row r="126" spans="2:22" ht="41.4" customHeight="1" x14ac:dyDescent="0.7">
      <c r="B126" s="32" t="s">
        <v>1721</v>
      </c>
      <c r="C126" s="1170"/>
      <c r="D126" s="5">
        <f>+'Ciudad Conectada'!J22</f>
        <v>0.13108108108108107</v>
      </c>
      <c r="E126" s="5">
        <f>+'Ciudad Conectada'!K22</f>
        <v>0.19009009009009006</v>
      </c>
      <c r="F126" s="5">
        <f>+'Ciudad Conectada'!L22</f>
        <v>0.40772727272727272</v>
      </c>
      <c r="G126" s="5">
        <f t="shared" si="22"/>
        <v>0.4340729549549549</v>
      </c>
      <c r="H126" s="5">
        <f t="shared" si="25"/>
        <v>0.97862727272727268</v>
      </c>
      <c r="I126" s="5">
        <f>+'Ciudad Conectada'!M22</f>
        <v>8.4864864864864872E-2</v>
      </c>
      <c r="J126" s="5">
        <f>+'Ciudad Conectada'!N22</f>
        <v>0.16810810810810811</v>
      </c>
      <c r="K126" s="5">
        <f>+'Ciudad Conectada'!AD22</f>
        <v>1</v>
      </c>
      <c r="L126" s="5">
        <v>0.25058391975308641</v>
      </c>
      <c r="M126" s="5">
        <f>+'Ciudad Conectada'!AE22</f>
        <v>0.46913580246913583</v>
      </c>
      <c r="N126" s="5">
        <f>+'Ciudad Conectada'!AI22</f>
        <v>0.24398286486486487</v>
      </c>
      <c r="O126" s="5">
        <f>+'Ciudad Conectada'!AJ22</f>
        <v>0.57089999999999996</v>
      </c>
      <c r="P126" s="5">
        <f>+'Ciudad Conectada'!AK22</f>
        <v>0.60719999999999996</v>
      </c>
      <c r="Q126" s="33">
        <f>+'Ciudad Conectada'!AL22</f>
        <v>5.1055887567567564E-2</v>
      </c>
      <c r="R126" s="33">
        <f>+'Ciudad Conectada'!AM22</f>
        <v>0.54600000000000004</v>
      </c>
      <c r="S126" s="33">
        <f>+'Ciudad Conectada'!AN22</f>
        <v>0.56800000000000006</v>
      </c>
      <c r="T126" s="25"/>
      <c r="U126" s="2"/>
      <c r="V126" s="64"/>
    </row>
    <row r="127" spans="2:22" ht="87" customHeight="1" x14ac:dyDescent="0.7">
      <c r="B127" s="30" t="str">
        <f>+'Ciudad Conectada'!B26:B26</f>
        <v xml:space="preserve"> Control Urbanístico y Territorial
</v>
      </c>
      <c r="C127" s="1170"/>
      <c r="D127" s="23">
        <f t="shared" ref="D127:I127" si="61">+(D128+D129)/2</f>
        <v>0.15714285714285714</v>
      </c>
      <c r="E127" s="23">
        <f t="shared" si="61"/>
        <v>0.12238095238095237</v>
      </c>
      <c r="F127" s="23">
        <f t="shared" ref="F127" si="62">+(F128+F129)/2</f>
        <v>0.20559523809523811</v>
      </c>
      <c r="G127" s="23">
        <f t="shared" si="22"/>
        <v>0.28910714285714284</v>
      </c>
      <c r="H127" s="23">
        <f t="shared" si="25"/>
        <v>0.61059613095238097</v>
      </c>
      <c r="I127" s="24">
        <f t="shared" si="61"/>
        <v>0.24285714285714285</v>
      </c>
      <c r="J127" s="24">
        <f t="shared" ref="J127:K127" si="63">+(J128+J129)/2</f>
        <v>0.20867857142857144</v>
      </c>
      <c r="K127" s="643">
        <f t="shared" si="63"/>
        <v>0.875</v>
      </c>
      <c r="L127" s="643">
        <v>0.31092036553524804</v>
      </c>
      <c r="M127" s="643">
        <f t="shared" ref="M127" si="64">+(M128+M129)/2</f>
        <v>0.45021758050478677</v>
      </c>
      <c r="N127" s="72">
        <f>+(N128+N129)/2</f>
        <v>0.16672619047619047</v>
      </c>
      <c r="O127" s="72">
        <f>+(O128+O129)/2</f>
        <v>0.40500089285714286</v>
      </c>
      <c r="P127" s="72">
        <f>+(P128+P129)/2</f>
        <v>0.53166071428571438</v>
      </c>
      <c r="Q127" s="31">
        <f>+(Q128+Q129)</f>
        <v>0.31105357142857143</v>
      </c>
      <c r="R127" s="31">
        <f>+'Ciudad Conectada'!AM26</f>
        <v>0.4337455357142857</v>
      </c>
      <c r="S127" s="31">
        <f>+'Ciudad Conectada'!AN26</f>
        <v>0.74857142857142855</v>
      </c>
      <c r="T127" s="25"/>
      <c r="U127" s="2"/>
      <c r="V127" s="64"/>
    </row>
    <row r="128" spans="2:22" ht="45" customHeight="1" x14ac:dyDescent="0.7">
      <c r="B128" s="32" t="s">
        <v>1722</v>
      </c>
      <c r="C128" s="1170"/>
      <c r="D128" s="5">
        <f>+'Ciudad Conectada'!J27</f>
        <v>0.1</v>
      </c>
      <c r="E128" s="5">
        <f>+'Ciudad Conectada'!K27</f>
        <v>6.9999999999999993E-2</v>
      </c>
      <c r="F128" s="5">
        <f>+'Ciudad Conectada'!L27</f>
        <v>6.9999999999999993E-2</v>
      </c>
      <c r="G128" s="5">
        <f t="shared" si="22"/>
        <v>0.16999999999999998</v>
      </c>
      <c r="H128" s="5">
        <f t="shared" si="25"/>
        <v>0.45</v>
      </c>
      <c r="I128" s="5">
        <f>+'Ciudad Conectada'!M27</f>
        <v>0.375</v>
      </c>
      <c r="J128" s="5">
        <f>+'Ciudad Conectada'!N27</f>
        <v>0.28749999999999998</v>
      </c>
      <c r="K128" s="5">
        <f>+'Ciudad Conectada'!AD27</f>
        <v>0.75</v>
      </c>
      <c r="L128" s="5">
        <v>0.5</v>
      </c>
      <c r="M128" s="5">
        <f>+'Ciudad Conectada'!AE27</f>
        <v>0.39999999999999997</v>
      </c>
      <c r="N128" s="5">
        <f>+'Ciudad Conectada'!AI27</f>
        <v>0.1</v>
      </c>
      <c r="O128" s="5">
        <f>+'Ciudad Conectada'!AJ27</f>
        <v>0.38</v>
      </c>
      <c r="P128" s="5">
        <f>+'Ciudad Conectada'!AK27</f>
        <v>0.52</v>
      </c>
      <c r="Q128" s="33">
        <f>+'Ciudad Conectada'!AL27</f>
        <v>0.28125</v>
      </c>
      <c r="R128" s="33">
        <f>+'Ciudad Conectada'!AM27</f>
        <v>0.46499999999999997</v>
      </c>
      <c r="S128" s="33">
        <f>+'Ciudad Conectada'!AN27</f>
        <v>0.85499999999999998</v>
      </c>
      <c r="T128" s="25"/>
      <c r="U128" s="2"/>
      <c r="V128" s="64"/>
    </row>
    <row r="129" spans="2:22" ht="46.2" customHeight="1" x14ac:dyDescent="0.7">
      <c r="B129" s="32" t="s">
        <v>1723</v>
      </c>
      <c r="C129" s="1170"/>
      <c r="D129" s="5">
        <f>+'Ciudad Conectada'!J33</f>
        <v>0.2142857142857143</v>
      </c>
      <c r="E129" s="5">
        <f>+'Ciudad Conectada'!K33</f>
        <v>0.17476190476190476</v>
      </c>
      <c r="F129" s="5">
        <f>+'Ciudad Conectada'!L33</f>
        <v>0.34119047619047621</v>
      </c>
      <c r="G129" s="5">
        <f t="shared" si="22"/>
        <v>0.40821428571428575</v>
      </c>
      <c r="H129" s="5">
        <f t="shared" si="25"/>
        <v>0.77119226190476198</v>
      </c>
      <c r="I129" s="5">
        <f>+'Ciudad Conectada'!M33</f>
        <v>0.11071428571428571</v>
      </c>
      <c r="J129" s="5">
        <f>+'Ciudad Conectada'!N33</f>
        <v>0.12985714285714287</v>
      </c>
      <c r="K129" s="5">
        <f>+'Ciudad Conectada'!AD33</f>
        <v>1</v>
      </c>
      <c r="L129" s="5">
        <v>0.12184073107049609</v>
      </c>
      <c r="M129" s="5">
        <f>+'Ciudad Conectada'!AE33</f>
        <v>0.50043516100957353</v>
      </c>
      <c r="N129" s="5">
        <f>+'Ciudad Conectada'!AI33</f>
        <v>0.23345238095238097</v>
      </c>
      <c r="O129" s="5">
        <f>+'Ciudad Conectada'!AJ33</f>
        <v>0.43000178571428571</v>
      </c>
      <c r="P129" s="5">
        <f>+'Ciudad Conectada'!AK33</f>
        <v>0.54332142857142862</v>
      </c>
      <c r="Q129" s="33">
        <f>+'Ciudad Conectada'!AL33</f>
        <v>2.9803571428571429E-2</v>
      </c>
      <c r="R129" s="33">
        <f>+'Ciudad Conectada'!AM33</f>
        <v>0.33998214285714284</v>
      </c>
      <c r="S129" s="33">
        <f>+'Ciudad Conectada'!AN33</f>
        <v>0.42928571428571427</v>
      </c>
      <c r="T129" s="25"/>
      <c r="U129" s="2"/>
      <c r="V129" s="64"/>
    </row>
    <row r="130" spans="2:22" ht="55.95" customHeight="1" x14ac:dyDescent="0.7">
      <c r="B130" s="30" t="str">
        <f>+'Ciudad Conectada'!B37:B37</f>
        <v xml:space="preserve"> Cartagena Amigable con el Ambiente 
</v>
      </c>
      <c r="C130" s="1170"/>
      <c r="D130" s="23">
        <f t="shared" ref="D130:I130" si="65">+(D131+D132+D133+D134+D135)/5</f>
        <v>0.17888888888888888</v>
      </c>
      <c r="E130" s="23">
        <f>+(E131+E132+E133+E134+E135)/5</f>
        <v>0.28274305555555557</v>
      </c>
      <c r="F130" s="23">
        <f>+(F131+F132+F133+F134+F135)/5</f>
        <v>0.33090277777777782</v>
      </c>
      <c r="G130" s="23">
        <f t="shared" si="22"/>
        <v>0.42034722222222226</v>
      </c>
      <c r="H130" s="23">
        <f t="shared" si="25"/>
        <v>0.70430957619047629</v>
      </c>
      <c r="I130" s="24">
        <f t="shared" si="65"/>
        <v>0.13083333333333333</v>
      </c>
      <c r="J130" s="24">
        <f t="shared" ref="J130:K130" si="66">+(J131+J132+J133+J134+J135)/5</f>
        <v>0.19008333333333333</v>
      </c>
      <c r="K130" s="643">
        <f t="shared" si="66"/>
        <v>0.78964986740672216</v>
      </c>
      <c r="L130" s="643">
        <v>0.10473200000000001</v>
      </c>
      <c r="M130" s="643">
        <f t="shared" ref="M130" si="67">+(M131+M132+M133+M134+M135)/5</f>
        <v>0.3158069598108747</v>
      </c>
      <c r="N130" s="72">
        <f>+(N131+N132+N133+N134+N135)/5</f>
        <v>0.13760416666666669</v>
      </c>
      <c r="O130" s="72">
        <f>+(O131+O132+O133+O134+O135)/5</f>
        <v>0.37340679841269842</v>
      </c>
      <c r="P130" s="72">
        <f>+(P131+P132+P133+P134+P135)/5</f>
        <v>0.51025020317460312</v>
      </c>
      <c r="Q130" s="31">
        <f>+(Q131+Q132+Q133+Q134+Q135)</f>
        <v>8.7734791666666673E-2</v>
      </c>
      <c r="R130" s="31">
        <f>+'Ciudad Conectada'!AM37</f>
        <v>0.27470192500000001</v>
      </c>
      <c r="S130" s="31">
        <f>+'Ciudad Conectada'!AN37</f>
        <v>0.3185268</v>
      </c>
      <c r="T130" s="25"/>
      <c r="U130" s="2"/>
      <c r="V130" s="64"/>
    </row>
    <row r="131" spans="2:22" ht="46.2" customHeight="1" x14ac:dyDescent="0.7">
      <c r="B131" s="32" t="s">
        <v>1724</v>
      </c>
      <c r="C131" s="1170"/>
      <c r="D131" s="5">
        <f>+'Ciudad Conectada'!J38</f>
        <v>0.23611111111111108</v>
      </c>
      <c r="E131" s="5">
        <f>+'Ciudad Conectada'!K38</f>
        <v>0.30260416666666662</v>
      </c>
      <c r="F131" s="5">
        <f>+'Ciudad Conectada'!L38</f>
        <v>0.34340277777777778</v>
      </c>
      <c r="G131" s="5">
        <f t="shared" si="22"/>
        <v>0.42735833333333328</v>
      </c>
      <c r="H131" s="5">
        <f t="shared" si="25"/>
        <v>0.63763432539682541</v>
      </c>
      <c r="I131" s="5">
        <f>+'Ciudad Conectada'!M38</f>
        <v>6.5833333333333327E-2</v>
      </c>
      <c r="J131" s="5">
        <f>+'Ciudad Conectada'!N38</f>
        <v>8.9583333333333334E-2</v>
      </c>
      <c r="K131" s="5">
        <f>+'Ciudad Conectada'!AD38</f>
        <v>0.66946382978723407</v>
      </c>
      <c r="L131" s="5">
        <v>0</v>
      </c>
      <c r="M131" s="5">
        <f>+'Ciudad Conectada'!AE38</f>
        <v>0.1483947990543735</v>
      </c>
      <c r="N131" s="5">
        <f>+'Ciudad Conectada'!AI38</f>
        <v>0.12475416666666667</v>
      </c>
      <c r="O131" s="5">
        <f>+'Ciudad Conectada'!AJ38</f>
        <v>0.29423154761904763</v>
      </c>
      <c r="P131" s="5">
        <f>+'Ciudad Conectada'!AK38</f>
        <v>0.3274285714285714</v>
      </c>
      <c r="Q131" s="33">
        <f>+'Ciudad Conectada'!AL38</f>
        <v>8.0881249999999998E-3</v>
      </c>
      <c r="R131" s="33">
        <f>+'Ciudad Conectada'!AM38</f>
        <v>0.17025750000000001</v>
      </c>
      <c r="S131" s="33">
        <f>+'Ciudad Conectada'!AN38</f>
        <v>0.18840000000000001</v>
      </c>
      <c r="T131" s="25"/>
      <c r="U131" s="2"/>
      <c r="V131" s="64"/>
    </row>
    <row r="132" spans="2:22" ht="34.200000000000003" customHeight="1" x14ac:dyDescent="0.7">
      <c r="B132" s="32" t="s">
        <v>1725</v>
      </c>
      <c r="C132" s="1170"/>
      <c r="D132" s="5">
        <f>+'Ciudad Conectada'!J46</f>
        <v>0.15833333333333333</v>
      </c>
      <c r="E132" s="5">
        <f>+'Ciudad Conectada'!K46</f>
        <v>0.33611111111111108</v>
      </c>
      <c r="F132" s="5">
        <f>+'Ciudad Conectada'!L46</f>
        <v>0.21111111111111111</v>
      </c>
      <c r="G132" s="5">
        <f t="shared" ref="G132:G195" si="68">+N132+E132</f>
        <v>0.44104444444444441</v>
      </c>
      <c r="H132" s="5">
        <f t="shared" si="25"/>
        <v>0.59142222222222218</v>
      </c>
      <c r="I132" s="5">
        <f>+'Ciudad Conectada'!M46</f>
        <v>0.15250000000000002</v>
      </c>
      <c r="J132" s="5">
        <f>+'Ciudad Conectada'!N46</f>
        <v>0.34083333333333338</v>
      </c>
      <c r="K132" s="5">
        <f>+'Ciudad Conectada'!AD46</f>
        <v>0.69265217391304346</v>
      </c>
      <c r="L132" s="5">
        <v>0.10115999999999999</v>
      </c>
      <c r="M132" s="5">
        <f>+'Ciudad Conectada'!AE46</f>
        <v>0.67564000000000002</v>
      </c>
      <c r="N132" s="5">
        <f>+'Ciudad Conectada'!AI46</f>
        <v>0.10493333333333332</v>
      </c>
      <c r="O132" s="5">
        <f>+'Ciudad Conectada'!AJ46</f>
        <v>0.3803111111111111</v>
      </c>
      <c r="P132" s="5">
        <f>+'Ciudad Conectada'!AK46</f>
        <v>0.50953111111111105</v>
      </c>
      <c r="Q132" s="33">
        <f>+'Ciudad Conectada'!AL46</f>
        <v>2.3980000000000001E-2</v>
      </c>
      <c r="R132" s="33">
        <f>+'Ciudad Conectada'!AM46</f>
        <v>0.34674833333333333</v>
      </c>
      <c r="S132" s="33">
        <f>+'Ciudad Conectada'!AN46</f>
        <v>0.46493733333333331</v>
      </c>
      <c r="T132" s="25"/>
      <c r="U132" s="2"/>
      <c r="V132" s="64"/>
    </row>
    <row r="133" spans="2:22" ht="37.200000000000003" customHeight="1" x14ac:dyDescent="0.7">
      <c r="B133" s="32" t="s">
        <v>1726</v>
      </c>
      <c r="C133" s="1170"/>
      <c r="D133" s="5">
        <f>+'Ciudad Conectada'!J50</f>
        <v>0.125</v>
      </c>
      <c r="E133" s="5">
        <f>+'Ciudad Conectada'!K50</f>
        <v>0.22500000000000001</v>
      </c>
      <c r="F133" s="5">
        <f>+'Ciudad Conectada'!L50</f>
        <v>0.7</v>
      </c>
      <c r="G133" s="5">
        <f t="shared" si="68"/>
        <v>0.35</v>
      </c>
      <c r="H133" s="5">
        <v>1</v>
      </c>
      <c r="I133" s="5">
        <f>+'Ciudad Conectada'!M50</f>
        <v>0.1</v>
      </c>
      <c r="J133" s="5">
        <f>+'Ciudad Conectada'!N50</f>
        <v>0.22</v>
      </c>
      <c r="K133" s="5">
        <f>+'Ciudad Conectada'!AD50</f>
        <v>0.6</v>
      </c>
      <c r="L133" s="5">
        <v>6.25E-2</v>
      </c>
      <c r="M133" s="5">
        <f>+'Ciudad Conectada'!AE50</f>
        <v>0.125</v>
      </c>
      <c r="N133" s="5">
        <f>+'Ciudad Conectada'!AI50</f>
        <v>0.125</v>
      </c>
      <c r="O133" s="5">
        <f>+'Ciudad Conectada'!AJ50</f>
        <v>0.35</v>
      </c>
      <c r="P133" s="5">
        <f>+'Ciudad Conectada'!AK50</f>
        <v>0.75</v>
      </c>
      <c r="Q133" s="33">
        <f>+'Ciudad Conectada'!AL50</f>
        <v>1.4999999999999999E-2</v>
      </c>
      <c r="R133" s="33">
        <f>+'Ciudad Conectada'!AM50</f>
        <v>0.36</v>
      </c>
      <c r="S133" s="33">
        <f>+'Ciudad Conectada'!AN50</f>
        <v>0.8</v>
      </c>
      <c r="T133" s="25"/>
      <c r="U133" s="2"/>
      <c r="V133" s="64"/>
    </row>
    <row r="134" spans="2:22" ht="31.2" customHeight="1" x14ac:dyDescent="0.7">
      <c r="B134" s="32" t="s">
        <v>1727</v>
      </c>
      <c r="C134" s="1170"/>
      <c r="D134" s="5">
        <f>+'Ciudad Conectada'!J53</f>
        <v>0.20833333333333334</v>
      </c>
      <c r="E134" s="5">
        <f>+'Ciudad Conectada'!K53</f>
        <v>0.25</v>
      </c>
      <c r="F134" s="5">
        <f>+'Ciudad Conectada'!L53</f>
        <v>0.22500000000000001</v>
      </c>
      <c r="G134" s="5">
        <f t="shared" si="68"/>
        <v>0.5</v>
      </c>
      <c r="H134" s="5">
        <f t="shared" ref="H134:H196" si="69">+O134+F134</f>
        <v>0.85486666666666666</v>
      </c>
      <c r="I134" s="5">
        <f>+'Ciudad Conectada'!M53</f>
        <v>0.20250000000000001</v>
      </c>
      <c r="J134" s="5">
        <f>+'Ciudad Conectada'!N53</f>
        <v>0.24</v>
      </c>
      <c r="K134" s="5">
        <f>+'Ciudad Conectada'!AD53</f>
        <v>0.98613333333333342</v>
      </c>
      <c r="L134" s="5">
        <v>0.36000000000000004</v>
      </c>
      <c r="M134" s="5">
        <f>+'Ciudad Conectada'!AE53</f>
        <v>0.63</v>
      </c>
      <c r="N134" s="5">
        <f>+'Ciudad Conectada'!AI53</f>
        <v>0.25</v>
      </c>
      <c r="O134" s="5">
        <f>+'Ciudad Conectada'!AJ53</f>
        <v>0.62986666666666669</v>
      </c>
      <c r="P134" s="5">
        <f>+'Ciudad Conectada'!AK53</f>
        <v>0.73736666666666661</v>
      </c>
      <c r="Q134" s="33">
        <f>+'Ciudad Conectada'!AL53</f>
        <v>2.4E-2</v>
      </c>
      <c r="R134" s="33">
        <f>+'Ciudad Conectada'!AM53</f>
        <v>0.57688000000000006</v>
      </c>
      <c r="S134" s="33">
        <f>+'Ciudad Conectada'!AN53</f>
        <v>0.68862999999999996</v>
      </c>
      <c r="T134" s="25"/>
      <c r="U134" s="2"/>
      <c r="V134" s="64"/>
    </row>
    <row r="135" spans="2:22" ht="49.95" customHeight="1" x14ac:dyDescent="0.7">
      <c r="B135" s="32" t="s">
        <v>1728</v>
      </c>
      <c r="C135" s="1170"/>
      <c r="D135" s="5">
        <f>+'Ciudad Conectada'!J57</f>
        <v>0.16666666666666666</v>
      </c>
      <c r="E135" s="5">
        <f>+'Ciudad Conectada'!K57</f>
        <v>0.3</v>
      </c>
      <c r="F135" s="5">
        <f>+'Ciudad Conectada'!L57</f>
        <v>0.17499999999999999</v>
      </c>
      <c r="G135" s="5">
        <f t="shared" si="68"/>
        <v>0.3833333333333333</v>
      </c>
      <c r="H135" s="5">
        <f t="shared" si="69"/>
        <v>0.38762466666666662</v>
      </c>
      <c r="I135" s="5">
        <f>+'Ciudad Conectada'!M57</f>
        <v>0.13333333333333333</v>
      </c>
      <c r="J135" s="5">
        <f>+'Ciudad Conectada'!N57</f>
        <v>0.06</v>
      </c>
      <c r="K135" s="5">
        <f>+'Ciudad Conectada'!AD57</f>
        <v>1</v>
      </c>
      <c r="L135" s="5"/>
      <c r="M135" s="5"/>
      <c r="N135" s="5">
        <f>+'Ciudad Conectada'!AI57</f>
        <v>8.3333333333333329E-2</v>
      </c>
      <c r="O135" s="5">
        <f>+'Ciudad Conectada'!AJ57</f>
        <v>0.21262466666666666</v>
      </c>
      <c r="P135" s="1051">
        <f>+'Ciudad Conectada'!AK57</f>
        <v>0.22692466666666666</v>
      </c>
      <c r="Q135" s="33">
        <f>+'Ciudad Conectada'!AL57</f>
        <v>1.6666666666666666E-2</v>
      </c>
      <c r="R135" s="33">
        <f>+'Ciudad Conectada'!AM57</f>
        <v>0.13504986666666668</v>
      </c>
      <c r="S135" s="33">
        <f>+'Ciudad Conectada'!AN57</f>
        <v>0.14076986666666669</v>
      </c>
      <c r="T135" s="25"/>
      <c r="U135" s="2"/>
      <c r="V135" s="64"/>
    </row>
    <row r="136" spans="2:22" ht="82.95" customHeight="1" x14ac:dyDescent="0.7">
      <c r="B136" s="30" t="str">
        <f>+'Ciudad Conectada'!B60:B60</f>
        <v xml:space="preserve"> Cartagena Adaptada al Clima y Resiliente a los Desastres
</v>
      </c>
      <c r="C136" s="1170"/>
      <c r="D136" s="23">
        <f t="shared" ref="D136:I136" si="70">+(D137+D138+D139+D140+D141+D142)/6</f>
        <v>0.25786840977058367</v>
      </c>
      <c r="E136" s="23">
        <f t="shared" si="70"/>
        <v>0.22714246502289981</v>
      </c>
      <c r="F136" s="23">
        <f t="shared" ref="F136" si="71">+(F137+F138+F139+F140+F141+F142)/6</f>
        <v>0.29446546207415775</v>
      </c>
      <c r="G136" s="23">
        <f t="shared" si="68"/>
        <v>0.57466101842657324</v>
      </c>
      <c r="H136" s="23">
        <f t="shared" si="69"/>
        <v>0.91670476648400179</v>
      </c>
      <c r="I136" s="24">
        <f t="shared" si="70"/>
        <v>0.23061672626890017</v>
      </c>
      <c r="J136" s="24">
        <f t="shared" ref="J136:K136" si="72">+(J137+J138+J139+J140+J141+J142)/6</f>
        <v>0.22248337411380889</v>
      </c>
      <c r="K136" s="643">
        <f t="shared" si="72"/>
        <v>0.98029629629629633</v>
      </c>
      <c r="L136" s="643">
        <v>0.23134216225220725</v>
      </c>
      <c r="M136" s="643">
        <f t="shared" ref="M136" si="73">+(M137+M138+M139+M140+M141+M142)/6</f>
        <v>0.40106582125603868</v>
      </c>
      <c r="N136" s="3">
        <f>+(N137+N138+N139+N140+N141+N142)/6</f>
        <v>0.34751855340367338</v>
      </c>
      <c r="O136" s="3">
        <f>+(O137+O138+O139+O140+O141+O142)/6</f>
        <v>0.6222393044098441</v>
      </c>
      <c r="P136" s="3">
        <f>+(P137+P138+P139+P140+P141+P142)/6</f>
        <v>0.67742079699688384</v>
      </c>
      <c r="Q136" s="31">
        <f>+(Q137+Q138+Q139+Q140+Q141+Q142)</f>
        <v>0.30808632226094745</v>
      </c>
      <c r="R136" s="31">
        <f>+'Ciudad Conectada'!AM60</f>
        <v>0.56432627484958808</v>
      </c>
      <c r="S136" s="31">
        <f>+'Ciudad Conectada'!AN60</f>
        <v>0.65797272162619991</v>
      </c>
      <c r="T136" s="25"/>
      <c r="U136" s="2"/>
      <c r="V136" s="64"/>
    </row>
    <row r="137" spans="2:22" ht="42" customHeight="1" x14ac:dyDescent="0.7">
      <c r="B137" s="32" t="s">
        <v>1729</v>
      </c>
      <c r="C137" s="1170"/>
      <c r="D137" s="5">
        <f>+'Ciudad Conectada'!J61</f>
        <v>0.33333333333333331</v>
      </c>
      <c r="E137" s="5">
        <f>+'Ciudad Conectada'!K61</f>
        <v>0.29166666666666663</v>
      </c>
      <c r="F137" s="5">
        <f>+'Ciudad Conectada'!L61</f>
        <v>0.3666666666666667</v>
      </c>
      <c r="G137" s="5">
        <f t="shared" si="68"/>
        <v>0.59166666666666656</v>
      </c>
      <c r="H137" s="5">
        <f t="shared" si="69"/>
        <v>0.9583333333333337</v>
      </c>
      <c r="I137" s="5">
        <f>+'Ciudad Conectada'!M61</f>
        <v>9.9999999999999992E-2</v>
      </c>
      <c r="J137" s="5">
        <f>+'Ciudad Conectada'!N61</f>
        <v>0.27499999999999997</v>
      </c>
      <c r="K137" s="5">
        <f>+'Ciudad Conectada'!AD61</f>
        <v>1</v>
      </c>
      <c r="L137" s="5">
        <v>0</v>
      </c>
      <c r="M137" s="5">
        <f>+'Ciudad Conectada'!AE61</f>
        <v>0.44625000000000004</v>
      </c>
      <c r="N137" s="5">
        <f>+'Ciudad Conectada'!AI61</f>
        <v>0.3</v>
      </c>
      <c r="O137" s="5">
        <f>+'Ciudad Conectada'!AJ61</f>
        <v>0.59166666666666701</v>
      </c>
      <c r="P137" s="5">
        <f>+'Ciudad Conectada'!AK61</f>
        <v>0.59850000000000003</v>
      </c>
      <c r="Q137" s="33">
        <f>+'Ciudad Conectada'!AL61</f>
        <v>8.9999999999999993E-3</v>
      </c>
      <c r="R137" s="33">
        <f>+'Ciudad Conectada'!AM61</f>
        <v>0.36499999999999999</v>
      </c>
      <c r="S137" s="33">
        <f>+'Ciudad Conectada'!AN61</f>
        <v>0.49790000000000001</v>
      </c>
      <c r="T137" s="25"/>
      <c r="U137" s="2"/>
      <c r="V137" s="64"/>
    </row>
    <row r="138" spans="2:22" ht="40.950000000000003" customHeight="1" x14ac:dyDescent="0.7">
      <c r="B138" s="32" t="s">
        <v>1730</v>
      </c>
      <c r="C138" s="1170"/>
      <c r="D138" s="5">
        <f>+'Ciudad Conectada'!J64</f>
        <v>0.23295454545454547</v>
      </c>
      <c r="E138" s="5">
        <f>+'Ciudad Conectada'!K64</f>
        <v>0.25568181818181818</v>
      </c>
      <c r="F138" s="5">
        <f>+'Ciudad Conectada'!L64</f>
        <v>0.24747474747474749</v>
      </c>
      <c r="G138" s="5">
        <f t="shared" si="68"/>
        <v>0.57738636363636364</v>
      </c>
      <c r="H138" s="5">
        <f t="shared" si="69"/>
        <v>0.92633838383838385</v>
      </c>
      <c r="I138" s="5">
        <f>+'Ciudad Conectada'!M64</f>
        <v>0.22954545454545455</v>
      </c>
      <c r="J138" s="5">
        <f>+'Ciudad Conectada'!N64</f>
        <v>0.25681818181818178</v>
      </c>
      <c r="K138" s="5">
        <f>+'Ciudad Conectada'!AD64</f>
        <v>1</v>
      </c>
      <c r="L138" s="5">
        <v>0</v>
      </c>
      <c r="M138" s="5">
        <f>+'Ciudad Conectada'!AE64</f>
        <v>0.25</v>
      </c>
      <c r="N138" s="5">
        <f>+'Ciudad Conectada'!AI64</f>
        <v>0.32170454545454552</v>
      </c>
      <c r="O138" s="5">
        <f>+'Ciudad Conectada'!AJ64</f>
        <v>0.67886363636363634</v>
      </c>
      <c r="P138" s="5">
        <f>+'Ciudad Conectada'!AK64</f>
        <v>0.67886363636363634</v>
      </c>
      <c r="Q138" s="33">
        <f>+'Ciudad Conectada'!AL64</f>
        <v>4.8156818181818176E-2</v>
      </c>
      <c r="R138" s="33">
        <f>+'Ciudad Conectada'!AM64</f>
        <v>0.69763636363636361</v>
      </c>
      <c r="S138" s="33">
        <f>+'Ciudad Conectada'!AN64</f>
        <v>0.69763636363636361</v>
      </c>
      <c r="T138" s="25"/>
      <c r="U138" s="2"/>
      <c r="V138" s="64"/>
    </row>
    <row r="139" spans="2:22" ht="38.4" customHeight="1" x14ac:dyDescent="0.7">
      <c r="B139" s="32" t="s">
        <v>1731</v>
      </c>
      <c r="C139" s="1170"/>
      <c r="D139" s="5">
        <f>+'Ciudad Conectada'!J69</f>
        <v>0.26306543697848045</v>
      </c>
      <c r="E139" s="5">
        <f>+'Ciudad Conectada'!K69</f>
        <v>0.29907773386034253</v>
      </c>
      <c r="F139" s="5">
        <f>+'Ciudad Conectada'!L69</f>
        <v>0.23407992973210365</v>
      </c>
      <c r="G139" s="5">
        <f t="shared" si="68"/>
        <v>0.68522178304786996</v>
      </c>
      <c r="H139" s="5">
        <f t="shared" si="69"/>
        <v>0.97804128238910837</v>
      </c>
      <c r="I139" s="5">
        <f>+'Ciudad Conectada'!M69</f>
        <v>0.30629776021080368</v>
      </c>
      <c r="J139" s="5">
        <f>+'Ciudad Conectada'!N69</f>
        <v>0.31665349143610011</v>
      </c>
      <c r="K139" s="5">
        <f>+'Ciudad Conectada'!AD69</f>
        <v>0.94444444444444453</v>
      </c>
      <c r="L139" s="5">
        <v>0.3</v>
      </c>
      <c r="M139" s="5">
        <f>+'Ciudad Conectada'!AE69</f>
        <v>0.46666666666666662</v>
      </c>
      <c r="N139" s="5">
        <f>+'Ciudad Conectada'!AI69</f>
        <v>0.38614404918752743</v>
      </c>
      <c r="O139" s="5">
        <f>+'Ciudad Conectada'!AJ69</f>
        <v>0.74396135265700469</v>
      </c>
      <c r="P139" s="5">
        <f>+'Ciudad Conectada'!AK69</f>
        <v>0.77294685990338163</v>
      </c>
      <c r="Q139" s="33">
        <f>+'Ciudad Conectada'!AL69</f>
        <v>5.2982213438735173E-2</v>
      </c>
      <c r="R139" s="33">
        <f>+'Ciudad Conectada'!AM69</f>
        <v>0.68840579710144922</v>
      </c>
      <c r="S139" s="33">
        <f>+'Ciudad Conectada'!AN69</f>
        <v>0.70405797101449274</v>
      </c>
      <c r="T139" s="25"/>
      <c r="U139" s="2"/>
      <c r="V139" s="64"/>
    </row>
    <row r="140" spans="2:22" ht="37.200000000000003" customHeight="1" x14ac:dyDescent="0.7">
      <c r="B140" s="32" t="s">
        <v>1732</v>
      </c>
      <c r="C140" s="1170"/>
      <c r="D140" s="5">
        <f>+'Ciudad Conectada'!J73</f>
        <v>0.25</v>
      </c>
      <c r="E140" s="5">
        <f>+'Ciudad Conectada'!K73</f>
        <v>0.25</v>
      </c>
      <c r="F140" s="5">
        <f>+'Ciudad Conectada'!L73</f>
        <v>0.25</v>
      </c>
      <c r="G140" s="5">
        <f t="shared" si="68"/>
        <v>0.60297701149425298</v>
      </c>
      <c r="H140" s="5">
        <f t="shared" si="69"/>
        <v>0.97822988505747122</v>
      </c>
      <c r="I140" s="5">
        <f>+'Ciudad Conectada'!M73</f>
        <v>0.25</v>
      </c>
      <c r="J140" s="5">
        <f>+'Ciudad Conectada'!N73</f>
        <v>0.25</v>
      </c>
      <c r="K140" s="5">
        <f>+'Ciudad Conectada'!AD73</f>
        <v>0.93733333333333346</v>
      </c>
      <c r="L140" s="5">
        <v>0.84457471264367812</v>
      </c>
      <c r="M140" s="5">
        <f>+'Ciudad Conectada'!AE73</f>
        <v>1</v>
      </c>
      <c r="N140" s="5">
        <f>+'Ciudad Conectada'!AI73</f>
        <v>0.35297701149425292</v>
      </c>
      <c r="O140" s="5">
        <f>+'Ciudad Conectada'!AJ73</f>
        <v>0.72822988505747122</v>
      </c>
      <c r="P140" s="1051">
        <f>+'Ciudad Conectada'!AK73</f>
        <v>0.94349999999999989</v>
      </c>
      <c r="Q140" s="33">
        <f>+'Ciudad Conectada'!AL73</f>
        <v>5.4475862068965514E-2</v>
      </c>
      <c r="R140" s="33">
        <f>+'Ciudad Conectada'!AM73</f>
        <v>0.62520689655172412</v>
      </c>
      <c r="S140" s="33">
        <f>+'Ciudad Conectada'!AN73</f>
        <v>0.91525000000000012</v>
      </c>
      <c r="T140" s="25"/>
      <c r="U140" s="2"/>
      <c r="V140" s="64"/>
    </row>
    <row r="141" spans="2:22" ht="31.2" customHeight="1" x14ac:dyDescent="0.7">
      <c r="B141" s="32" t="s">
        <v>1733</v>
      </c>
      <c r="C141" s="1170"/>
      <c r="D141" s="5">
        <f>+'Ciudad Conectada'!J77</f>
        <v>0.14285714285714285</v>
      </c>
      <c r="E141" s="5">
        <f>+'Ciudad Conectada'!K77</f>
        <v>0.17142857142857143</v>
      </c>
      <c r="F141" s="5">
        <f>+'Ciudad Conectada'!L77</f>
        <v>0.32857142857142857</v>
      </c>
      <c r="G141" s="5">
        <f t="shared" si="68"/>
        <v>0.2857142857142857</v>
      </c>
      <c r="H141" s="5">
        <f t="shared" si="69"/>
        <v>0.61428571428571432</v>
      </c>
      <c r="I141" s="5">
        <f>+'Ciudad Conectada'!M77</f>
        <v>0.14285714285714285</v>
      </c>
      <c r="J141" s="5">
        <f>+'Ciudad Conectada'!N77</f>
        <v>0.17142857142857143</v>
      </c>
      <c r="K141" s="5">
        <f>+'Ciudad Conectada'!AD77</f>
        <v>1</v>
      </c>
      <c r="L141" s="5">
        <v>0.24347826086956526</v>
      </c>
      <c r="M141" s="5">
        <f>+'Ciudad Conectada'!AE77</f>
        <v>0.24347826086956526</v>
      </c>
      <c r="N141" s="5">
        <f>+'Ciudad Conectada'!AI77</f>
        <v>0.1142857142857143</v>
      </c>
      <c r="O141" s="5">
        <f>+'Ciudad Conectada'!AJ77</f>
        <v>0.2857142857142857</v>
      </c>
      <c r="P141" s="5">
        <f>+'Ciudad Conectada'!AK77</f>
        <v>0.36571428571428571</v>
      </c>
      <c r="Q141" s="33">
        <f>+'Ciudad Conectada'!AL77</f>
        <v>2.8571428571428574E-2</v>
      </c>
      <c r="R141" s="33">
        <f>+'Ciudad Conectada'!AM77</f>
        <v>0.2857142857142857</v>
      </c>
      <c r="S141" s="33">
        <f>+'Ciudad Conectada'!AN77</f>
        <v>0.36571428571428571</v>
      </c>
      <c r="T141" s="25"/>
      <c r="U141" s="2"/>
      <c r="V141" s="64"/>
    </row>
    <row r="142" spans="2:22" ht="48.6" customHeight="1" x14ac:dyDescent="0.7">
      <c r="B142" s="32" t="s">
        <v>1734</v>
      </c>
      <c r="C142" s="1170"/>
      <c r="D142" s="5">
        <f>+'Ciudad Conectada'!J79</f>
        <v>0.32500000000000001</v>
      </c>
      <c r="E142" s="5">
        <f>+'Ciudad Conectada'!K79</f>
        <v>9.5000000000000001E-2</v>
      </c>
      <c r="F142" s="5">
        <f>+'Ciudad Conectada'!L79</f>
        <v>0.34</v>
      </c>
      <c r="G142" s="5">
        <f t="shared" si="68"/>
        <v>0.70499999999999996</v>
      </c>
      <c r="H142" s="5">
        <v>1</v>
      </c>
      <c r="I142" s="5">
        <f>+'Ciudad Conectada'!M79</f>
        <v>0.35499999999999998</v>
      </c>
      <c r="J142" s="5">
        <f>+'Ciudad Conectada'!N79</f>
        <v>6.5000000000000002E-2</v>
      </c>
      <c r="K142" s="5">
        <f>+'Ciudad Conectada'!AD79</f>
        <v>1</v>
      </c>
      <c r="L142" s="5">
        <v>0</v>
      </c>
      <c r="M142" s="5">
        <f>+'Ciudad Conectada'!AE79</f>
        <v>0</v>
      </c>
      <c r="N142" s="5">
        <f>+'Ciudad Conectada'!AI79</f>
        <v>0.61</v>
      </c>
      <c r="O142" s="5">
        <f>+'Ciudad Conectada'!AJ79</f>
        <v>0.70499999999999996</v>
      </c>
      <c r="P142" s="5">
        <f>+'Ciudad Conectada'!AK79</f>
        <v>0.70499999999999996</v>
      </c>
      <c r="Q142" s="33">
        <f>+'Ciudad Conectada'!AL79</f>
        <v>0.1149</v>
      </c>
      <c r="R142" s="33">
        <f>+'Ciudad Conectada'!AM79</f>
        <v>0.82299999999999995</v>
      </c>
      <c r="S142" s="33">
        <f>+'Ciudad Conectada'!AN79</f>
        <v>0.82299999999999995</v>
      </c>
      <c r="T142" s="25"/>
      <c r="U142" s="2"/>
      <c r="V142" s="64"/>
    </row>
    <row r="143" spans="2:22" ht="82.95" customHeight="1" x14ac:dyDescent="0.7">
      <c r="B143" s="30" t="str">
        <f>+'Ciudad Conectada'!B82:B82</f>
        <v xml:space="preserve">Ciudad Histórica y Patrimonial
</v>
      </c>
      <c r="C143" s="1170"/>
      <c r="D143" s="23">
        <f t="shared" ref="D143:I143" si="74">+(D144+D145+D146)/3</f>
        <v>0.23703703703703705</v>
      </c>
      <c r="E143" s="23">
        <f t="shared" si="74"/>
        <v>0.29888888888888893</v>
      </c>
      <c r="F143" s="23">
        <f t="shared" ref="F143" si="75">+(F144+F145+F146)/3</f>
        <v>0.31</v>
      </c>
      <c r="G143" s="23">
        <f t="shared" si="68"/>
        <v>0.45013730158730159</v>
      </c>
      <c r="H143" s="23">
        <f t="shared" si="69"/>
        <v>0.64279166666666665</v>
      </c>
      <c r="I143" s="24">
        <f t="shared" si="74"/>
        <v>0.17777777777777778</v>
      </c>
      <c r="J143" s="24">
        <f t="shared" ref="J143:K143" si="76">+(J144+J145+J146)/3</f>
        <v>0.23291666666666666</v>
      </c>
      <c r="K143" s="643">
        <f t="shared" si="76"/>
        <v>0.71249002267573702</v>
      </c>
      <c r="L143" s="643">
        <v>6.9738562091503267E-2</v>
      </c>
      <c r="M143" s="643">
        <f t="shared" ref="M143" si="77">+(M144+M145+M146)/3</f>
        <v>0.1530718954248366</v>
      </c>
      <c r="N143" s="3">
        <f>+(N144+N145+N146)/3</f>
        <v>0.15124841269841269</v>
      </c>
      <c r="O143" s="3">
        <f>+(O144+O145+O146)/3</f>
        <v>0.33279166666666665</v>
      </c>
      <c r="P143" s="3">
        <f>+(P144+P145+P146)/3</f>
        <v>0.39303713151927439</v>
      </c>
      <c r="Q143" s="63">
        <f>+(Q144+Q145+Q146)</f>
        <v>6.376682142857143E-2</v>
      </c>
      <c r="R143" s="63">
        <f>+'Ciudad Conectada'!AM82</f>
        <v>0.22288787500000001</v>
      </c>
      <c r="S143" s="63">
        <f>+'Ciudad Conectada'!AN82</f>
        <v>0.32553501785714284</v>
      </c>
      <c r="T143" s="25"/>
      <c r="U143" s="2"/>
      <c r="V143" s="64"/>
    </row>
    <row r="144" spans="2:22" ht="79.2" customHeight="1" x14ac:dyDescent="0.7">
      <c r="B144" s="32" t="s">
        <v>1735</v>
      </c>
      <c r="C144" s="1170"/>
      <c r="D144" s="5">
        <f>+'Ciudad Conectada'!J83</f>
        <v>0.21111111111111111</v>
      </c>
      <c r="E144" s="5">
        <f>+'Ciudad Conectada'!K83</f>
        <v>0.35500000000000004</v>
      </c>
      <c r="F144" s="5">
        <f>+'Ciudad Conectada'!L83</f>
        <v>0.34250000000000003</v>
      </c>
      <c r="G144" s="5">
        <f t="shared" si="68"/>
        <v>0.43374523809523813</v>
      </c>
      <c r="H144" s="5">
        <f t="shared" si="69"/>
        <v>0.57067500000000004</v>
      </c>
      <c r="I144" s="5">
        <f>+'Ciudad Conectada'!M83</f>
        <v>0.15833333333333333</v>
      </c>
      <c r="J144" s="5">
        <f>+'Ciudad Conectada'!N83</f>
        <v>0.23</v>
      </c>
      <c r="K144" s="5">
        <f>+'Ciudad Conectada'!AD83</f>
        <v>0.65913673469387757</v>
      </c>
      <c r="L144" s="5">
        <v>3.3333333333333335E-3</v>
      </c>
      <c r="M144" s="5">
        <f>+'Ciudad Conectada'!AE83</f>
        <v>0.25333333333333335</v>
      </c>
      <c r="N144" s="5">
        <f>+'Ciudad Conectada'!AI83</f>
        <v>7.874523809523809E-2</v>
      </c>
      <c r="O144" s="5">
        <f>+'Ciudad Conectada'!AJ83</f>
        <v>0.22817499999999999</v>
      </c>
      <c r="P144" s="1051">
        <f>+'Ciudad Conectada'!AK83</f>
        <v>0.35116139455782314</v>
      </c>
      <c r="Q144" s="33">
        <f>+'Ciudad Conectada'!AL83</f>
        <v>2.6266821428571428E-2</v>
      </c>
      <c r="R144" s="33">
        <f>+'Ciudad Conectada'!AM83</f>
        <v>0.24641750000000001</v>
      </c>
      <c r="S144" s="33">
        <f>+'Ciudad Conectada'!AN83</f>
        <v>0.43077226190476187</v>
      </c>
      <c r="T144" s="25"/>
      <c r="U144" s="2"/>
      <c r="V144" s="64"/>
    </row>
    <row r="145" spans="2:22" ht="88.2" customHeight="1" x14ac:dyDescent="0.7">
      <c r="B145" s="32" t="s">
        <v>1736</v>
      </c>
      <c r="C145" s="1170"/>
      <c r="D145" s="5">
        <f>+'Ciudad Conectada'!J91</f>
        <v>0.25</v>
      </c>
      <c r="E145" s="5">
        <f>+'Ciudad Conectada'!K91</f>
        <v>0.29166666666666669</v>
      </c>
      <c r="F145" s="5">
        <f>+'Ciudad Conectada'!L91</f>
        <v>0.46250000000000002</v>
      </c>
      <c r="G145" s="5">
        <f t="shared" si="68"/>
        <v>0.29166666666666669</v>
      </c>
      <c r="H145" s="5">
        <f t="shared" si="69"/>
        <v>0.60770000000000002</v>
      </c>
      <c r="I145" s="5">
        <f>+'Ciudad Conectada'!M91</f>
        <v>0.125</v>
      </c>
      <c r="J145" s="5">
        <f>+'Ciudad Conectada'!N91</f>
        <v>0.21875</v>
      </c>
      <c r="K145" s="5">
        <f>+'Ciudad Conectada'!AD91</f>
        <v>0.47833333333333333</v>
      </c>
      <c r="L145" s="5">
        <v>0.20588235294117646</v>
      </c>
      <c r="M145" s="5">
        <f>+'Ciudad Conectada'!AE91</f>
        <v>0.20588235294117646</v>
      </c>
      <c r="N145" s="5">
        <f>+'Ciudad Conectada'!AI91</f>
        <v>0</v>
      </c>
      <c r="O145" s="5">
        <f>+'Ciudad Conectada'!AJ91</f>
        <v>0.1452</v>
      </c>
      <c r="P145" s="1051">
        <f>+'Ciudad Conectada'!AK91</f>
        <v>0.20295000000000002</v>
      </c>
      <c r="Q145" s="33">
        <f>+'Ciudad Conectada'!AL91</f>
        <v>0</v>
      </c>
      <c r="R145" s="33">
        <f>+'Ciudad Conectada'!AM91</f>
        <v>0.11</v>
      </c>
      <c r="S145" s="33">
        <f>+'Ciudad Conectada'!AN91</f>
        <v>0.15375</v>
      </c>
      <c r="T145" s="25"/>
      <c r="U145" s="2"/>
      <c r="V145" s="64"/>
    </row>
    <row r="146" spans="2:22" ht="53.4" customHeight="1" x14ac:dyDescent="0.7">
      <c r="B146" s="32" t="s">
        <v>1737</v>
      </c>
      <c r="C146" s="1170"/>
      <c r="D146" s="5">
        <f>+'Ciudad Conectada'!J95</f>
        <v>0.25</v>
      </c>
      <c r="E146" s="5">
        <f>+'Ciudad Conectada'!K95</f>
        <v>0.25</v>
      </c>
      <c r="F146" s="5">
        <f>+'Ciudad Conectada'!L95</f>
        <v>0.125</v>
      </c>
      <c r="G146" s="5">
        <f t="shared" si="68"/>
        <v>0.625</v>
      </c>
      <c r="H146" s="5">
        <f t="shared" si="69"/>
        <v>0.75</v>
      </c>
      <c r="I146" s="5">
        <f>+'Ciudad Conectada'!M95</f>
        <v>0.25</v>
      </c>
      <c r="J146" s="5">
        <f>+'Ciudad Conectada'!N95</f>
        <v>0.25</v>
      </c>
      <c r="K146" s="5">
        <f>+'Ciudad Conectada'!AD95</f>
        <v>1</v>
      </c>
      <c r="L146" s="5">
        <v>0</v>
      </c>
      <c r="M146" s="5">
        <f>+'Ciudad Conectada'!AE95</f>
        <v>0</v>
      </c>
      <c r="N146" s="5">
        <f>+'Ciudad Conectada'!AI95</f>
        <v>0.375</v>
      </c>
      <c r="O146" s="5">
        <f>+'Ciudad Conectada'!AJ95</f>
        <v>0.625</v>
      </c>
      <c r="P146" s="5">
        <f>+'Ciudad Conectada'!AK95</f>
        <v>0.625</v>
      </c>
      <c r="Q146" s="33">
        <f>+'Ciudad Conectada'!AL95</f>
        <v>3.7500000000000006E-2</v>
      </c>
      <c r="R146" s="33">
        <f>+'Ciudad Conectada'!AM95</f>
        <v>0.625</v>
      </c>
      <c r="S146" s="33">
        <f>+'Ciudad Conectada'!AN95</f>
        <v>0.625</v>
      </c>
      <c r="T146" s="25"/>
      <c r="U146" s="2"/>
      <c r="V146" s="64"/>
    </row>
    <row r="147" spans="2:22" ht="104.4" customHeight="1" x14ac:dyDescent="0.7">
      <c r="B147" s="30" t="str">
        <f>+'Ciudad Conectada'!B97:B97</f>
        <v xml:space="preserve">Infraestructura, Movilidad Sostenible y Accesibilidad para Todos
</v>
      </c>
      <c r="C147" s="1170"/>
      <c r="D147" s="23">
        <f>+(D148+D149+D150+D151+D152)/4</f>
        <v>0.32233213614481815</v>
      </c>
      <c r="E147" s="23">
        <f>+(E148+E149+E150+E151+E152)/4</f>
        <v>0.32575564910040028</v>
      </c>
      <c r="F147" s="23">
        <f>+(F148+F149+F150+F151+F152)/4</f>
        <v>0.35996001167226793</v>
      </c>
      <c r="G147" s="23">
        <f t="shared" si="68"/>
        <v>0.61280234536891931</v>
      </c>
      <c r="H147" s="23">
        <f t="shared" si="69"/>
        <v>0.99718475754512093</v>
      </c>
      <c r="I147" s="24">
        <f>+(I148+I149+I150+I151+I152)/4</f>
        <v>0.24677777425020778</v>
      </c>
      <c r="J147" s="24">
        <f t="shared" ref="J147" si="78">+(J148+J149+J150+J151+J152)/4</f>
        <v>0.31408199614094051</v>
      </c>
      <c r="K147" s="643">
        <f>+(K148+K149+K150+K151+K152)/4</f>
        <v>0.98351234375382757</v>
      </c>
      <c r="L147" s="643">
        <v>0.53861770410013765</v>
      </c>
      <c r="M147" s="643">
        <f>+(M148+M149+M150+M151+M152)/4</f>
        <v>0.60643237264165339</v>
      </c>
      <c r="N147" s="3">
        <f>+(N148+N149+N150+N151+N152)/4</f>
        <v>0.28704669626851897</v>
      </c>
      <c r="O147" s="3">
        <f>+(O148+O149+O150+O151+O152)/4</f>
        <v>0.63722474587285305</v>
      </c>
      <c r="P147" s="3">
        <f>+(P148+P149+P150+P151+P152)/4</f>
        <v>0.76350708871485595</v>
      </c>
      <c r="Q147" s="63">
        <f>+(Q148+Q149+Q150+Q151+Q152)</f>
        <v>0.14970787104537839</v>
      </c>
      <c r="R147" s="63">
        <f>+'Ciudad Conectada'!AM97</f>
        <v>0.23815278753134994</v>
      </c>
      <c r="S147" s="63">
        <f>+'Ciudad Conectada'!AN97</f>
        <v>0.37096458209233069</v>
      </c>
      <c r="T147" s="25"/>
      <c r="U147" s="2"/>
      <c r="V147" s="64"/>
    </row>
    <row r="148" spans="2:22" ht="39.6" customHeight="1" x14ac:dyDescent="0.7">
      <c r="B148" s="32" t="s">
        <v>1738</v>
      </c>
      <c r="C148" s="1170"/>
      <c r="D148" s="5">
        <f>+'Ciudad Conectada'!J98</f>
        <v>0</v>
      </c>
      <c r="E148" s="5">
        <f>+'Ciudad Conectada'!K98</f>
        <v>0.2</v>
      </c>
      <c r="F148" s="5">
        <f>+'Ciudad Conectada'!L98</f>
        <v>0.3</v>
      </c>
      <c r="G148" s="5">
        <f t="shared" si="68"/>
        <v>0.2</v>
      </c>
      <c r="H148" s="5">
        <f t="shared" si="69"/>
        <v>0.4</v>
      </c>
      <c r="I148" s="5">
        <f>+'Ciudad Conectada'!M98</f>
        <v>0</v>
      </c>
      <c r="J148" s="5">
        <f>+'Ciudad Conectada'!N98</f>
        <v>0.2</v>
      </c>
      <c r="K148" s="5">
        <f>+'Ciudad Conectada'!AD98</f>
        <v>0.5</v>
      </c>
      <c r="L148" s="5">
        <v>1</v>
      </c>
      <c r="M148" s="5">
        <f>+'Ciudad Conectada'!AE98</f>
        <v>1</v>
      </c>
      <c r="N148" s="5">
        <f>+'Ciudad Conectada'!AI98</f>
        <v>0</v>
      </c>
      <c r="O148" s="5">
        <f>+'Ciudad Conectada'!AJ98</f>
        <v>0.1</v>
      </c>
      <c r="P148" s="5">
        <f>+'Ciudad Conectada'!AK98</f>
        <v>0.5</v>
      </c>
      <c r="Q148" s="33">
        <f>+'Ciudad Conectada'!AL98</f>
        <v>0</v>
      </c>
      <c r="R148" s="33">
        <f>+'Ciudad Conectada'!AM98</f>
        <v>0.1</v>
      </c>
      <c r="S148" s="33">
        <f>+'Ciudad Conectada'!AN98</f>
        <v>0.5</v>
      </c>
      <c r="T148" s="25"/>
      <c r="U148" s="2"/>
      <c r="V148" s="64"/>
    </row>
    <row r="149" spans="2:22" ht="59.4" customHeight="1" x14ac:dyDescent="0.7">
      <c r="B149" s="32" t="s">
        <v>1739</v>
      </c>
      <c r="C149" s="1170"/>
      <c r="D149" s="5">
        <f>+'Ciudad Conectada'!J100</f>
        <v>0.1875</v>
      </c>
      <c r="E149" s="5">
        <f>+'Ciudad Conectada'!K100</f>
        <v>0.27083333333333331</v>
      </c>
      <c r="F149" s="5">
        <f>+'Ciudad Conectada'!L100</f>
        <v>0</v>
      </c>
      <c r="G149" s="5">
        <f t="shared" si="68"/>
        <v>0.52593869047619046</v>
      </c>
      <c r="H149" s="5">
        <f t="shared" si="69"/>
        <v>1</v>
      </c>
      <c r="I149" s="5">
        <f>+'Ciudad Conectada'!M100</f>
        <v>0.2</v>
      </c>
      <c r="J149" s="5">
        <f>+'Ciudad Conectada'!N100</f>
        <v>0.26666666666666666</v>
      </c>
      <c r="K149" s="5">
        <f>+'Ciudad Conectada'!AD100</f>
        <v>1</v>
      </c>
      <c r="L149" s="5">
        <v>0.75</v>
      </c>
      <c r="M149" s="5">
        <f>+'Ciudad Conectada'!AE100</f>
        <v>0.75</v>
      </c>
      <c r="N149" s="5">
        <f>+'Ciudad Conectada'!AI100</f>
        <v>0.25510535714285715</v>
      </c>
      <c r="O149" s="5">
        <f>+'Ciudad Conectada'!AJ100</f>
        <v>1</v>
      </c>
      <c r="P149" s="5">
        <f>+'Ciudad Conectada'!AK100</f>
        <v>1</v>
      </c>
      <c r="Q149" s="33">
        <f>+'Ciudad Conectada'!AL100</f>
        <v>5.427928571428571E-2</v>
      </c>
      <c r="R149" s="33">
        <f>+'Ciudad Conectada'!AM100</f>
        <v>1</v>
      </c>
      <c r="S149" s="33">
        <f>+'Ciudad Conectada'!AN100</f>
        <v>1</v>
      </c>
      <c r="T149" s="25"/>
      <c r="U149" s="2"/>
      <c r="V149" s="64"/>
    </row>
    <row r="150" spans="2:22" ht="54.6" customHeight="1" x14ac:dyDescent="0.7">
      <c r="B150" s="32" t="s">
        <v>1740</v>
      </c>
      <c r="C150" s="1170"/>
      <c r="D150" s="5">
        <f>+'Ciudad Conectada'!J105</f>
        <v>0.25</v>
      </c>
      <c r="E150" s="5">
        <f>+'Ciudad Conectada'!K105</f>
        <v>0</v>
      </c>
      <c r="F150" s="5">
        <f>+'Ciudad Conectada'!L105</f>
        <v>0.39999999999999997</v>
      </c>
      <c r="G150" s="5">
        <f t="shared" si="68"/>
        <v>0</v>
      </c>
      <c r="H150" s="5">
        <f t="shared" si="69"/>
        <v>0.59499999999999997</v>
      </c>
      <c r="I150" s="5">
        <f>+'Ciudad Conectada'!M105</f>
        <v>0.25</v>
      </c>
      <c r="J150" s="5">
        <f>+'Ciudad Conectada'!N105</f>
        <v>0</v>
      </c>
      <c r="K150" s="5">
        <f>+'Ciudad Conectada'!AD105</f>
        <v>0.97499999999999998</v>
      </c>
      <c r="L150" s="5">
        <v>0</v>
      </c>
      <c r="M150" s="5">
        <f>+'Ciudad Conectada'!AE105</f>
        <v>0</v>
      </c>
      <c r="N150" s="5">
        <f>+'Ciudad Conectada'!AI105</f>
        <v>0</v>
      </c>
      <c r="O150" s="5">
        <f>+'Ciudad Conectada'!AJ105</f>
        <v>0.19499999999999998</v>
      </c>
      <c r="P150" s="5">
        <f>+'Ciudad Conectada'!AK105</f>
        <v>0.19499999999999998</v>
      </c>
      <c r="Q150" s="33">
        <f>+'Ciudad Conectada'!AL105</f>
        <v>0</v>
      </c>
      <c r="R150" s="33">
        <f>+'Ciudad Conectada'!AM105</f>
        <v>0.26324999999999998</v>
      </c>
      <c r="S150" s="33">
        <f>+'Ciudad Conectada'!AN105</f>
        <v>0.26324999999999998</v>
      </c>
      <c r="T150" s="25"/>
      <c r="U150" s="2"/>
      <c r="V150" s="64"/>
    </row>
    <row r="151" spans="2:22" ht="53.4" customHeight="1" x14ac:dyDescent="0.7">
      <c r="B151" s="32" t="s">
        <v>1741</v>
      </c>
      <c r="C151" s="1170"/>
      <c r="D151" s="5">
        <f>+'Ciudad Conectada'!J109</f>
        <v>0.30482468088463477</v>
      </c>
      <c r="E151" s="5">
        <f>+'Ciudad Conectada'!K109</f>
        <v>0.4002361439382689</v>
      </c>
      <c r="F151" s="5">
        <f>+'Ciudad Conectada'!L109</f>
        <v>0.38997529365523997</v>
      </c>
      <c r="G151" s="5">
        <f t="shared" si="68"/>
        <v>0.69709385145641589</v>
      </c>
      <c r="H151" s="5">
        <f t="shared" si="69"/>
        <v>0.9549098272424138</v>
      </c>
      <c r="I151" s="5">
        <f>+'Ciudad Conectada'!M109</f>
        <v>0.23385974470770779</v>
      </c>
      <c r="J151" s="5">
        <f>+'Ciudad Conectada'!N109</f>
        <v>0.3918847583320958</v>
      </c>
      <c r="K151" s="5">
        <f>+'Ciudad Conectada'!AD109</f>
        <v>0.73092473296424987</v>
      </c>
      <c r="L151" s="5">
        <v>6.6666666666666666E-2</v>
      </c>
      <c r="M151" s="5">
        <f>+'Ciudad Conectada'!AE109</f>
        <v>0.30425925925925923</v>
      </c>
      <c r="N151" s="5">
        <f>+'Ciudad Conectada'!AI109</f>
        <v>0.296857707518147</v>
      </c>
      <c r="O151" s="5">
        <f>+'Ciudad Conectada'!AJ109</f>
        <v>0.56493453358717383</v>
      </c>
      <c r="P151" s="5">
        <f>+'Ciudad Conectada'!AK109</f>
        <v>0.62016296468716459</v>
      </c>
      <c r="Q151" s="33">
        <f>+'Ciudad Conectada'!AL109</f>
        <v>3.3372924902177636E-2</v>
      </c>
      <c r="R151" s="33">
        <f>+'Ciudad Conectada'!AM109</f>
        <v>0.57192798694589131</v>
      </c>
      <c r="S151" s="33">
        <f>+'Ciudad Conectada'!AN109</f>
        <v>0.63967926115588103</v>
      </c>
      <c r="T151" s="25"/>
      <c r="U151" s="2"/>
      <c r="V151" s="64"/>
    </row>
    <row r="152" spans="2:22" ht="36.6" customHeight="1" x14ac:dyDescent="0.7">
      <c r="B152" s="32" t="s">
        <v>1742</v>
      </c>
      <c r="C152" s="1170"/>
      <c r="D152" s="5">
        <f>+'Ciudad Conectada'!J121</f>
        <v>0.54700386369463794</v>
      </c>
      <c r="E152" s="5">
        <f>+'Ciudad Conectada'!K121</f>
        <v>0.43195311912999895</v>
      </c>
      <c r="F152" s="5">
        <f>+'Ciudad Conectada'!L121</f>
        <v>0.34986475303383169</v>
      </c>
      <c r="G152" s="5">
        <v>1</v>
      </c>
      <c r="H152" s="5">
        <v>1</v>
      </c>
      <c r="I152" s="5">
        <f>+'Ciudad Conectada'!M121</f>
        <v>0.30325135229312328</v>
      </c>
      <c r="J152" s="5">
        <f>+'Ciudad Conectada'!N121</f>
        <v>0.39777655956499952</v>
      </c>
      <c r="K152" s="5">
        <f>+'Ciudad Conectada'!AD121</f>
        <v>0.72812464205106042</v>
      </c>
      <c r="L152" s="5">
        <v>0.33780414973388384</v>
      </c>
      <c r="M152" s="5">
        <f>+'Ciudad Conectada'!AE121</f>
        <v>0.37147023130735424</v>
      </c>
      <c r="N152" s="5">
        <f>+'Ciudad Conectada'!AI121</f>
        <v>0.59622372041307181</v>
      </c>
      <c r="O152" s="5">
        <f>+'Ciudad Conectada'!AJ121</f>
        <v>0.68896444990423822</v>
      </c>
      <c r="P152" s="1051">
        <f>+'Ciudad Conectada'!AK121</f>
        <v>0.73886539017225916</v>
      </c>
      <c r="Q152" s="33">
        <f>+'Ciudad Conectada'!AL121</f>
        <v>6.2055660428915041E-2</v>
      </c>
      <c r="R152" s="33">
        <f>+'Ciudad Conectada'!AM121</f>
        <v>0.57233044744733119</v>
      </c>
      <c r="S152" s="33">
        <f>+'Ciudad Conectada'!AN121</f>
        <v>0.58557596459474259</v>
      </c>
      <c r="T152" s="25"/>
      <c r="U152" s="2"/>
      <c r="V152" s="64"/>
    </row>
    <row r="153" spans="2:22" ht="49.8" x14ac:dyDescent="0.7">
      <c r="B153" s="30" t="str">
        <f>+'Ciudad Conectada'!B135:B135</f>
        <v xml:space="preserve">Cartagena Ordenada Alrededor del Agua
</v>
      </c>
      <c r="C153" s="1170"/>
      <c r="D153" s="23">
        <f t="shared" ref="D153:I153" si="79">+(D154+D155+D156+D157+D158)/4</f>
        <v>0.23930555555555558</v>
      </c>
      <c r="E153" s="23">
        <f t="shared" si="79"/>
        <v>0.2396428571428571</v>
      </c>
      <c r="F153" s="23">
        <f>+(F154+F155+F156+F157+F158)/5</f>
        <v>0.30333333333333334</v>
      </c>
      <c r="G153" s="23">
        <f t="shared" si="68"/>
        <v>0.46629952380952377</v>
      </c>
      <c r="H153" s="23">
        <f t="shared" si="69"/>
        <v>0.82280486111111106</v>
      </c>
      <c r="I153" s="24">
        <f t="shared" si="79"/>
        <v>0.17302083333333335</v>
      </c>
      <c r="J153" s="24">
        <f t="shared" ref="J153:K153" si="80">+(J154+J155+J156+J157+J158)/4</f>
        <v>0.24579166666666666</v>
      </c>
      <c r="K153" s="643">
        <f t="shared" si="80"/>
        <v>0.75154181034482759</v>
      </c>
      <c r="L153" s="643">
        <v>0.23331825396825398</v>
      </c>
      <c r="M153" s="643">
        <f t="shared" ref="M153" si="81">+(M154+M155+M156+M157+M158)/4</f>
        <v>0.4542714285714286</v>
      </c>
      <c r="N153" s="3">
        <f>+(N154+N155+N156+N157+N158)/4</f>
        <v>0.22665666666666667</v>
      </c>
      <c r="O153" s="3">
        <f>+(O154+O155+O156+O157+O158)/4</f>
        <v>0.51947152777777772</v>
      </c>
      <c r="P153" s="3">
        <f>+(P154+P155+P156+P157+P158)/4</f>
        <v>0.54648541666666661</v>
      </c>
      <c r="Q153" s="63">
        <f>+(Q154+Q155+Q156+Q157+Q158)</f>
        <v>0.15220140000000001</v>
      </c>
      <c r="R153" s="63">
        <f>+'Ciudad Conectada'!AM135</f>
        <v>0.42935424999999999</v>
      </c>
      <c r="S153" s="63">
        <f>+'Ciudad Conectada'!AN135</f>
        <v>0.47665925000000003</v>
      </c>
      <c r="T153" s="25"/>
      <c r="U153" s="2"/>
      <c r="V153" s="64"/>
    </row>
    <row r="154" spans="2:22" ht="32.4" customHeight="1" x14ac:dyDescent="0.7">
      <c r="B154" s="32" t="s">
        <v>1743</v>
      </c>
      <c r="C154" s="1170"/>
      <c r="D154" s="5">
        <f>+'Ciudad Conectada'!J136</f>
        <v>0.125</v>
      </c>
      <c r="E154" s="5">
        <f>+'Ciudad Conectada'!K136</f>
        <v>0.25</v>
      </c>
      <c r="F154" s="5">
        <f>+'Ciudad Conectada'!L136</f>
        <v>0.6875</v>
      </c>
      <c r="G154" s="5">
        <f t="shared" si="68"/>
        <v>0.435</v>
      </c>
      <c r="H154" s="5">
        <f t="shared" si="69"/>
        <v>0.90094166666666664</v>
      </c>
      <c r="I154" s="5">
        <f>+'Ciudad Conectada'!M136</f>
        <v>5.6250000000000001E-2</v>
      </c>
      <c r="J154" s="5">
        <f>+'Ciudad Conectada'!N136</f>
        <v>0.36249999999999999</v>
      </c>
      <c r="K154" s="5">
        <f>+'Ciudad Conectada'!AD136</f>
        <v>0.17065000000000002</v>
      </c>
      <c r="L154" s="5">
        <v>2.5000000000000001E-2</v>
      </c>
      <c r="M154" s="5">
        <f>+'Ciudad Conectada'!AE136</f>
        <v>0.10600000000000001</v>
      </c>
      <c r="N154" s="5">
        <f>+'Ciudad Conectada'!AI136</f>
        <v>0.185</v>
      </c>
      <c r="O154" s="5">
        <f>+'Ciudad Conectada'!AJ136</f>
        <v>0.21344166666666667</v>
      </c>
      <c r="P154" s="5">
        <f>+'Ciudad Conectada'!AK136</f>
        <v>0.23994166666666666</v>
      </c>
      <c r="Q154" s="33">
        <f>+'Ciudad Conectada'!AL136</f>
        <v>1.6650000000000002E-2</v>
      </c>
      <c r="R154" s="33">
        <f>+'Ciudad Conectada'!AM136</f>
        <v>0.12164625000000003</v>
      </c>
      <c r="S154" s="33">
        <f>+'Ciudad Conectada'!AN136</f>
        <v>0.15742125000000001</v>
      </c>
      <c r="T154" s="25"/>
      <c r="U154" s="2"/>
      <c r="V154" s="64"/>
    </row>
    <row r="155" spans="2:22" ht="31.95" customHeight="1" x14ac:dyDescent="0.7">
      <c r="B155" s="32" t="s">
        <v>1744</v>
      </c>
      <c r="C155" s="1170"/>
      <c r="D155" s="5">
        <f>+'Ciudad Conectada'!J140</f>
        <v>0.27</v>
      </c>
      <c r="E155" s="5">
        <f>+'Ciudad Conectada'!K140</f>
        <v>0.33333333333333331</v>
      </c>
      <c r="F155" s="5">
        <f>+'Ciudad Conectada'!L140</f>
        <v>0</v>
      </c>
      <c r="G155" s="5">
        <f t="shared" si="68"/>
        <v>0.53495999999999999</v>
      </c>
      <c r="H155" s="5">
        <f t="shared" si="69"/>
        <v>1</v>
      </c>
      <c r="I155" s="5">
        <f>+'Ciudad Conectada'!M140</f>
        <v>0.22900000000000001</v>
      </c>
      <c r="J155" s="5">
        <f>+'Ciudad Conectada'!N140</f>
        <v>0.26250000000000001</v>
      </c>
      <c r="K155" s="5">
        <f>+'Ciudad Conectada'!AD140</f>
        <v>1</v>
      </c>
      <c r="L155" s="5">
        <v>0.34549523809523808</v>
      </c>
      <c r="M155" s="5">
        <f>+'Ciudad Conectada'!AE140</f>
        <v>0.40608571428571433</v>
      </c>
      <c r="N155" s="5">
        <f>+'Ciudad Conectada'!AI140</f>
        <v>0.2016266666666667</v>
      </c>
      <c r="O155" s="5">
        <f>+'Ciudad Conectada'!AJ140</f>
        <v>1</v>
      </c>
      <c r="P155" s="5">
        <f>+'Ciudad Conectada'!AK140</f>
        <v>1</v>
      </c>
      <c r="Q155" s="33">
        <f>+'Ciudad Conectada'!AL140</f>
        <v>3.5951400000000001E-2</v>
      </c>
      <c r="R155" s="33">
        <f>+'Ciudad Conectada'!AM140</f>
        <v>1</v>
      </c>
      <c r="S155" s="33">
        <f>+'Ciudad Conectada'!AN140</f>
        <v>1</v>
      </c>
      <c r="T155" s="25"/>
      <c r="U155" s="2"/>
      <c r="V155" s="64"/>
    </row>
    <row r="156" spans="2:22" ht="41.4" customHeight="1" x14ac:dyDescent="0.7">
      <c r="B156" s="32" t="s">
        <v>1745</v>
      </c>
      <c r="C156" s="1170"/>
      <c r="D156" s="5">
        <f>+'Ciudad Conectada'!J144</f>
        <v>0.42000000000000004</v>
      </c>
      <c r="E156" s="5">
        <f>+'Ciudad Conectada'!K144</f>
        <v>0.19</v>
      </c>
      <c r="F156" s="5">
        <f>+'Ciudad Conectada'!L144</f>
        <v>0.4</v>
      </c>
      <c r="G156" s="5">
        <f t="shared" si="68"/>
        <v>0.59000000000000008</v>
      </c>
      <c r="H156" s="5">
        <f t="shared" si="69"/>
        <v>0.85000000000000009</v>
      </c>
      <c r="I156" s="5">
        <f>+'Ciudad Conectada'!M144</f>
        <v>0.30500000000000005</v>
      </c>
      <c r="J156" s="5">
        <f>+'Ciudad Conectada'!N144</f>
        <v>0.11000000000000001</v>
      </c>
      <c r="K156" s="5">
        <f>+'Ciudad Conectada'!AD144</f>
        <v>1</v>
      </c>
      <c r="L156" s="5">
        <v>8.5000000000000006E-2</v>
      </c>
      <c r="M156" s="5">
        <f>+'Ciudad Conectada'!AE144</f>
        <v>0.14499999999999999</v>
      </c>
      <c r="N156" s="5">
        <f>+'Ciudad Conectada'!AI144</f>
        <v>0.4</v>
      </c>
      <c r="O156" s="5">
        <f>+'Ciudad Conectada'!AJ144</f>
        <v>0.45</v>
      </c>
      <c r="P156" s="5">
        <f>+'Ciudad Conectada'!AK144</f>
        <v>0.48600000000000004</v>
      </c>
      <c r="Q156" s="33">
        <f>+'Ciudad Conectada'!AL144</f>
        <v>7.1250000000000008E-2</v>
      </c>
      <c r="R156" s="33">
        <f>+'Ciudad Conectada'!AM144</f>
        <v>0.31250000000000006</v>
      </c>
      <c r="S156" s="33">
        <f>+'Ciudad Conectada'!AN144</f>
        <v>0.32150000000000006</v>
      </c>
      <c r="T156" s="25"/>
      <c r="U156" s="2"/>
      <c r="V156" s="64"/>
    </row>
    <row r="157" spans="2:22" ht="31.95" customHeight="1" x14ac:dyDescent="0.7">
      <c r="B157" s="32" t="s">
        <v>1746</v>
      </c>
      <c r="C157" s="1170"/>
      <c r="D157" s="5">
        <f>+'Ciudad Conectada'!J150</f>
        <v>0.14222222222222222</v>
      </c>
      <c r="E157" s="5">
        <f>+'Ciudad Conectada'!K150</f>
        <v>0.18523809523809523</v>
      </c>
      <c r="F157" s="5">
        <f>+'Ciudad Conectada'!L150</f>
        <v>0.26250000000000001</v>
      </c>
      <c r="G157" s="5">
        <f t="shared" si="68"/>
        <v>0.30523809523809525</v>
      </c>
      <c r="H157" s="5">
        <f t="shared" si="69"/>
        <v>0.67694444444444435</v>
      </c>
      <c r="I157" s="5">
        <f>+'Ciudad Conectada'!M150</f>
        <v>0.10183333333333333</v>
      </c>
      <c r="J157" s="5">
        <f>+'Ciudad Conectada'!N150</f>
        <v>0.24816666666666667</v>
      </c>
      <c r="K157" s="5">
        <f>+'Ciudad Conectada'!AD150</f>
        <v>0.83551724137931027</v>
      </c>
      <c r="L157" s="5">
        <v>7.7777777777777779E-2</v>
      </c>
      <c r="M157" s="5">
        <f>+'Ciudad Conectada'!AE150</f>
        <v>0.39999999999999997</v>
      </c>
      <c r="N157" s="5">
        <f>+'Ciudad Conectada'!AI150</f>
        <v>0.12000000000000001</v>
      </c>
      <c r="O157" s="5">
        <f>+'Ciudad Conectada'!AJ150</f>
        <v>0.41444444444444439</v>
      </c>
      <c r="P157" s="5">
        <f>+'Ciudad Conectada'!AK150</f>
        <v>0.45999999999999996</v>
      </c>
      <c r="Q157" s="33">
        <f>+'Ciudad Conectada'!AL150</f>
        <v>2.8350000000000004E-2</v>
      </c>
      <c r="R157" s="33">
        <f>+'Ciudad Conectada'!AM150</f>
        <v>0.58966666666666667</v>
      </c>
      <c r="S157" s="33">
        <f>+'Ciudad Conectada'!AN150</f>
        <v>0.67800000000000005</v>
      </c>
      <c r="T157" s="25"/>
      <c r="U157" s="2"/>
      <c r="V157" s="64"/>
    </row>
    <row r="158" spans="2:22" ht="67.95" customHeight="1" x14ac:dyDescent="0.7">
      <c r="B158" s="32" t="s">
        <v>1747</v>
      </c>
      <c r="C158" s="1170"/>
      <c r="D158" s="5">
        <f>+'Ciudad Conectada'!J159</f>
        <v>0</v>
      </c>
      <c r="E158" s="5">
        <f>+'Ciudad Conectada'!K159</f>
        <v>0</v>
      </c>
      <c r="F158" s="5">
        <f>+'Ciudad Conectada'!L159</f>
        <v>0.16666666666666666</v>
      </c>
      <c r="G158" s="5">
        <f t="shared" si="68"/>
        <v>0</v>
      </c>
      <c r="H158" s="5">
        <f t="shared" si="69"/>
        <v>0.16666666666666666</v>
      </c>
      <c r="I158" s="5">
        <f>+'Ciudad Conectada'!M159</f>
        <v>0</v>
      </c>
      <c r="J158" s="5">
        <f>+'Ciudad Conectada'!N159</f>
        <v>0</v>
      </c>
      <c r="K158" s="5">
        <f>+'Ciudad Conectada'!AD159</f>
        <v>0</v>
      </c>
      <c r="L158" s="5">
        <v>0.4</v>
      </c>
      <c r="M158" s="5">
        <f>+'Ciudad Conectada'!AE159</f>
        <v>0.76</v>
      </c>
      <c r="N158" s="5"/>
      <c r="O158" s="5"/>
      <c r="P158" s="5"/>
      <c r="Q158" s="33">
        <f>+'Ciudad Conectada'!AL159</f>
        <v>0</v>
      </c>
      <c r="R158" s="33">
        <f>+'Ciudad Conectada'!AM159</f>
        <v>0</v>
      </c>
      <c r="S158" s="33">
        <f>+'Ciudad Conectada'!AN159</f>
        <v>0.11399999999999999</v>
      </c>
      <c r="T158" s="25"/>
      <c r="U158" s="2"/>
      <c r="V158" s="64"/>
    </row>
    <row r="159" spans="2:22" ht="49.8" x14ac:dyDescent="0.7">
      <c r="B159" s="30" t="str">
        <f>+'Ciudad Conectada'!B167:B167</f>
        <v xml:space="preserve"> Integración Regional y Metropolitana
</v>
      </c>
      <c r="C159" s="1170"/>
      <c r="D159" s="23">
        <f t="shared" ref="D159:M159" si="82">+(D160)/1</f>
        <v>0</v>
      </c>
      <c r="E159" s="23">
        <f>+(E160)/1</f>
        <v>0.16666666666666666</v>
      </c>
      <c r="F159" s="23">
        <f>+(F160)/1</f>
        <v>0.18333333333333335</v>
      </c>
      <c r="G159" s="23">
        <f t="shared" si="68"/>
        <v>0.16666666666666666</v>
      </c>
      <c r="H159" s="23">
        <f t="shared" si="69"/>
        <v>0.33183333333333337</v>
      </c>
      <c r="I159" s="24">
        <f t="shared" si="82"/>
        <v>0</v>
      </c>
      <c r="J159" s="24">
        <f t="shared" si="82"/>
        <v>0</v>
      </c>
      <c r="K159" s="643">
        <f t="shared" si="82"/>
        <v>0.90000000000000013</v>
      </c>
      <c r="L159" s="643">
        <v>9.0909090909090912E-2</v>
      </c>
      <c r="M159" s="643">
        <f t="shared" si="82"/>
        <v>0.45454545454545453</v>
      </c>
      <c r="N159" s="3">
        <f>+(N160)/1</f>
        <v>0</v>
      </c>
      <c r="O159" s="3">
        <f>+(O160)/1</f>
        <v>0.14850000000000002</v>
      </c>
      <c r="P159" s="3">
        <f>+(P160)/1</f>
        <v>0.23100000000000004</v>
      </c>
      <c r="Q159" s="63">
        <f>+(Q160)</f>
        <v>0</v>
      </c>
      <c r="R159" s="63">
        <f>+'Ciudad Conectada'!AM167</f>
        <v>4.5000000000000014E-3</v>
      </c>
      <c r="S159" s="63">
        <f>+'Ciudad Conectada'!AN167</f>
        <v>7.000000000000001E-3</v>
      </c>
      <c r="T159" s="25"/>
      <c r="U159" s="2"/>
      <c r="V159" s="64"/>
    </row>
    <row r="160" spans="2:22" ht="54.6" customHeight="1" x14ac:dyDescent="0.7">
      <c r="B160" s="35" t="s">
        <v>1748</v>
      </c>
      <c r="C160" s="1171"/>
      <c r="D160" s="36">
        <f>+'Ciudad Conectada'!J168</f>
        <v>0</v>
      </c>
      <c r="E160" s="36">
        <f>+'Ciudad Conectada'!K168</f>
        <v>0.16666666666666666</v>
      </c>
      <c r="F160" s="36">
        <f>+'Ciudad Conectada'!L168</f>
        <v>0.18333333333333335</v>
      </c>
      <c r="G160" s="36">
        <f t="shared" si="68"/>
        <v>0.16666666666666666</v>
      </c>
      <c r="H160" s="36">
        <f t="shared" si="69"/>
        <v>0.33183333333333337</v>
      </c>
      <c r="I160" s="36">
        <f>+'Ciudad Conectada'!M168</f>
        <v>0</v>
      </c>
      <c r="J160" s="36">
        <f>+'Ciudad Conectada'!N168</f>
        <v>0</v>
      </c>
      <c r="K160" s="36">
        <f>+'Ciudad Conectada'!AD168</f>
        <v>0.90000000000000013</v>
      </c>
      <c r="L160" s="36">
        <v>9.0909090909090912E-2</v>
      </c>
      <c r="M160" s="36">
        <f>+'Ciudad Conectada'!AE168</f>
        <v>0.45454545454545453</v>
      </c>
      <c r="N160" s="36">
        <f>+'Ciudad Conectada'!AI168</f>
        <v>0</v>
      </c>
      <c r="O160" s="36">
        <f>+'Ciudad Conectada'!AJ168</f>
        <v>0.14850000000000002</v>
      </c>
      <c r="P160" s="1058">
        <f>+'Ciudad Conectada'!AK168</f>
        <v>0.23100000000000004</v>
      </c>
      <c r="Q160" s="37">
        <f>+'Ciudad Conectada'!AL168</f>
        <v>0</v>
      </c>
      <c r="R160" s="37">
        <f>+'Ciudad Conectada'!AM168</f>
        <v>9.0000000000000024E-2</v>
      </c>
      <c r="S160" s="37">
        <f>+'Ciudad Conectada'!AN168</f>
        <v>0.14000000000000001</v>
      </c>
      <c r="T160" s="25"/>
      <c r="U160" s="2"/>
      <c r="V160" s="64"/>
    </row>
    <row r="161" spans="2:24" ht="120" customHeight="1" x14ac:dyDescent="0.7">
      <c r="B161" s="27" t="str">
        <f>+'Innovación Pública'!B3:B3</f>
        <v xml:space="preserve"> INNOVACIÓN PÚBLICA Y PARTICIPACIÓN CIUDADANA
</v>
      </c>
      <c r="C161" s="1172">
        <v>0.08</v>
      </c>
      <c r="D161" s="28">
        <f>+'Innovación Pública'!J3</f>
        <v>0.23222048675539217</v>
      </c>
      <c r="E161" s="28">
        <f>+'Innovación Pública'!K3</f>
        <v>0.28247799844447724</v>
      </c>
      <c r="F161" s="28">
        <f>+'Innovación Pública'!L3</f>
        <v>0.29285203758620826</v>
      </c>
      <c r="G161" s="28">
        <f t="shared" si="68"/>
        <v>0.4993734663770556</v>
      </c>
      <c r="H161" s="28">
        <f t="shared" si="69"/>
        <v>0.83819641214294427</v>
      </c>
      <c r="I161" s="28">
        <f>+'Innovación Pública'!M3</f>
        <v>0.21726216822485131</v>
      </c>
      <c r="J161" s="28">
        <f>+'Innovación Pública'!N3</f>
        <v>0.25962902970153884</v>
      </c>
      <c r="K161" s="28">
        <f>+'Innovación Pública'!AD3</f>
        <v>0.88535453902418837</v>
      </c>
      <c r="L161" s="28">
        <v>0.25770144245140841</v>
      </c>
      <c r="M161" s="28">
        <f>+'Innovación Pública'!AE3</f>
        <v>0.49872630262426565</v>
      </c>
      <c r="N161" s="28">
        <f>+'Innovación Pública'!AI3</f>
        <v>0.21689546793257833</v>
      </c>
      <c r="O161" s="28">
        <f>+'Innovación Pública'!AJ3</f>
        <v>0.54534437455673601</v>
      </c>
      <c r="P161" s="28">
        <f>+'Innovación Pública'!AK3</f>
        <v>0.63495673370693095</v>
      </c>
      <c r="Q161" s="29">
        <f>+'Innovación Pública'!AL3</f>
        <v>0.19300125399793866</v>
      </c>
      <c r="R161" s="29">
        <f>+'Innovación Pública'!AM3</f>
        <v>0.50552782129594898</v>
      </c>
      <c r="S161" s="29">
        <f>+'Innovación Pública'!AN3</f>
        <v>0.61640078657492781</v>
      </c>
      <c r="T161" s="25"/>
      <c r="U161" s="2"/>
      <c r="V161" s="64"/>
    </row>
    <row r="162" spans="2:24" ht="87" customHeight="1" x14ac:dyDescent="0.7">
      <c r="B162" s="30" t="str">
        <f>+'Innovación Pública'!B4:B4</f>
        <v xml:space="preserve">Componente Impulsor del avance: Transparencia y Gobierno Abierto
</v>
      </c>
      <c r="C162" s="1167"/>
      <c r="D162" s="23">
        <f>+(D163+D164+D165)/2</f>
        <v>0.24124999999999999</v>
      </c>
      <c r="E162" s="23">
        <f>+(E163+E164+E165)/3</f>
        <v>0.23564814814814816</v>
      </c>
      <c r="F162" s="23">
        <f>+(F163+F164+F165)/3</f>
        <v>0.28537037037037033</v>
      </c>
      <c r="G162" s="23">
        <f t="shared" si="68"/>
        <v>0.44564814814814813</v>
      </c>
      <c r="H162" s="23">
        <f t="shared" si="69"/>
        <v>0.6911759259259258</v>
      </c>
      <c r="I162" s="24">
        <f>+(I163+I164+I165)/2</f>
        <v>0.24783333333333332</v>
      </c>
      <c r="J162" s="24">
        <f t="shared" ref="J162" si="83">+(J163+J164+J165)/2</f>
        <v>0.26858333333333329</v>
      </c>
      <c r="K162" s="643">
        <f>+(K163+K164+K165)/3</f>
        <v>0.77777777777777768</v>
      </c>
      <c r="L162" s="643">
        <v>0.3129365079365079</v>
      </c>
      <c r="M162" s="643">
        <f>+(M163+M164+M165)/3</f>
        <v>0.53769841269841268</v>
      </c>
      <c r="N162" s="3">
        <f>+(N163+N164+N165)/2</f>
        <v>0.21</v>
      </c>
      <c r="O162" s="3">
        <f>+(O163+O164+O165)/3</f>
        <v>0.40580555555555553</v>
      </c>
      <c r="P162" s="3">
        <f>+(P163+P164+P165)/3</f>
        <v>0.4881388888888889</v>
      </c>
      <c r="Q162" s="24">
        <f>+(Q163+Q164+Q165)</f>
        <v>0.15870000000000001</v>
      </c>
      <c r="R162" s="24">
        <f>+'Innovación Pública'!AM4</f>
        <v>0.41844000000000003</v>
      </c>
      <c r="S162" s="24">
        <f>+'Innovación Pública'!AN4</f>
        <v>0.5194399999999999</v>
      </c>
      <c r="T162" s="25"/>
      <c r="U162" s="2"/>
      <c r="V162" s="64"/>
    </row>
    <row r="163" spans="2:24" ht="60" customHeight="1" x14ac:dyDescent="0.7">
      <c r="B163" s="32" t="s">
        <v>1749</v>
      </c>
      <c r="C163" s="1167"/>
      <c r="D163" s="5">
        <f>+'Innovación Pública'!J5</f>
        <v>0</v>
      </c>
      <c r="E163" s="5">
        <f>+'Innovación Pública'!K5</f>
        <v>0.30444444444444446</v>
      </c>
      <c r="F163" s="5">
        <f>+'Innovación Pública'!L5</f>
        <v>0.34611111111111109</v>
      </c>
      <c r="G163" s="5">
        <f t="shared" si="68"/>
        <v>0.30444444444444446</v>
      </c>
      <c r="H163" s="5">
        <f t="shared" si="69"/>
        <v>0.46161111111111108</v>
      </c>
      <c r="I163" s="5">
        <f>+'Innovación Pública'!M5</f>
        <v>0</v>
      </c>
      <c r="J163" s="5">
        <f>+'Innovación Pública'!N5</f>
        <v>0.13749999999999998</v>
      </c>
      <c r="K163" s="5">
        <f>+'Innovación Pública'!AD5</f>
        <v>0.33333333333333331</v>
      </c>
      <c r="L163" s="5">
        <v>0</v>
      </c>
      <c r="M163" s="5">
        <f>+'Innovación Pública'!AE5</f>
        <v>0</v>
      </c>
      <c r="N163" s="5">
        <f>+'Innovación Pública'!AI5</f>
        <v>0</v>
      </c>
      <c r="O163" s="5">
        <f>+'Innovación Pública'!AJ5</f>
        <v>0.11549999999999999</v>
      </c>
      <c r="P163" s="5">
        <f>+'Innovación Pública'!AK5</f>
        <v>0.11666666666666665</v>
      </c>
      <c r="Q163" s="33">
        <f>+'Innovación Pública'!AL5</f>
        <v>0</v>
      </c>
      <c r="R163" s="33">
        <f>+'Innovación Pública'!AM5</f>
        <v>0.12249999999999998</v>
      </c>
      <c r="S163" s="33">
        <f>+'Innovación Pública'!AN5</f>
        <v>0.12249999999999998</v>
      </c>
      <c r="T163" s="25"/>
      <c r="U163" s="2"/>
      <c r="V163" s="64"/>
    </row>
    <row r="164" spans="2:24" ht="44.4" customHeight="1" x14ac:dyDescent="0.7">
      <c r="B164" s="32" t="s">
        <v>1750</v>
      </c>
      <c r="C164" s="1167"/>
      <c r="D164" s="5">
        <f>+'Innovación Pública'!J9</f>
        <v>0.25</v>
      </c>
      <c r="E164" s="5">
        <f>+'Innovación Pública'!K9</f>
        <v>0.25</v>
      </c>
      <c r="F164" s="5">
        <f>+'Innovación Pública'!L9</f>
        <v>0.1875</v>
      </c>
      <c r="G164" s="5">
        <f t="shared" si="68"/>
        <v>0.4375</v>
      </c>
      <c r="H164" s="5">
        <f t="shared" si="69"/>
        <v>0.8125</v>
      </c>
      <c r="I164" s="5">
        <f>+'Innovación Pública'!M9</f>
        <v>0.25</v>
      </c>
      <c r="J164" s="5">
        <f>+'Innovación Pública'!N9</f>
        <v>0.25</v>
      </c>
      <c r="K164" s="5">
        <f>+'Innovación Pública'!AD9</f>
        <v>1</v>
      </c>
      <c r="L164" s="5">
        <v>0.5</v>
      </c>
      <c r="M164" s="5">
        <f>+'Innovación Pública'!AE9</f>
        <v>1</v>
      </c>
      <c r="N164" s="5">
        <f>+'Innovación Pública'!AI9</f>
        <v>0.1875</v>
      </c>
      <c r="O164" s="5">
        <f>+'Innovación Pública'!AJ9</f>
        <v>0.625</v>
      </c>
      <c r="P164" s="5">
        <f>+'Innovación Pública'!AK9</f>
        <v>0.8125</v>
      </c>
      <c r="Q164" s="33">
        <f>+'Innovación Pública'!AL9</f>
        <v>8.5000000000000006E-2</v>
      </c>
      <c r="R164" s="33">
        <f>+'Innovación Pública'!AM9</f>
        <v>0.57499999999999996</v>
      </c>
      <c r="S164" s="33">
        <f>+'Innovación Pública'!AN9</f>
        <v>0.78749999999999987</v>
      </c>
      <c r="T164" s="25"/>
      <c r="U164" s="2"/>
      <c r="V164" s="64"/>
    </row>
    <row r="165" spans="2:24" ht="38.4" customHeight="1" x14ac:dyDescent="0.7">
      <c r="B165" s="32" t="s">
        <v>1751</v>
      </c>
      <c r="C165" s="1167"/>
      <c r="D165" s="5">
        <f>+'Innovación Pública'!J12</f>
        <v>0.23249999999999998</v>
      </c>
      <c r="E165" s="5">
        <f>+'Innovación Pública'!K12</f>
        <v>0.1525</v>
      </c>
      <c r="F165" s="5">
        <f>+'Innovación Pública'!L12</f>
        <v>0.32250000000000001</v>
      </c>
      <c r="G165" s="5">
        <f t="shared" si="68"/>
        <v>0.38500000000000001</v>
      </c>
      <c r="H165" s="5">
        <f t="shared" si="69"/>
        <v>0.79941666666666666</v>
      </c>
      <c r="I165" s="5">
        <f>+'Innovación Pública'!M12</f>
        <v>0.24566666666666664</v>
      </c>
      <c r="J165" s="5">
        <f>+'Innovación Pública'!N12</f>
        <v>0.14966666666666667</v>
      </c>
      <c r="K165" s="5">
        <f>+'Innovación Pública'!AD12</f>
        <v>1</v>
      </c>
      <c r="L165" s="5">
        <v>0.43880952380952382</v>
      </c>
      <c r="M165" s="5">
        <f>+'Innovación Pública'!AE12</f>
        <v>0.61309523809523814</v>
      </c>
      <c r="N165" s="5">
        <f>+'Innovación Pública'!AI12</f>
        <v>0.23249999999999998</v>
      </c>
      <c r="O165" s="5">
        <f>+'Innovación Pública'!AJ12</f>
        <v>0.47691666666666666</v>
      </c>
      <c r="P165" s="1051">
        <f>+'Innovación Pública'!AK12</f>
        <v>0.53525</v>
      </c>
      <c r="Q165" s="33">
        <f>+'Innovación Pública'!AL12</f>
        <v>7.3699999999999988E-2</v>
      </c>
      <c r="R165" s="33">
        <f>+'Innovación Pública'!AM12</f>
        <v>0.50563333333333338</v>
      </c>
      <c r="S165" s="33">
        <f>+'Innovación Pública'!AN12</f>
        <v>0.55896666666666661</v>
      </c>
      <c r="T165" s="25"/>
      <c r="U165" s="2"/>
      <c r="V165" s="64"/>
    </row>
    <row r="166" spans="2:24" ht="124.2" customHeight="1" x14ac:dyDescent="0.7">
      <c r="B166" s="30" t="str">
        <f>+'Innovación Pública'!B17:B17</f>
        <v xml:space="preserve">Fortalecimiento Institucional e Innovación Administrativa
</v>
      </c>
      <c r="C166" s="1167"/>
      <c r="D166" s="23">
        <f>+(D167+D168+D169+D170+D171+D172+D173+D174)/6</f>
        <v>0.19706348655814188</v>
      </c>
      <c r="E166" s="23">
        <f>+(E167+E168+E169+E170+E171+E172+E173+E174)/8</f>
        <v>0.26909331873479403</v>
      </c>
      <c r="F166" s="23">
        <f>+(F167+F168+F169+F170+F171+F172+F173+F174)/8</f>
        <v>0.32124337991608437</v>
      </c>
      <c r="G166" s="23">
        <f t="shared" si="68"/>
        <v>0.4688387775963947</v>
      </c>
      <c r="H166" s="23">
        <f t="shared" si="69"/>
        <v>0.78791252215759355</v>
      </c>
      <c r="I166" s="24">
        <f>+(I167+I168+I169+I170+I171+I172+I173+I174)/6</f>
        <v>0.16739826874293517</v>
      </c>
      <c r="J166" s="24">
        <f t="shared" ref="J166" si="84">+(J167+J168+J169+J170+J171+J172+J173+J174)/6</f>
        <v>0.351193038594735</v>
      </c>
      <c r="K166" s="643">
        <f>+(K167+K168+K169+K170+K171+K172+K173+K174)/8</f>
        <v>0.80490114379084976</v>
      </c>
      <c r="L166" s="643">
        <v>0.2321691666666667</v>
      </c>
      <c r="M166" s="643">
        <f>+(M167+M168+M169+M170+M171+M172+M173+M174)/8</f>
        <v>0.45078333333333337</v>
      </c>
      <c r="N166" s="67">
        <f>+(N167+N168+N169+N170+N171+N172+N173+N174)/6</f>
        <v>0.19974545886160069</v>
      </c>
      <c r="O166" s="67">
        <f>+(O167+O168+O169+O170+O171+O172+O173+O174)/8</f>
        <v>0.46666914224150913</v>
      </c>
      <c r="P166" s="67">
        <f>+(P167+P168+P169+P170+P171+P172+P173+P174)/8</f>
        <v>0.57519437099290527</v>
      </c>
      <c r="Q166" s="63">
        <f>+(Q167+Q168+Q169+Q170+Q171+Q172+Q173+Q174)</f>
        <v>0.14653217466808169</v>
      </c>
      <c r="R166" s="63">
        <f>+'Innovación Pública'!AM17</f>
        <v>0.52144215270407368</v>
      </c>
      <c r="S166" s="63">
        <f>+'Innovación Pública'!AN17</f>
        <v>0.61756573237784029</v>
      </c>
      <c r="T166" s="25"/>
      <c r="U166" s="2"/>
      <c r="V166" s="64"/>
    </row>
    <row r="167" spans="2:24" ht="57" customHeight="1" x14ac:dyDescent="0.7">
      <c r="B167" s="32" t="s">
        <v>1752</v>
      </c>
      <c r="C167" s="1167"/>
      <c r="D167" s="5">
        <f>+'Innovación Pública'!J18</f>
        <v>0.27777777777777773</v>
      </c>
      <c r="E167" s="5">
        <f>+'Innovación Pública'!K18</f>
        <v>0.29083333333333333</v>
      </c>
      <c r="F167" s="5">
        <f>+'Innovación Pública'!L18</f>
        <v>0.27666666666666667</v>
      </c>
      <c r="G167" s="5">
        <f t="shared" si="68"/>
        <v>0.56861111111111107</v>
      </c>
      <c r="H167" s="5">
        <f t="shared" si="69"/>
        <v>0.90484166666666654</v>
      </c>
      <c r="I167" s="5">
        <f>+'Innovación Pública'!M18</f>
        <v>0.27083333333333337</v>
      </c>
      <c r="J167" s="5">
        <f>+'Innovación Pública'!N18</f>
        <v>0.28733333333333333</v>
      </c>
      <c r="K167" s="5">
        <f>+'Innovación Pública'!AD18</f>
        <v>1</v>
      </c>
      <c r="L167" s="5">
        <v>0.26250000000000001</v>
      </c>
      <c r="M167" s="5">
        <f>+'Innovación Pública'!AE18</f>
        <v>0.62000000000000011</v>
      </c>
      <c r="N167" s="5">
        <f>+'Innovación Pública'!AI18</f>
        <v>0.27777777777777773</v>
      </c>
      <c r="O167" s="5">
        <f>+'Innovación Pública'!AJ18</f>
        <v>0.62817499999999993</v>
      </c>
      <c r="P167" s="5">
        <f>+'Innovación Pública'!AK18</f>
        <v>0.82687500000000003</v>
      </c>
      <c r="Q167" s="33">
        <f>+'Innovación Pública'!AL18</f>
        <v>4.0625000000000001E-2</v>
      </c>
      <c r="R167" s="33">
        <f>+'Innovación Pública'!AM18</f>
        <v>0.70063500000000001</v>
      </c>
      <c r="S167" s="33">
        <f>+'Innovación Pública'!AN18</f>
        <v>0.80675000000000008</v>
      </c>
      <c r="T167" s="25"/>
      <c r="U167" s="2"/>
      <c r="V167" s="64"/>
    </row>
    <row r="168" spans="2:24" ht="40.200000000000003" customHeight="1" x14ac:dyDescent="0.7">
      <c r="B168" s="32" t="s">
        <v>1753</v>
      </c>
      <c r="C168" s="1167"/>
      <c r="D168" s="5">
        <f>+'Innovación Pública'!J23</f>
        <v>0.25</v>
      </c>
      <c r="E168" s="5">
        <f>+'Innovación Pública'!K23</f>
        <v>0.25</v>
      </c>
      <c r="F168" s="5">
        <f>+'Innovación Pública'!L23</f>
        <v>0.25</v>
      </c>
      <c r="G168" s="5">
        <f t="shared" si="68"/>
        <v>0.5</v>
      </c>
      <c r="H168" s="5">
        <f t="shared" si="69"/>
        <v>0.78749999999999998</v>
      </c>
      <c r="I168" s="5">
        <f>+'Innovación Pública'!M23</f>
        <v>0.25</v>
      </c>
      <c r="J168" s="5">
        <f>+'Innovación Pública'!N23</f>
        <v>0.25</v>
      </c>
      <c r="K168" s="5">
        <f>+'Innovación Pública'!AD23</f>
        <v>1</v>
      </c>
      <c r="L168" s="5">
        <v>0.125</v>
      </c>
      <c r="M168" s="5">
        <f>+'Innovación Pública'!AE23</f>
        <v>0.25</v>
      </c>
      <c r="N168" s="5">
        <f>+'Innovación Pública'!AI23</f>
        <v>0.25</v>
      </c>
      <c r="O168" s="5">
        <f>+'Innovación Pública'!AJ23</f>
        <v>0.53749999999999998</v>
      </c>
      <c r="P168" s="5">
        <f>+'Innovación Pública'!AK23</f>
        <v>0.6</v>
      </c>
      <c r="Q168" s="33">
        <f>+'Innovación Pública'!AL23</f>
        <v>1.2500000000000001E-2</v>
      </c>
      <c r="R168" s="33">
        <f>+'Innovación Pública'!AM23</f>
        <v>0.55999999999999994</v>
      </c>
      <c r="S168" s="33">
        <f>+'Innovación Pública'!AN23</f>
        <v>0.62250000000000005</v>
      </c>
      <c r="T168" s="25"/>
      <c r="U168" s="2"/>
      <c r="V168" s="64"/>
    </row>
    <row r="169" spans="2:24" ht="46.95" customHeight="1" x14ac:dyDescent="0.85">
      <c r="B169" s="32" t="s">
        <v>1754</v>
      </c>
      <c r="C169" s="1167"/>
      <c r="D169" s="5">
        <f>+'Innovación Pública'!J26</f>
        <v>0.20186882933709449</v>
      </c>
      <c r="E169" s="5">
        <f>+'Innovación Pública'!K26</f>
        <v>0.27736248236953459</v>
      </c>
      <c r="F169" s="5">
        <f>+'Innovación Pública'!L26</f>
        <v>0.27736248236953459</v>
      </c>
      <c r="G169" s="5">
        <f t="shared" si="68"/>
        <v>0.44984720263281619</v>
      </c>
      <c r="H169" s="5">
        <f t="shared" si="69"/>
        <v>0.83325497570913654</v>
      </c>
      <c r="I169" s="5">
        <f>+'Innovación Pública'!M26</f>
        <v>0.17686882933709452</v>
      </c>
      <c r="J169" s="5">
        <f>+'Innovación Pública'!N26</f>
        <v>0.24104372355430184</v>
      </c>
      <c r="K169" s="5">
        <f>+'Innovación Pública'!AD26</f>
        <v>1</v>
      </c>
      <c r="L169" s="5">
        <v>0.52</v>
      </c>
      <c r="M169" s="5">
        <f>+'Innovación Pública'!AE26</f>
        <v>0.76666666666666661</v>
      </c>
      <c r="N169" s="5">
        <f>+'Innovación Pública'!AI26</f>
        <v>0.17248472026328163</v>
      </c>
      <c r="O169" s="5">
        <f>+'Innovación Pública'!AJ26</f>
        <v>0.555892493339602</v>
      </c>
      <c r="P169" s="5">
        <f>+'Innovación Pública'!AK26</f>
        <v>0.8095737345243692</v>
      </c>
      <c r="Q169" s="33">
        <f>+'Innovación Pública'!AL26</f>
        <v>2.9496944052656328E-2</v>
      </c>
      <c r="R169" s="33">
        <f>+'Innovación Pública'!AM26</f>
        <v>0.53483874000940301</v>
      </c>
      <c r="S169" s="33">
        <f>+'Innovación Pública'!AN26</f>
        <v>0.72736060178655382</v>
      </c>
      <c r="T169" s="25"/>
      <c r="U169" s="2"/>
      <c r="V169" s="64"/>
      <c r="X169" s="1134"/>
    </row>
    <row r="170" spans="2:24" ht="46.2" customHeight="1" x14ac:dyDescent="0.7">
      <c r="B170" s="32" t="s">
        <v>1755</v>
      </c>
      <c r="C170" s="1167"/>
      <c r="D170" s="5">
        <f>+'Innovación Pública'!J30</f>
        <v>0.06</v>
      </c>
      <c r="E170" s="5">
        <f>+'Innovación Pública'!K30</f>
        <v>0.06</v>
      </c>
      <c r="F170" s="5">
        <f>+'Innovación Pública'!L30</f>
        <v>0.25</v>
      </c>
      <c r="G170" s="5">
        <f t="shared" si="68"/>
        <v>0.21</v>
      </c>
      <c r="H170" s="5">
        <f t="shared" si="69"/>
        <v>0.87375999999999998</v>
      </c>
      <c r="I170" s="5">
        <f>+'Innovación Pública'!M30</f>
        <v>0.06</v>
      </c>
      <c r="J170" s="5">
        <f>+'Innovación Pública'!N30</f>
        <v>0.06</v>
      </c>
      <c r="K170" s="5">
        <f>+'Innovación Pública'!AD30</f>
        <v>1</v>
      </c>
      <c r="L170" s="5">
        <v>0.25</v>
      </c>
      <c r="M170" s="5">
        <f>+'Innovación Pública'!AE30</f>
        <v>0.62</v>
      </c>
      <c r="N170" s="5">
        <f>+'Innovación Pública'!AI30</f>
        <v>0.15</v>
      </c>
      <c r="O170" s="5">
        <f>+'Innovación Pública'!AJ30</f>
        <v>0.62375999999999998</v>
      </c>
      <c r="P170" s="5">
        <f>+'Innovación Pública'!AK30</f>
        <v>0.68009359999999996</v>
      </c>
      <c r="Q170" s="33">
        <f>+'Innovación Pública'!AL30</f>
        <v>4.4999999999999998E-2</v>
      </c>
      <c r="R170" s="33">
        <f>+'Innovación Pública'!AM30</f>
        <v>0.62375999999999998</v>
      </c>
      <c r="S170" s="33">
        <f>+'Innovación Pública'!AN30</f>
        <v>0.68009359999999996</v>
      </c>
      <c r="T170" s="25"/>
      <c r="U170" s="2"/>
      <c r="V170" s="64"/>
    </row>
    <row r="171" spans="2:24" ht="44.4" customHeight="1" x14ac:dyDescent="0.7">
      <c r="B171" s="32" t="s">
        <v>1756</v>
      </c>
      <c r="C171" s="1167"/>
      <c r="D171" s="5">
        <f>+'Innovación Pública'!J32</f>
        <v>0</v>
      </c>
      <c r="E171" s="5">
        <f>+'Innovación Pública'!K32</f>
        <v>0.76666666666666661</v>
      </c>
      <c r="F171" s="5">
        <f>+'Innovación Pública'!L32</f>
        <v>0.5</v>
      </c>
      <c r="G171" s="5">
        <f t="shared" si="68"/>
        <v>0.76666666666666661</v>
      </c>
      <c r="H171" s="5">
        <v>1</v>
      </c>
      <c r="I171" s="5">
        <f>+'Innovación Pública'!M32</f>
        <v>0</v>
      </c>
      <c r="J171" s="5">
        <f>+'Innovación Pública'!N32</f>
        <v>0.72</v>
      </c>
      <c r="K171" s="5">
        <f>+'Innovación Pública'!AD32</f>
        <v>0.66666666666666663</v>
      </c>
      <c r="L171" s="5">
        <v>0.4</v>
      </c>
      <c r="M171" s="5">
        <f>+'Innovación Pública'!AE32</f>
        <v>0.60000000000000009</v>
      </c>
      <c r="N171" s="5">
        <f>+'Innovación Pública'!AI32</f>
        <v>0</v>
      </c>
      <c r="O171" s="5">
        <f>+'Innovación Pública'!AJ32</f>
        <v>0.66666666666666663</v>
      </c>
      <c r="P171" s="5">
        <f>+'Innovación Pública'!AK32</f>
        <v>0.76666666666666661</v>
      </c>
      <c r="Q171" s="33">
        <f>+'Innovación Pública'!AL32</f>
        <v>0</v>
      </c>
      <c r="R171" s="33">
        <f>+'Innovación Pública'!AM32</f>
        <v>0.6</v>
      </c>
      <c r="S171" s="33">
        <f>+'Innovación Pública'!AN32</f>
        <v>0.72</v>
      </c>
      <c r="T171" s="25"/>
      <c r="U171" s="2"/>
      <c r="V171" s="64"/>
    </row>
    <row r="172" spans="2:24" ht="53.4" customHeight="1" x14ac:dyDescent="0.7">
      <c r="B172" s="32" t="s">
        <v>1757</v>
      </c>
      <c r="C172" s="1167"/>
      <c r="D172" s="5">
        <f>+'Innovación Pública'!J36</f>
        <v>0.22500000000000001</v>
      </c>
      <c r="E172" s="5">
        <f>+'Innovación Pública'!K36</f>
        <v>0.33</v>
      </c>
      <c r="F172" s="5">
        <f>+'Innovación Pública'!L36</f>
        <v>0.31666666666666665</v>
      </c>
      <c r="G172" s="5">
        <f t="shared" si="68"/>
        <v>0.505</v>
      </c>
      <c r="H172" s="5">
        <f t="shared" si="69"/>
        <v>0.74666666666666659</v>
      </c>
      <c r="I172" s="5">
        <f>+'Innovación Pública'!M36</f>
        <v>0.16250000000000001</v>
      </c>
      <c r="J172" s="5">
        <f>+'Innovación Pública'!N36</f>
        <v>0.34750000000000003</v>
      </c>
      <c r="K172" s="5">
        <f>+'Innovación Pública'!AD36</f>
        <v>0.91176470588235292</v>
      </c>
      <c r="L172" s="5">
        <v>0.25333333333333335</v>
      </c>
      <c r="M172" s="5">
        <f>+'Innovación Pública'!AE36</f>
        <v>0.59666666666666668</v>
      </c>
      <c r="N172" s="5">
        <f>+'Innovación Pública'!AI36</f>
        <v>0.17499999999999999</v>
      </c>
      <c r="O172" s="5">
        <f>+'Innovación Pública'!AJ36</f>
        <v>0.43</v>
      </c>
      <c r="P172" s="5">
        <f>+'Innovación Pública'!AK36</f>
        <v>0.58666666666666656</v>
      </c>
      <c r="Q172" s="33">
        <f>+'Innovación Pública'!AL36</f>
        <v>5.6250000000000007E-3</v>
      </c>
      <c r="R172" s="33">
        <f>+'Innovación Pública'!AM36</f>
        <v>0.45749999999999996</v>
      </c>
      <c r="S172" s="33">
        <f>+'Innovación Pública'!AN36</f>
        <v>0.61250000000000004</v>
      </c>
      <c r="T172" s="25"/>
      <c r="U172" s="2"/>
      <c r="V172" s="64"/>
    </row>
    <row r="173" spans="2:24" ht="39" customHeight="1" x14ac:dyDescent="0.7">
      <c r="B173" s="32" t="s">
        <v>1758</v>
      </c>
      <c r="C173" s="1167"/>
      <c r="D173" s="5">
        <f>+'Innovación Pública'!J40</f>
        <v>0</v>
      </c>
      <c r="E173" s="5">
        <f>+'Innovación Pública'!K40</f>
        <v>0</v>
      </c>
      <c r="F173" s="5">
        <f>+'Innovación Pública'!L40</f>
        <v>0.5</v>
      </c>
      <c r="G173" s="5">
        <f t="shared" si="68"/>
        <v>0</v>
      </c>
      <c r="H173" s="5">
        <f t="shared" si="69"/>
        <v>0.55000000000000004</v>
      </c>
      <c r="I173" s="5">
        <f>+'Innovación Pública'!M40</f>
        <v>0</v>
      </c>
      <c r="J173" s="5">
        <f>+'Innovación Pública'!N40</f>
        <v>0</v>
      </c>
      <c r="K173" s="5">
        <f>+'Innovación Pública'!AD40</f>
        <v>0</v>
      </c>
      <c r="L173" s="5">
        <v>0</v>
      </c>
      <c r="M173" s="5">
        <f>+'Innovación Pública'!AE40</f>
        <v>0</v>
      </c>
      <c r="N173" s="5">
        <f>+'Innovación Pública'!AI40</f>
        <v>0</v>
      </c>
      <c r="O173" s="5">
        <f>+'Innovación Pública'!AJ40</f>
        <v>0.05</v>
      </c>
      <c r="P173" s="5">
        <f>+'Innovación Pública'!AK40</f>
        <v>0.05</v>
      </c>
      <c r="Q173" s="33">
        <f>+'Innovación Pública'!AL40</f>
        <v>0</v>
      </c>
      <c r="R173" s="33">
        <f>+'Innovación Pública'!AM40</f>
        <v>0.05</v>
      </c>
      <c r="S173" s="33">
        <f>+'Innovación Pública'!AN40</f>
        <v>0.05</v>
      </c>
      <c r="T173" s="25"/>
      <c r="U173" s="2"/>
      <c r="V173" s="64"/>
    </row>
    <row r="174" spans="2:24" ht="43.95" customHeight="1" x14ac:dyDescent="0.7">
      <c r="B174" s="32" t="s">
        <v>1759</v>
      </c>
      <c r="C174" s="1167"/>
      <c r="D174" s="5">
        <f>+'Innovación Pública'!J43</f>
        <v>0.16773431223397892</v>
      </c>
      <c r="E174" s="5">
        <f>+'Innovación Pública'!K43</f>
        <v>0.17788406750881749</v>
      </c>
      <c r="F174" s="5">
        <f>+'Innovación Pública'!L43</f>
        <v>0.19925122362580694</v>
      </c>
      <c r="G174" s="5">
        <f t="shared" si="68"/>
        <v>0.35109432263736229</v>
      </c>
      <c r="H174" s="5">
        <f t="shared" si="69"/>
        <v>0.44061020155161162</v>
      </c>
      <c r="I174" s="5">
        <f>+'Innovación Pública'!M43</f>
        <v>8.4187449787183122E-2</v>
      </c>
      <c r="J174" s="5">
        <f>+'Innovación Pública'!N43</f>
        <v>0.20128117468077469</v>
      </c>
      <c r="K174" s="5">
        <f>+'Innovación Pública'!AD43</f>
        <v>0.86077777777777786</v>
      </c>
      <c r="L174" s="5">
        <v>4.6520000000000006E-2</v>
      </c>
      <c r="M174" s="5">
        <f>+'Innovación Pública'!AE43</f>
        <v>0.15293333333333334</v>
      </c>
      <c r="N174" s="5">
        <f>+'Innovación Pública'!AI43</f>
        <v>0.17321025512854482</v>
      </c>
      <c r="O174" s="5">
        <f>+'Innovación Pública'!AJ43</f>
        <v>0.24135897792580469</v>
      </c>
      <c r="P174" s="5">
        <f>+'Innovación Pública'!AK43</f>
        <v>0.28167930008553987</v>
      </c>
      <c r="Q174" s="33">
        <f>+'Innovación Pública'!AL43</f>
        <v>1.3285230615425379E-2</v>
      </c>
      <c r="R174" s="33">
        <f>+'Innovación Pública'!AM43</f>
        <v>0.25917436468128752</v>
      </c>
      <c r="S174" s="33">
        <f>+'Innovación Pública'!AN43</f>
        <v>0.31202021347019709</v>
      </c>
      <c r="T174" s="25"/>
      <c r="U174" s="2"/>
      <c r="V174" s="64"/>
    </row>
    <row r="175" spans="2:24" ht="82.95" customHeight="1" x14ac:dyDescent="0.7">
      <c r="B175" s="30" t="str">
        <f>+'Innovación Pública'!B48:B48</f>
        <v xml:space="preserve"> Finanzas Públicas
</v>
      </c>
      <c r="C175" s="1167"/>
      <c r="D175" s="23">
        <f>+(D176+D177)</f>
        <v>0.22689134534516447</v>
      </c>
      <c r="E175" s="23">
        <f>+(E176+E177)/2</f>
        <v>0.2540275605253442</v>
      </c>
      <c r="F175" s="23">
        <f>+(F176+F177)/2</f>
        <v>0.31631974529991125</v>
      </c>
      <c r="G175" s="23">
        <f t="shared" si="68"/>
        <v>0.50982794224574346</v>
      </c>
      <c r="H175" s="23">
        <v>1</v>
      </c>
      <c r="I175" s="24">
        <f t="shared" ref="I175:Q175" si="85">+(I176+I177)</f>
        <v>0.22571301967260979</v>
      </c>
      <c r="J175" s="24">
        <f>+(J176+J177)/2</f>
        <v>0.25432469935214241</v>
      </c>
      <c r="K175" s="643">
        <f>+(K176+K177)/2</f>
        <v>0.99113502988969038</v>
      </c>
      <c r="L175" s="643">
        <v>0.40019861695551479</v>
      </c>
      <c r="M175" s="643">
        <f>+(M176+M177)/2</f>
        <v>0.75725550794788787</v>
      </c>
      <c r="N175" s="3">
        <f t="shared" si="85"/>
        <v>0.25580038172039926</v>
      </c>
      <c r="O175" s="3">
        <f>+(O176+O177)/2</f>
        <v>0.77712521124768763</v>
      </c>
      <c r="P175" s="3">
        <f>+(P176+P177)/2</f>
        <v>0.84646360659112929</v>
      </c>
      <c r="Q175" s="63">
        <f t="shared" si="85"/>
        <v>0.22738216072471779</v>
      </c>
      <c r="R175" s="63">
        <f>+'Innovación Pública'!AM48</f>
        <v>0.53668886120066794</v>
      </c>
      <c r="S175" s="63">
        <f>+'Innovación Pública'!AN48</f>
        <v>0.67264416520834114</v>
      </c>
      <c r="T175" s="25"/>
      <c r="U175" s="2"/>
      <c r="V175" s="64"/>
    </row>
    <row r="176" spans="2:24" ht="44.4" customHeight="1" x14ac:dyDescent="0.7">
      <c r="B176" s="32" t="s">
        <v>1760</v>
      </c>
      <c r="C176" s="1167"/>
      <c r="D176" s="5">
        <f>+'Innovación Pública'!J49</f>
        <v>0.22689134534516447</v>
      </c>
      <c r="E176" s="5">
        <f>+'Innovación Pública'!K49</f>
        <v>0.2580551210506884</v>
      </c>
      <c r="F176" s="5">
        <f>+'Innovación Pública'!L49</f>
        <v>0.25763949059982244</v>
      </c>
      <c r="G176" s="5">
        <f t="shared" si="68"/>
        <v>0.5138555027710876</v>
      </c>
      <c r="H176" s="5">
        <f t="shared" si="69"/>
        <v>0.81188991309519754</v>
      </c>
      <c r="I176" s="5">
        <f>+'Innovación Pública'!M49</f>
        <v>0.22571301967260979</v>
      </c>
      <c r="J176" s="5">
        <f>+'Innovación Pública'!N49</f>
        <v>0.25864939870428477</v>
      </c>
      <c r="K176" s="5">
        <f>+'Innovación Pública'!AD49</f>
        <v>0.98227005977938087</v>
      </c>
      <c r="L176" s="5">
        <v>0.13373056724436294</v>
      </c>
      <c r="M176" s="5">
        <f>+'Innovación Pública'!AE49</f>
        <v>0.51451101589577575</v>
      </c>
      <c r="N176" s="5">
        <f>+'Innovación Pública'!AI49</f>
        <v>0.25580038172039926</v>
      </c>
      <c r="O176" s="5">
        <f>+'Innovación Pública'!AJ49</f>
        <v>0.55425042249537515</v>
      </c>
      <c r="P176" s="5">
        <f>+'Innovación Pública'!AK49</f>
        <v>0.69292721318225858</v>
      </c>
      <c r="Q176" s="33">
        <f>+'Innovación Pública'!AL49</f>
        <v>0.22738216072471779</v>
      </c>
      <c r="R176" s="33">
        <f>+'Innovación Pública'!AM49</f>
        <v>0.51230406442175569</v>
      </c>
      <c r="S176" s="33">
        <f>+'Innovación Pública'!AN49</f>
        <v>0.65541491074562219</v>
      </c>
      <c r="T176" s="25"/>
      <c r="U176" s="2"/>
      <c r="V176" s="64"/>
    </row>
    <row r="177" spans="2:22" ht="31.2" customHeight="1" x14ac:dyDescent="0.7">
      <c r="B177" s="32" t="s">
        <v>1761</v>
      </c>
      <c r="C177" s="1167"/>
      <c r="D177" s="5">
        <f>+'Innovación Pública'!J55</f>
        <v>0</v>
      </c>
      <c r="E177" s="5">
        <f>+'Innovación Pública'!K55</f>
        <v>0.25</v>
      </c>
      <c r="F177" s="5">
        <f>+'Innovación Pública'!L55</f>
        <v>0.375</v>
      </c>
      <c r="G177" s="5">
        <f t="shared" si="68"/>
        <v>0.25</v>
      </c>
      <c r="H177" s="5">
        <v>1</v>
      </c>
      <c r="I177" s="5">
        <f>+'Innovación Pública'!M55</f>
        <v>0</v>
      </c>
      <c r="J177" s="5">
        <f>+'Innovación Pública'!N55</f>
        <v>0.25</v>
      </c>
      <c r="K177" s="5">
        <f>+'Innovación Pública'!AD55</f>
        <v>1</v>
      </c>
      <c r="L177" s="5">
        <v>0.66666666666666663</v>
      </c>
      <c r="M177" s="5">
        <f>+'Innovación Pública'!AE55</f>
        <v>1</v>
      </c>
      <c r="N177" s="5">
        <f>+'Innovación Pública'!AI55</f>
        <v>0</v>
      </c>
      <c r="O177" s="5">
        <f>+'Innovación Pública'!AJ55</f>
        <v>1</v>
      </c>
      <c r="P177" s="5">
        <f>+'Innovación Pública'!AK55</f>
        <v>1</v>
      </c>
      <c r="Q177" s="33">
        <f>+'Innovación Pública'!AL55</f>
        <v>0</v>
      </c>
      <c r="R177" s="33">
        <f>+'Innovación Pública'!AM55</f>
        <v>1</v>
      </c>
      <c r="S177" s="33">
        <f>+'Innovación Pública'!AN55</f>
        <v>1</v>
      </c>
      <c r="T177" s="25"/>
      <c r="U177" s="2"/>
      <c r="V177" s="64"/>
    </row>
    <row r="178" spans="2:22" ht="76.95" customHeight="1" x14ac:dyDescent="0.7">
      <c r="B178" s="30" t="str">
        <f>+'Innovación Pública'!B57:B57</f>
        <v xml:space="preserve">Cultura Ciudadana
</v>
      </c>
      <c r="C178" s="1167"/>
      <c r="D178" s="23">
        <f t="shared" ref="D178:I178" si="86">+(D179+D180+D181+D182+D183)/5</f>
        <v>0.22780333900383748</v>
      </c>
      <c r="E178" s="23">
        <f t="shared" si="86"/>
        <v>0.28056602016325777</v>
      </c>
      <c r="F178" s="23">
        <f t="shared" ref="F178" si="87">+(F179+F180+F181+F182+F183)/5</f>
        <v>0.26023108128601757</v>
      </c>
      <c r="G178" s="23">
        <f t="shared" si="68"/>
        <v>0.5349577019952263</v>
      </c>
      <c r="H178" s="23">
        <f t="shared" si="69"/>
        <v>0.78367528616265114</v>
      </c>
      <c r="I178" s="24">
        <f t="shared" si="86"/>
        <v>0.22258316849309651</v>
      </c>
      <c r="J178" s="24">
        <f t="shared" ref="J178:K178" si="88">+(J179+J180+J181+J182+J183)/5</f>
        <v>0.27229331342063273</v>
      </c>
      <c r="K178" s="643">
        <f t="shared" si="88"/>
        <v>1</v>
      </c>
      <c r="L178" s="643">
        <v>9.7906759906759913E-2</v>
      </c>
      <c r="M178" s="643">
        <f t="shared" ref="M178" si="89">+(M179+M180+M181+M182+M183)/5</f>
        <v>0.46185191475191473</v>
      </c>
      <c r="N178" s="3">
        <f>+(N179+N180+N181+N182+N183)/5</f>
        <v>0.25439168183196847</v>
      </c>
      <c r="O178" s="3">
        <f>+(O179+O180+O181+O182+O183)/5</f>
        <v>0.52344420487663357</v>
      </c>
      <c r="P178" s="3">
        <f>+(P179+P180+P181+P182+P183)/5</f>
        <v>0.6430692958684443</v>
      </c>
      <c r="Q178" s="63">
        <f>+(Q179+Q180+Q181+Q182+Q183)</f>
        <v>0.28719335759781622</v>
      </c>
      <c r="R178" s="63">
        <f>+'Innovación Pública'!AM57</f>
        <v>0.56904333649826588</v>
      </c>
      <c r="S178" s="63">
        <f>+'Innovación Pública'!AN57</f>
        <v>0.68484410708516297</v>
      </c>
      <c r="T178" s="25"/>
      <c r="U178" s="2"/>
      <c r="V178" s="64"/>
    </row>
    <row r="179" spans="2:22" ht="76.95" customHeight="1" x14ac:dyDescent="0.7">
      <c r="B179" s="32" t="s">
        <v>1762</v>
      </c>
      <c r="C179" s="1167"/>
      <c r="D179" s="5">
        <f>+'Innovación Pública'!J58</f>
        <v>0.24988626023657873</v>
      </c>
      <c r="E179" s="5">
        <f>+'Innovación Pública'!K58</f>
        <v>0.24988626023657873</v>
      </c>
      <c r="F179" s="5">
        <f>+'Innovación Pública'!L58</f>
        <v>0.25011373976342133</v>
      </c>
      <c r="G179" s="5">
        <f t="shared" si="68"/>
        <v>0.63330300272975437</v>
      </c>
      <c r="H179" s="5">
        <f t="shared" si="69"/>
        <v>0.89251592356687903</v>
      </c>
      <c r="I179" s="5">
        <f>+'Innovación Pública'!M58</f>
        <v>0.24981801637852596</v>
      </c>
      <c r="J179" s="5">
        <f>+'Innovación Pública'!N58</f>
        <v>0.24981801637852596</v>
      </c>
      <c r="K179" s="5">
        <f>+'Innovación Pública'!AD58</f>
        <v>1</v>
      </c>
      <c r="L179" s="5">
        <v>4.8636363636363637E-2</v>
      </c>
      <c r="M179" s="5">
        <f>+'Innovación Pública'!AE58</f>
        <v>0.22681818181818181</v>
      </c>
      <c r="N179" s="5">
        <f>+'Innovación Pública'!AI58</f>
        <v>0.38341674249317559</v>
      </c>
      <c r="O179" s="5">
        <f>+'Innovación Pública'!AJ58</f>
        <v>0.6424021838034577</v>
      </c>
      <c r="P179" s="5">
        <f>+'Innovación Pública'!AK58</f>
        <v>0.69915263876251132</v>
      </c>
      <c r="Q179" s="33">
        <f>+'Innovación Pública'!AL58</f>
        <v>9.2693357597816203E-2</v>
      </c>
      <c r="R179" s="33">
        <f>+'Innovación Pública'!AM58</f>
        <v>0.72784349408553239</v>
      </c>
      <c r="S179" s="33">
        <f>+'Innovación Pública'!AN58</f>
        <v>0.81114422202001824</v>
      </c>
      <c r="T179" s="25"/>
      <c r="U179" s="2"/>
      <c r="V179" s="64"/>
    </row>
    <row r="180" spans="2:22" ht="45" customHeight="1" x14ac:dyDescent="0.7">
      <c r="B180" s="32" t="s">
        <v>1763</v>
      </c>
      <c r="C180" s="1167"/>
      <c r="D180" s="5">
        <f>+'Innovación Pública'!J61</f>
        <v>0.15</v>
      </c>
      <c r="E180" s="5">
        <f>+'Innovación Pública'!K61</f>
        <v>0.29062500000000002</v>
      </c>
      <c r="F180" s="5">
        <f>+'Innovación Pública'!L61</f>
        <v>0.28437499999999999</v>
      </c>
      <c r="G180" s="5">
        <f t="shared" si="68"/>
        <v>0.51249999999999996</v>
      </c>
      <c r="H180" s="5">
        <f t="shared" si="69"/>
        <v>0.796875</v>
      </c>
      <c r="I180" s="5">
        <f>+'Innovación Pública'!M61</f>
        <v>0.19624999999999998</v>
      </c>
      <c r="J180" s="5">
        <f>+'Innovación Pública'!N61</f>
        <v>0.27124999999999999</v>
      </c>
      <c r="K180" s="5">
        <f>+'Innovación Pública'!AD61</f>
        <v>1</v>
      </c>
      <c r="L180" s="5">
        <v>9.0897435897435888E-2</v>
      </c>
      <c r="M180" s="5">
        <f>+'Innovación Pública'!AE61</f>
        <v>0.52944139194139195</v>
      </c>
      <c r="N180" s="5">
        <f>+'Innovación Pública'!AI61</f>
        <v>0.22187499999999999</v>
      </c>
      <c r="O180" s="5">
        <f>+'Innovación Pública'!AJ61</f>
        <v>0.51249999999999996</v>
      </c>
      <c r="P180" s="5">
        <f>+'Innovación Pública'!AK61</f>
        <v>0.66562500000000002</v>
      </c>
      <c r="Q180" s="33">
        <f>+'Innovación Pública'!AL61</f>
        <v>0.103875</v>
      </c>
      <c r="R180" s="33">
        <f>+'Innovación Pública'!AM61</f>
        <v>0.61749999999999994</v>
      </c>
      <c r="S180" s="33">
        <f>+'Innovación Pública'!AN61</f>
        <v>0.72499999999999998</v>
      </c>
      <c r="T180" s="25"/>
      <c r="U180" s="2"/>
      <c r="V180" s="64"/>
    </row>
    <row r="181" spans="2:22" ht="42" customHeight="1" x14ac:dyDescent="0.7">
      <c r="B181" s="32" t="s">
        <v>1764</v>
      </c>
      <c r="C181" s="1167"/>
      <c r="D181" s="5">
        <f>+'Innovación Pública'!J66</f>
        <v>0.25</v>
      </c>
      <c r="E181" s="5">
        <f>+'Innovación Pública'!K66</f>
        <v>0.25</v>
      </c>
      <c r="F181" s="5">
        <f>+'Innovación Pública'!L66</f>
        <v>0.25</v>
      </c>
      <c r="G181" s="5">
        <f t="shared" si="68"/>
        <v>0.5</v>
      </c>
      <c r="H181" s="5">
        <f t="shared" si="69"/>
        <v>0.75</v>
      </c>
      <c r="I181" s="5">
        <f>+'Innovación Pública'!M66</f>
        <v>0.25</v>
      </c>
      <c r="J181" s="5">
        <f>+'Innovación Pública'!N66</f>
        <v>0.25</v>
      </c>
      <c r="K181" s="5">
        <f>+'Innovación Pública'!AD66</f>
        <v>1</v>
      </c>
      <c r="L181" s="5">
        <v>0.19</v>
      </c>
      <c r="M181" s="5">
        <f>+'Innovación Pública'!AE66</f>
        <v>0.87999999999999989</v>
      </c>
      <c r="N181" s="5">
        <f>+'Innovación Pública'!AI66</f>
        <v>0.25</v>
      </c>
      <c r="O181" s="5">
        <f>+'Innovación Pública'!AJ66</f>
        <v>0.5</v>
      </c>
      <c r="P181" s="5">
        <f>+'Innovación Pública'!AK66</f>
        <v>0.72</v>
      </c>
      <c r="Q181" s="33">
        <f>+'Innovación Pública'!AL66</f>
        <v>3.7499999999999999E-2</v>
      </c>
      <c r="R181" s="33">
        <f>+'Innovación Pública'!AM66</f>
        <v>0.5</v>
      </c>
      <c r="S181" s="33">
        <f>+'Innovación Pública'!AN66</f>
        <v>0.72</v>
      </c>
      <c r="T181" s="25"/>
      <c r="U181" s="2"/>
      <c r="V181" s="64"/>
    </row>
    <row r="182" spans="2:22" ht="45.6" customHeight="1" x14ac:dyDescent="0.7">
      <c r="B182" s="32" t="s">
        <v>1765</v>
      </c>
      <c r="C182" s="1167"/>
      <c r="D182" s="5">
        <f>+'Innovación Pública'!J68</f>
        <v>0.23913043478260868</v>
      </c>
      <c r="E182" s="5">
        <f>+'Innovación Pública'!K68</f>
        <v>0.36231884057971014</v>
      </c>
      <c r="F182" s="5">
        <f>+'Innovación Pública'!L68</f>
        <v>0.26666666666666666</v>
      </c>
      <c r="G182" s="5">
        <f t="shared" si="68"/>
        <v>0.52898550724637683</v>
      </c>
      <c r="H182" s="5">
        <f t="shared" si="69"/>
        <v>0.7289855072463769</v>
      </c>
      <c r="I182" s="5">
        <f>+'Innovación Pública'!M68</f>
        <v>0.16684782608695653</v>
      </c>
      <c r="J182" s="5">
        <f>+'Innovación Pública'!N68</f>
        <v>0.34039855072463771</v>
      </c>
      <c r="K182" s="5">
        <f>+'Innovación Pública'!AD68</f>
        <v>1</v>
      </c>
      <c r="L182" s="5">
        <v>0.10000000000000002</v>
      </c>
      <c r="M182" s="5">
        <f>+'Innovación Pública'!AE68</f>
        <v>0.52299999999999991</v>
      </c>
      <c r="N182" s="5">
        <f>+'Innovación Pública'!AI68</f>
        <v>0.16666666666666666</v>
      </c>
      <c r="O182" s="5">
        <f>+'Innovación Pública'!AJ68</f>
        <v>0.46231884057971018</v>
      </c>
      <c r="P182" s="5">
        <f>+'Innovación Pública'!AK68</f>
        <v>0.59306884057971021</v>
      </c>
      <c r="Q182" s="33">
        <f>+'Innovación Pública'!AL68</f>
        <v>2.8125000000000001E-2</v>
      </c>
      <c r="R182" s="33">
        <f>+'Innovación Pública'!AM68</f>
        <v>0.45289855072463769</v>
      </c>
      <c r="S182" s="33">
        <f>+'Innovación Pública'!AN68</f>
        <v>0.5734610507246376</v>
      </c>
      <c r="T182" s="25"/>
      <c r="U182" s="2"/>
      <c r="V182" s="64"/>
    </row>
    <row r="183" spans="2:22" ht="45.6" customHeight="1" x14ac:dyDescent="0.7">
      <c r="B183" s="32" t="s">
        <v>1766</v>
      </c>
      <c r="C183" s="1167"/>
      <c r="D183" s="5">
        <f>+'Innovación Pública'!J74</f>
        <v>0.25</v>
      </c>
      <c r="E183" s="5">
        <f>+'Innovación Pública'!K74</f>
        <v>0.25</v>
      </c>
      <c r="F183" s="5">
        <f>+'Innovación Pública'!L74</f>
        <v>0.25</v>
      </c>
      <c r="G183" s="5">
        <f t="shared" si="68"/>
        <v>0.5</v>
      </c>
      <c r="H183" s="5">
        <f t="shared" si="69"/>
        <v>0.75</v>
      </c>
      <c r="I183" s="5">
        <f>+'Innovación Pública'!M74</f>
        <v>0.25</v>
      </c>
      <c r="J183" s="5">
        <f>+'Innovación Pública'!N74</f>
        <v>0.25</v>
      </c>
      <c r="K183" s="5">
        <f>+'Innovación Pública'!AD74</f>
        <v>1</v>
      </c>
      <c r="L183" s="5">
        <v>0.06</v>
      </c>
      <c r="M183" s="5">
        <f>+'Innovación Pública'!AE74</f>
        <v>0.15</v>
      </c>
      <c r="N183" s="5">
        <f>+'Innovación Pública'!AI74</f>
        <v>0.25</v>
      </c>
      <c r="O183" s="5">
        <f>+'Innovación Pública'!AJ74</f>
        <v>0.5</v>
      </c>
      <c r="P183" s="5">
        <f>+'Innovación Pública'!AK74</f>
        <v>0.53749999999999998</v>
      </c>
      <c r="Q183" s="33">
        <f>+'Innovación Pública'!AL74</f>
        <v>2.5000000000000001E-2</v>
      </c>
      <c r="R183" s="33">
        <f>+'Innovación Pública'!AM74</f>
        <v>0.5</v>
      </c>
      <c r="S183" s="33">
        <f>+'Innovación Pública'!AN74</f>
        <v>0.53749999999999998</v>
      </c>
      <c r="T183" s="25"/>
      <c r="U183" s="2"/>
      <c r="V183" s="64"/>
    </row>
    <row r="184" spans="2:22" ht="49.8" x14ac:dyDescent="0.7">
      <c r="B184" s="30" t="str">
        <f>+'Innovación Pública'!B77:B77</f>
        <v xml:space="preserve">Participación Ciudadana y Acción Comunal
</v>
      </c>
      <c r="C184" s="1167"/>
      <c r="D184" s="23">
        <f>+(D185+D186+D187+D188+D189+D190)/5</f>
        <v>0.25436567555113532</v>
      </c>
      <c r="E184" s="23">
        <f>+(E185+E186+E187+E188+E189+E190)/6</f>
        <v>0.31832393913396156</v>
      </c>
      <c r="F184" s="23">
        <f>+(F185+F186+F187+F188+F189+F190)/6</f>
        <v>0.21609381266603023</v>
      </c>
      <c r="G184" s="23">
        <f t="shared" si="68"/>
        <v>0.49043977987101872</v>
      </c>
      <c r="H184" s="23">
        <f t="shared" si="69"/>
        <v>0.68441839317500752</v>
      </c>
      <c r="I184" s="24">
        <f>+(I185+I186+I187+I188+I189+I190)/5</f>
        <v>0.23789244132935511</v>
      </c>
      <c r="J184" s="24">
        <f t="shared" ref="J184" si="90">+(J185+J186+J187+J188+J189+J190)/5</f>
        <v>0.36095652093134517</v>
      </c>
      <c r="K184" s="643">
        <f>+(K185+K186+K187+K188+K189+K190)/6</f>
        <v>0.75171893939393941</v>
      </c>
      <c r="L184" s="643">
        <v>0.1985061146051712</v>
      </c>
      <c r="M184" s="643">
        <f>+(M185+M186+M187+M188+M189+M190)/6</f>
        <v>0.3555246331236897</v>
      </c>
      <c r="N184" s="3">
        <f>+(N185+N186+N187+N188+N189+N190)/6</f>
        <v>0.17211584073705719</v>
      </c>
      <c r="O184" s="3">
        <f>+(O185+O186+O187+O188+O189+O190)/6</f>
        <v>0.4683245805089773</v>
      </c>
      <c r="P184" s="3">
        <f>+(P185+P186+P187+P188+P189+P190)/6</f>
        <v>0.530911313012291</v>
      </c>
      <c r="Q184" s="63">
        <f>+(Q185+Q186+Q187+Q188+Q189+Q190)</f>
        <v>0.15231066433034965</v>
      </c>
      <c r="R184" s="664">
        <f>+'Innovación Pública'!AM77</f>
        <v>0.49669634354560488</v>
      </c>
      <c r="S184" s="664">
        <f>+'Innovación Pública'!AN77</f>
        <v>0.58208809687328911</v>
      </c>
      <c r="T184" s="25"/>
      <c r="U184" s="2"/>
      <c r="V184" s="64"/>
    </row>
    <row r="185" spans="2:22" ht="52.2" customHeight="1" x14ac:dyDescent="0.7">
      <c r="B185" s="32" t="s">
        <v>1767</v>
      </c>
      <c r="C185" s="1167"/>
      <c r="D185" s="5">
        <f>+'Innovación Pública'!J78</f>
        <v>0.35243948886678761</v>
      </c>
      <c r="E185" s="5">
        <f>+'Innovación Pública'!K78</f>
        <v>0.4932769681371027</v>
      </c>
      <c r="F185" s="5">
        <f>+'Innovación Pública'!L78</f>
        <v>0.12295176488507015</v>
      </c>
      <c r="G185" s="5">
        <f t="shared" si="68"/>
        <v>0.82071645700389029</v>
      </c>
      <c r="H185" s="5">
        <f t="shared" si="69"/>
        <v>0.89925035905004491</v>
      </c>
      <c r="I185" s="5">
        <f>+'Innovación Pública'!M78</f>
        <v>0.34219553998010876</v>
      </c>
      <c r="J185" s="5">
        <f>+'Innovación Pública'!N78</f>
        <v>0.53394927132339243</v>
      </c>
      <c r="K185" s="5">
        <f>+'Innovación Pública'!AD78</f>
        <v>0.96969696969696972</v>
      </c>
      <c r="L185" s="5">
        <v>0.31531446540880498</v>
      </c>
      <c r="M185" s="5">
        <f>+'Innovación Pública'!AE78</f>
        <v>0.36531446540880502</v>
      </c>
      <c r="N185" s="5">
        <f>+'Innovación Pública'!AI78</f>
        <v>0.32743948886678759</v>
      </c>
      <c r="O185" s="5">
        <f>+'Innovación Pública'!AJ78</f>
        <v>0.77629859416497471</v>
      </c>
      <c r="P185" s="5">
        <f>+'Innovación Pública'!AK78</f>
        <v>0.81865232251819053</v>
      </c>
      <c r="Q185" s="33">
        <f>+'Innovación Pública'!AL78</f>
        <v>4.5704330997016318E-2</v>
      </c>
      <c r="R185" s="33">
        <f>+'Innovación Pública'!AM78</f>
        <v>0.78866873474847721</v>
      </c>
      <c r="S185" s="33">
        <f>+'Innovación Pública'!AN78</f>
        <v>0.8300370902663714</v>
      </c>
      <c r="T185" s="25"/>
      <c r="U185" s="2"/>
      <c r="V185" s="64"/>
    </row>
    <row r="186" spans="2:22" ht="55.95" customHeight="1" x14ac:dyDescent="0.7">
      <c r="B186" s="32" t="s">
        <v>1768</v>
      </c>
      <c r="C186" s="1167"/>
      <c r="D186" s="5">
        <f>+'Innovación Pública'!J85</f>
        <v>0.17916666666666664</v>
      </c>
      <c r="E186" s="5">
        <f>+'Innovación Pública'!K85</f>
        <v>0.23749999999999999</v>
      </c>
      <c r="F186" s="5">
        <f>+'Innovación Pública'!L85</f>
        <v>0.37777777777777777</v>
      </c>
      <c r="G186" s="5">
        <f t="shared" si="68"/>
        <v>0.38749999999999996</v>
      </c>
      <c r="H186" s="5">
        <f t="shared" si="69"/>
        <v>0.63361111111111112</v>
      </c>
      <c r="I186" s="5">
        <f>+'Innovación Pública'!M85</f>
        <v>0.14250000000000002</v>
      </c>
      <c r="J186" s="5">
        <f>+'Innovación Pública'!N85</f>
        <v>0.16</v>
      </c>
      <c r="K186" s="5">
        <f>+'Innovación Pública'!AD85</f>
        <v>0.55000000000000004</v>
      </c>
      <c r="L186" s="5">
        <v>8.8888888888888892E-2</v>
      </c>
      <c r="M186" s="5">
        <f>+'Innovación Pública'!AE85</f>
        <v>0.25</v>
      </c>
      <c r="N186" s="5">
        <f>+'Innovación Pública'!AI85</f>
        <v>0.14999999999999997</v>
      </c>
      <c r="O186" s="5">
        <f>+'Innovación Pública'!AJ85</f>
        <v>0.2558333333333333</v>
      </c>
      <c r="P186" s="5">
        <f>+'Innovación Pública'!AK85</f>
        <v>0.29333333333333339</v>
      </c>
      <c r="Q186" s="33">
        <f>+'Innovación Pública'!AL85</f>
        <v>3.9E-2</v>
      </c>
      <c r="R186" s="33">
        <f>+'Innovación Pública'!AM85</f>
        <v>0.254</v>
      </c>
      <c r="S186" s="33">
        <f>+'Innovación Pública'!AN85</f>
        <v>0.32150000000000001</v>
      </c>
      <c r="T186" s="25"/>
      <c r="U186" s="2"/>
      <c r="V186" s="64"/>
    </row>
    <row r="187" spans="2:22" ht="43.2" customHeight="1" x14ac:dyDescent="0.7">
      <c r="B187" s="32" t="s">
        <v>1769</v>
      </c>
      <c r="C187" s="1167"/>
      <c r="D187" s="5">
        <f>+'Innovación Pública'!J92</f>
        <v>0</v>
      </c>
      <c r="E187" s="5">
        <f>+'Innovación Pública'!K92</f>
        <v>0</v>
      </c>
      <c r="F187" s="5">
        <f>+'Innovación Pública'!L92</f>
        <v>0</v>
      </c>
      <c r="G187" s="5">
        <f t="shared" si="68"/>
        <v>0</v>
      </c>
      <c r="H187" s="5">
        <f t="shared" si="69"/>
        <v>0</v>
      </c>
      <c r="I187" s="5">
        <f>+'Innovación Pública'!M92</f>
        <v>0</v>
      </c>
      <c r="J187" s="5">
        <f>+'Innovación Pública'!N92</f>
        <v>0</v>
      </c>
      <c r="K187" s="5">
        <f>+'Innovación Pública'!AD92</f>
        <v>0</v>
      </c>
      <c r="L187" s="5">
        <v>0</v>
      </c>
      <c r="M187" s="5">
        <f>+'Innovación Pública'!AE92</f>
        <v>0</v>
      </c>
      <c r="N187" s="5">
        <f>+'Innovación Pública'!AI92</f>
        <v>0</v>
      </c>
      <c r="O187" s="5">
        <f>+'Innovación Pública'!AJ92</f>
        <v>0</v>
      </c>
      <c r="P187" s="5">
        <f>+'Innovación Pública'!AK92</f>
        <v>0</v>
      </c>
      <c r="Q187" s="33">
        <f>+'Innovación Pública'!AL92</f>
        <v>0</v>
      </c>
      <c r="R187" s="33">
        <f>+'Innovación Pública'!AM92</f>
        <v>0</v>
      </c>
      <c r="S187" s="33">
        <f>+'Innovación Pública'!AN92</f>
        <v>0</v>
      </c>
      <c r="T187" s="25"/>
      <c r="U187" s="2"/>
      <c r="V187" s="64"/>
    </row>
    <row r="188" spans="2:22" ht="37.200000000000003" customHeight="1" x14ac:dyDescent="0.7">
      <c r="B188" s="32" t="s">
        <v>1770</v>
      </c>
      <c r="C188" s="1167"/>
      <c r="D188" s="5">
        <f>+'Innovación Pública'!J94</f>
        <v>0.18466666666666667</v>
      </c>
      <c r="E188" s="5">
        <f>+'Innovación Pública'!K94</f>
        <v>0.29583333333333334</v>
      </c>
      <c r="F188" s="5">
        <f>+'Innovación Pública'!L94</f>
        <v>0.29583333333333334</v>
      </c>
      <c r="G188" s="5">
        <f t="shared" si="68"/>
        <v>0.48120000000000002</v>
      </c>
      <c r="H188" s="5">
        <f t="shared" si="69"/>
        <v>0.72904333333333338</v>
      </c>
      <c r="I188" s="5">
        <f>+'Innovación Pública'!M94</f>
        <v>0.17810000000000001</v>
      </c>
      <c r="J188" s="5">
        <f>+'Innovación Pública'!N94</f>
        <v>0.29083333333333333</v>
      </c>
      <c r="K188" s="5">
        <f>+'Innovación Pública'!AD94</f>
        <v>0.9906166666666667</v>
      </c>
      <c r="L188" s="5">
        <v>0.12466666666666668</v>
      </c>
      <c r="M188" s="5">
        <f>+'Innovación Pública'!AE94</f>
        <v>0.38483333333333336</v>
      </c>
      <c r="N188" s="5">
        <f>+'Innovación Pública'!AI94</f>
        <v>0.18536666666666668</v>
      </c>
      <c r="O188" s="5">
        <f>+'Innovación Pública'!AJ94</f>
        <v>0.43321000000000004</v>
      </c>
      <c r="P188" s="5">
        <f>+'Innovación Pública'!AK94</f>
        <v>0.54866000000000004</v>
      </c>
      <c r="Q188" s="33">
        <f>+'Innovación Pública'!AL94</f>
        <v>3.5682999999999999E-2</v>
      </c>
      <c r="R188" s="33">
        <f>+'Innovación Pública'!AM94</f>
        <v>0.468026</v>
      </c>
      <c r="S188" s="33">
        <f>+'Innovación Pública'!AN94</f>
        <v>0.62479600000000002</v>
      </c>
      <c r="T188" s="25"/>
      <c r="U188" s="2"/>
      <c r="V188" s="64"/>
    </row>
    <row r="189" spans="2:22" ht="67.95" customHeight="1" x14ac:dyDescent="0.7">
      <c r="B189" s="32" t="s">
        <v>1771</v>
      </c>
      <c r="C189" s="1167"/>
      <c r="D189" s="5">
        <f>+'Innovación Pública'!J99</f>
        <v>0.25</v>
      </c>
      <c r="E189" s="5">
        <f>+'Innovación Pública'!K99</f>
        <v>0.55000000000000004</v>
      </c>
      <c r="F189" s="5">
        <f>+'Innovación Pública'!L99</f>
        <v>0.25</v>
      </c>
      <c r="G189" s="5">
        <f t="shared" si="68"/>
        <v>0.81166666666666676</v>
      </c>
      <c r="H189" s="5">
        <f t="shared" si="69"/>
        <v>0.95804999999999996</v>
      </c>
      <c r="I189" s="5">
        <f>+'Innovación Pública'!M99</f>
        <v>0.185</v>
      </c>
      <c r="J189" s="5">
        <f>+'Innovación Pública'!N99</f>
        <v>0.44500000000000001</v>
      </c>
      <c r="K189" s="5">
        <f>+'Innovación Pública'!AD99</f>
        <v>1</v>
      </c>
      <c r="L189" s="5">
        <v>0.43016666666666664</v>
      </c>
      <c r="M189" s="5">
        <f>+'Innovación Pública'!AE99</f>
        <v>0.51700000000000002</v>
      </c>
      <c r="N189" s="5">
        <f>+'Innovación Pública'!AI99</f>
        <v>0.26166666666666666</v>
      </c>
      <c r="O189" s="5">
        <f>+'Innovación Pública'!AJ99</f>
        <v>0.70804999999999996</v>
      </c>
      <c r="P189" s="5">
        <f>+'Innovación Pública'!AK99</f>
        <v>0.78559999999999997</v>
      </c>
      <c r="Q189" s="33">
        <f>+'Innovación Pública'!AL99</f>
        <v>2.095E-2</v>
      </c>
      <c r="R189" s="33">
        <f>+'Innovación Pública'!AM99</f>
        <v>0.65817499999999995</v>
      </c>
      <c r="S189" s="33">
        <f>+'Innovación Pública'!AN99</f>
        <v>0.75960000000000005</v>
      </c>
      <c r="T189" s="25"/>
      <c r="U189" s="2"/>
      <c r="V189" s="64"/>
    </row>
    <row r="190" spans="2:22" ht="45.6" customHeight="1" x14ac:dyDescent="0.7">
      <c r="B190" s="32" t="s">
        <v>1772</v>
      </c>
      <c r="C190" s="1167"/>
      <c r="D190" s="5">
        <f>+'Innovación Pública'!J105</f>
        <v>0.30555555555555552</v>
      </c>
      <c r="E190" s="5">
        <f>+'Innovación Pública'!K105</f>
        <v>0.33333333333333331</v>
      </c>
      <c r="F190" s="5">
        <f>+'Innovación Pública'!L105</f>
        <v>0.25</v>
      </c>
      <c r="G190" s="5">
        <f t="shared" si="68"/>
        <v>0.44155555555555553</v>
      </c>
      <c r="H190" s="5">
        <f t="shared" si="69"/>
        <v>0.88655555555555554</v>
      </c>
      <c r="I190" s="5">
        <f>+'Innovación Pública'!M105</f>
        <v>0.34166666666666667</v>
      </c>
      <c r="J190" s="5">
        <f>+'Innovación Pública'!N105</f>
        <v>0.375</v>
      </c>
      <c r="K190" s="5">
        <f>+'Innovación Pública'!AD105</f>
        <v>1</v>
      </c>
      <c r="L190" s="5">
        <v>0.23200000000000001</v>
      </c>
      <c r="M190" s="5">
        <f>+'Innovación Pública'!AE105</f>
        <v>0.61599999999999999</v>
      </c>
      <c r="N190" s="5">
        <f>+'Innovación Pública'!AI105</f>
        <v>0.10822222222222222</v>
      </c>
      <c r="O190" s="5">
        <f>+'Innovación Pública'!AJ105</f>
        <v>0.63655555555555554</v>
      </c>
      <c r="P190" s="5">
        <f>+'Innovación Pública'!AK105</f>
        <v>0.73922222222222222</v>
      </c>
      <c r="Q190" s="33">
        <f>+'Innovación Pública'!AL105</f>
        <v>1.0973333333333335E-2</v>
      </c>
      <c r="R190" s="33">
        <f>+'Innovación Pública'!AM105</f>
        <v>0.71386666666666665</v>
      </c>
      <c r="S190" s="33">
        <f>+'Innovación Pública'!AN105</f>
        <v>0.8010666666666667</v>
      </c>
      <c r="T190" s="25"/>
      <c r="U190" s="2"/>
      <c r="V190" s="64"/>
    </row>
    <row r="191" spans="2:22" ht="49.8" x14ac:dyDescent="0.7">
      <c r="B191" s="30" t="str">
        <f>+'Innovación Pública'!B109:B109</f>
        <v xml:space="preserve">Sistema de Planeación Distrital
</v>
      </c>
      <c r="C191" s="1167"/>
      <c r="D191" s="23">
        <f t="shared" ref="D191:I191" si="91">+(D192+D193+D194+D195+D196+D197)/6</f>
        <v>0.24594907407407407</v>
      </c>
      <c r="E191" s="23">
        <f t="shared" si="91"/>
        <v>0.29876710128495843</v>
      </c>
      <c r="F191" s="23">
        <f t="shared" ref="F191" si="92">+(F192+F193+F194+F195+F196+F197)/6</f>
        <v>0.35785383597883591</v>
      </c>
      <c r="G191" s="23">
        <f t="shared" si="68"/>
        <v>0.50808654572940293</v>
      </c>
      <c r="H191" s="23">
        <f t="shared" si="69"/>
        <v>0.91855138888888888</v>
      </c>
      <c r="I191" s="24">
        <f t="shared" si="91"/>
        <v>0.20215277777777776</v>
      </c>
      <c r="J191" s="24">
        <f t="shared" ref="J191:K191" si="93">+(J192+J193+J194+J195+J196+J197)/6</f>
        <v>0.28790873015873014</v>
      </c>
      <c r="K191" s="643">
        <f t="shared" si="93"/>
        <v>0.87160846560846561</v>
      </c>
      <c r="L191" s="643">
        <v>0.3044914886378301</v>
      </c>
      <c r="M191" s="643">
        <f t="shared" ref="M191" si="94">+(M192+M193+M194+M195+M196+M197)/6</f>
        <v>0.42924401389035544</v>
      </c>
      <c r="N191" s="3">
        <f>+(N192+N193+N194+N195+N196+N197)/6</f>
        <v>0.20931944444444447</v>
      </c>
      <c r="O191" s="3">
        <f>+(O192+O193+O194+O195+O196+O197)/6</f>
        <v>0.56069755291005297</v>
      </c>
      <c r="P191" s="3">
        <f>+(P192+P193+P194+P195+P196+P197)/6</f>
        <v>0.65596292688792679</v>
      </c>
      <c r="Q191" s="63">
        <f>+(Q192+Q193+Q194+Q195+Q196+Q197)</f>
        <v>0.18588916666666666</v>
      </c>
      <c r="R191" s="63">
        <f>+'Innovación Pública'!AM109</f>
        <v>0.49863416666666671</v>
      </c>
      <c r="S191" s="63">
        <f>+'Innovación Pública'!AN109</f>
        <v>0.62322590909090914</v>
      </c>
      <c r="T191" s="25"/>
      <c r="U191" s="2"/>
      <c r="V191" s="64"/>
    </row>
    <row r="192" spans="2:22" ht="55.95" customHeight="1" x14ac:dyDescent="0.7">
      <c r="B192" s="32" t="s">
        <v>1773</v>
      </c>
      <c r="C192" s="1167"/>
      <c r="D192" s="5">
        <f>+'Innovación Pública'!J110</f>
        <v>0.20833333333333331</v>
      </c>
      <c r="E192" s="5">
        <f>+'Innovación Pública'!K110</f>
        <v>0.29833333333333334</v>
      </c>
      <c r="F192" s="5">
        <f>+'Innovación Pública'!L110</f>
        <v>0.55000000000000004</v>
      </c>
      <c r="G192" s="5">
        <f t="shared" si="68"/>
        <v>0.48722222222222222</v>
      </c>
      <c r="H192" s="5">
        <v>1</v>
      </c>
      <c r="I192" s="5">
        <f>+'Innovación Pública'!M110</f>
        <v>0.10833333333333334</v>
      </c>
      <c r="J192" s="5">
        <f>+'Innovación Pública'!N110</f>
        <v>0.24833333333333332</v>
      </c>
      <c r="K192" s="5">
        <f>+'Innovación Pública'!AD110</f>
        <v>0.98000000000000009</v>
      </c>
      <c r="L192" s="5">
        <v>0.41818181818181815</v>
      </c>
      <c r="M192" s="5">
        <f>+'Innovación Pública'!AE110</f>
        <v>0.6272727272727272</v>
      </c>
      <c r="N192" s="5">
        <f>+'Innovación Pública'!AI110</f>
        <v>0.18888888888888888</v>
      </c>
      <c r="O192" s="5">
        <f>+'Innovación Pública'!AJ110</f>
        <v>0.82333333333333347</v>
      </c>
      <c r="P192" s="5">
        <f>+'Innovación Pública'!AK110</f>
        <v>0.96</v>
      </c>
      <c r="Q192" s="33">
        <f>+'Innovación Pública'!AL110</f>
        <v>2.7666666666666669E-2</v>
      </c>
      <c r="R192" s="33">
        <f>+'Innovación Pública'!AM110</f>
        <v>0.51416666666666666</v>
      </c>
      <c r="S192" s="33">
        <f>+'Innovación Pública'!AN110</f>
        <v>0.79</v>
      </c>
      <c r="T192" s="25"/>
      <c r="U192" s="2"/>
      <c r="V192" s="64"/>
    </row>
    <row r="193" spans="2:22" ht="43.95" customHeight="1" x14ac:dyDescent="0.7">
      <c r="B193" s="32" t="s">
        <v>1774</v>
      </c>
      <c r="C193" s="1167"/>
      <c r="D193" s="5">
        <f>+'Innovación Pública'!J116</f>
        <v>0.19999999999999998</v>
      </c>
      <c r="E193" s="5">
        <f>+'Innovación Pública'!K116</f>
        <v>0.28150000000000003</v>
      </c>
      <c r="F193" s="5">
        <f>+'Innovación Pública'!L116</f>
        <v>0.26666666666666666</v>
      </c>
      <c r="G193" s="5">
        <f t="shared" si="68"/>
        <v>0.46550000000000002</v>
      </c>
      <c r="H193" s="5">
        <f t="shared" si="69"/>
        <v>0.80505833333333343</v>
      </c>
      <c r="I193" s="5">
        <f>+'Innovación Pública'!M116</f>
        <v>0.17499999999999999</v>
      </c>
      <c r="J193" s="5">
        <f>+'Innovación Pública'!N116</f>
        <v>0.28525</v>
      </c>
      <c r="K193" s="5">
        <f>+'Innovación Pública'!AD116</f>
        <v>1</v>
      </c>
      <c r="L193" s="5">
        <v>0.20833333333333334</v>
      </c>
      <c r="M193" s="5">
        <f>+'Innovación Pública'!AE116</f>
        <v>0.43181818181818182</v>
      </c>
      <c r="N193" s="5">
        <f>+'Innovación Pública'!AI116</f>
        <v>0.18400000000000002</v>
      </c>
      <c r="O193" s="5">
        <f>+'Innovación Pública'!AJ116</f>
        <v>0.53839166666666671</v>
      </c>
      <c r="P193" s="5">
        <f>+'Innovación Pública'!AK116</f>
        <v>0.57009621212121209</v>
      </c>
      <c r="Q193" s="33">
        <f>+'Innovación Pública'!AL116</f>
        <v>3.2840000000000001E-2</v>
      </c>
      <c r="R193" s="33">
        <f>+'Innovación Pública'!AM116</f>
        <v>0.54608749999999995</v>
      </c>
      <c r="S193" s="33">
        <f>+'Innovación Pública'!AN116</f>
        <v>0.53341704545454549</v>
      </c>
      <c r="T193" s="25"/>
      <c r="U193" s="2"/>
      <c r="V193" s="64"/>
    </row>
    <row r="194" spans="2:22" ht="42" customHeight="1" x14ac:dyDescent="0.7">
      <c r="B194" s="32" t="s">
        <v>1775</v>
      </c>
      <c r="C194" s="1167"/>
      <c r="D194" s="5">
        <f>+'Innovación Pública'!J123</f>
        <v>0.25</v>
      </c>
      <c r="E194" s="5">
        <f>+'Innovación Pública'!K123</f>
        <v>0.27040816326530609</v>
      </c>
      <c r="F194" s="5">
        <f>+'Innovación Pública'!L123</f>
        <v>0.32976190476190476</v>
      </c>
      <c r="G194" s="5">
        <f t="shared" si="68"/>
        <v>0.52982482993197277</v>
      </c>
      <c r="H194" s="5">
        <f t="shared" si="69"/>
        <v>0.79583333333333339</v>
      </c>
      <c r="I194" s="5">
        <f>+'Innovación Pública'!M123</f>
        <v>0.2</v>
      </c>
      <c r="J194" s="5">
        <f>+'Innovación Pública'!N123</f>
        <v>0.26428571428571429</v>
      </c>
      <c r="K194" s="5">
        <f>+'Innovación Pública'!AD123</f>
        <v>0.77142857142857146</v>
      </c>
      <c r="L194" s="5">
        <v>0.19822510822510822</v>
      </c>
      <c r="M194" s="5">
        <f>+'Innovación Pública'!AE123</f>
        <v>0.44749783549783551</v>
      </c>
      <c r="N194" s="5">
        <f>+'Innovación Pública'!AI123</f>
        <v>0.25941666666666668</v>
      </c>
      <c r="O194" s="5">
        <f>+'Innovación Pública'!AJ123</f>
        <v>0.46607142857142858</v>
      </c>
      <c r="P194" s="5">
        <f>+'Innovación Pública'!AK123</f>
        <v>0.60059523809523807</v>
      </c>
      <c r="Q194" s="33">
        <f>+'Innovación Pública'!AL123</f>
        <v>4.8570000000000002E-2</v>
      </c>
      <c r="R194" s="33">
        <f>+'Innovación Pública'!AM123</f>
        <v>0.50124999999999997</v>
      </c>
      <c r="S194" s="33">
        <f>+'Innovación Pública'!AN123</f>
        <v>0.62666666666666671</v>
      </c>
      <c r="T194" s="25"/>
      <c r="U194" s="2"/>
      <c r="V194" s="64"/>
    </row>
    <row r="195" spans="2:22" ht="39" customHeight="1" x14ac:dyDescent="0.7">
      <c r="B195" s="32" t="s">
        <v>1776</v>
      </c>
      <c r="C195" s="1167"/>
      <c r="D195" s="5">
        <f>+'Innovación Pública'!J131</f>
        <v>0.41111111111111109</v>
      </c>
      <c r="E195" s="5">
        <f>+'Innovación Pública'!K131</f>
        <v>0.41111111111111109</v>
      </c>
      <c r="F195" s="5">
        <f>+'Innovación Pública'!L131</f>
        <v>0.41111111111111109</v>
      </c>
      <c r="G195" s="5">
        <f t="shared" si="68"/>
        <v>0.72222222222222221</v>
      </c>
      <c r="H195" s="5">
        <v>1</v>
      </c>
      <c r="I195" s="5">
        <f>+'Innovación Pública'!M131</f>
        <v>0.37333333333333329</v>
      </c>
      <c r="J195" s="5">
        <f>+'Innovación Pública'!N131</f>
        <v>0.37333333333333329</v>
      </c>
      <c r="K195" s="5">
        <f>+'Innovación Pública'!AD131</f>
        <v>1</v>
      </c>
      <c r="L195" s="5">
        <v>0.41666666666666663</v>
      </c>
      <c r="M195" s="5">
        <f>+'Innovación Pública'!AE131</f>
        <v>0.41666666666666663</v>
      </c>
      <c r="N195" s="5">
        <f>+'Innovación Pública'!AI131</f>
        <v>0.31111111111111112</v>
      </c>
      <c r="O195" s="5">
        <f>+'Innovación Pública'!AJ131</f>
        <v>0.72222222222222221</v>
      </c>
      <c r="P195" s="5">
        <f>+'Innovación Pública'!AK131</f>
        <v>0.77777777777777779</v>
      </c>
      <c r="Q195" s="33">
        <f>+'Innovación Pública'!AL131</f>
        <v>4.3999999999999997E-2</v>
      </c>
      <c r="R195" s="33">
        <f>+'Innovación Pública'!AM131</f>
        <v>0.66666666666666674</v>
      </c>
      <c r="S195" s="33">
        <f>+'Innovación Pública'!AN131</f>
        <v>0.73333333333333339</v>
      </c>
      <c r="T195" s="25"/>
      <c r="U195" s="2"/>
      <c r="V195" s="64"/>
    </row>
    <row r="196" spans="2:22" ht="33.6" customHeight="1" x14ac:dyDescent="0.7">
      <c r="B196" s="32" t="s">
        <v>1777</v>
      </c>
      <c r="C196" s="1167"/>
      <c r="D196" s="5">
        <f>+'Innovación Pública'!J134</f>
        <v>0.25</v>
      </c>
      <c r="E196" s="5">
        <f>+'Innovación Pública'!K134</f>
        <v>0.25</v>
      </c>
      <c r="F196" s="5">
        <f>+'Innovación Pública'!L134</f>
        <v>0.33333333333333331</v>
      </c>
      <c r="G196" s="5">
        <f t="shared" ref="G196:G206" si="95">+N196+E196</f>
        <v>0.40625</v>
      </c>
      <c r="H196" s="5">
        <f t="shared" si="69"/>
        <v>0.6875</v>
      </c>
      <c r="I196" s="5">
        <f>+'Innovación Pública'!M134</f>
        <v>0.2</v>
      </c>
      <c r="J196" s="5">
        <f>+'Innovación Pública'!N134</f>
        <v>0.27500000000000002</v>
      </c>
      <c r="K196" s="5">
        <f>+'Innovación Pública'!AD134</f>
        <v>0.72222222222222221</v>
      </c>
      <c r="L196" s="5">
        <v>0.14444444444444446</v>
      </c>
      <c r="M196" s="5">
        <f>+'Innovación Pública'!AE134</f>
        <v>0.21111111111111111</v>
      </c>
      <c r="N196" s="65">
        <f>+'Innovación Pública'!AI134</f>
        <v>0.15625</v>
      </c>
      <c r="O196" s="65">
        <f>+'Innovación Pública'!AJ134</f>
        <v>0.35416666666666669</v>
      </c>
      <c r="P196" s="65">
        <f>+'Innovación Pública'!AK134</f>
        <v>0.38645833333333335</v>
      </c>
      <c r="Q196" s="33">
        <f>+'Innovación Pública'!AL134</f>
        <v>2.5000000000000001E-2</v>
      </c>
      <c r="R196" s="33">
        <f>+'Innovación Pública'!AM134</f>
        <v>0.31666666666666665</v>
      </c>
      <c r="S196" s="33">
        <f>+'Innovación Pública'!AN134</f>
        <v>0.45583333333333337</v>
      </c>
      <c r="T196" s="25"/>
      <c r="U196" s="2"/>
      <c r="V196" s="64"/>
    </row>
    <row r="197" spans="2:22" ht="48.6" customHeight="1" x14ac:dyDescent="0.7">
      <c r="B197" s="35" t="s">
        <v>1778</v>
      </c>
      <c r="C197" s="1168"/>
      <c r="D197" s="36">
        <f>+'Innovación Pública'!J139</f>
        <v>0.15625</v>
      </c>
      <c r="E197" s="36">
        <f>+'Innovación Pública'!K139</f>
        <v>0.28125</v>
      </c>
      <c r="F197" s="36">
        <f>+'Innovación Pública'!L139</f>
        <v>0.25624999999999998</v>
      </c>
      <c r="G197" s="36">
        <f t="shared" si="95"/>
        <v>0.4375</v>
      </c>
      <c r="H197" s="36">
        <f t="shared" ref="H197:H206" si="96">+O197+F197</f>
        <v>0.71625000000000005</v>
      </c>
      <c r="I197" s="36">
        <f>+'Innovación Pública'!M139</f>
        <v>0.15625</v>
      </c>
      <c r="J197" s="36">
        <f>+'Innovación Pública'!N139</f>
        <v>0.28125</v>
      </c>
      <c r="K197" s="36">
        <f>+'Innovación Pública'!AD139</f>
        <v>0.75600000000000001</v>
      </c>
      <c r="L197" s="36">
        <v>0.44109756097560981</v>
      </c>
      <c r="M197" s="36">
        <f>+'Innovación Pública'!AE139</f>
        <v>0.44109756097560981</v>
      </c>
      <c r="N197" s="74">
        <f>+'Innovación Pública'!AI139</f>
        <v>0.15625</v>
      </c>
      <c r="O197" s="74">
        <f>+'Innovación Pública'!AJ139</f>
        <v>0.46</v>
      </c>
      <c r="P197" s="74">
        <f>+'Innovación Pública'!AK139</f>
        <v>0.64085000000000003</v>
      </c>
      <c r="Q197" s="37">
        <f>+'Innovación Pública'!AL139</f>
        <v>7.8125E-3</v>
      </c>
      <c r="R197" s="37">
        <f>+'Innovación Pública'!AM139</f>
        <v>0.46</v>
      </c>
      <c r="S197" s="37">
        <f>+'Innovación Pública'!AN139</f>
        <v>0.64085000000000003</v>
      </c>
      <c r="T197" s="25"/>
      <c r="U197" s="2"/>
      <c r="V197" s="64"/>
    </row>
    <row r="198" spans="2:22" ht="120" customHeight="1" x14ac:dyDescent="0.7">
      <c r="B198" s="27" t="str">
        <f>+'Capitulo Etnico'!B3:C3</f>
        <v xml:space="preserve">CAPÍTULO DE LOS PUEBLOS Y COMUNIDADES ÉTNICAS
</v>
      </c>
      <c r="C198" s="1164">
        <v>0.02</v>
      </c>
      <c r="D198" s="28">
        <f>+'Capitulo Etnico'!J3</f>
        <v>0.25509259259259259</v>
      </c>
      <c r="E198" s="28">
        <f>+'Capitulo Etnico'!K3</f>
        <v>0.26321869488536154</v>
      </c>
      <c r="F198" s="28">
        <f>+'Capitulo Etnico'!L3</f>
        <v>0.40050837742504408</v>
      </c>
      <c r="G198" s="28">
        <f t="shared" si="95"/>
        <v>0.31880731922398586</v>
      </c>
      <c r="H198" s="28">
        <f t="shared" si="96"/>
        <v>0.76243391253807924</v>
      </c>
      <c r="I198" s="28">
        <f>+'Capitulo Etnico'!M3</f>
        <v>6.9222222222222241E-2</v>
      </c>
      <c r="J198" s="28">
        <f>+'Capitulo Etnico'!N3</f>
        <v>0.24656944444444442</v>
      </c>
      <c r="K198" s="28">
        <f>+'Capitulo Etnico'!AD3</f>
        <v>0.92347222222222225</v>
      </c>
      <c r="L198" s="28">
        <v>3.8722256579399435E-2</v>
      </c>
      <c r="M198" s="28">
        <f>+'Capitulo Etnico'!AE3</f>
        <v>0.21041881682685667</v>
      </c>
      <c r="N198" s="28">
        <f>+'Capitulo Etnico'!AI3</f>
        <v>5.5588624338624326E-2</v>
      </c>
      <c r="O198" s="28">
        <f>+'Capitulo Etnico'!AJ3</f>
        <v>0.36192553511303516</v>
      </c>
      <c r="P198" s="28">
        <f>+'Capitulo Etnico'!AK3</f>
        <v>0.42871773538961033</v>
      </c>
      <c r="Q198" s="29">
        <f>+'Capitulo Etnico'!AL3</f>
        <v>3.0192916666666677E-2</v>
      </c>
      <c r="R198" s="29">
        <f>+'Capitulo Etnico'!AM3</f>
        <v>0.33027767045454548</v>
      </c>
      <c r="S198" s="29">
        <f>+'Capitulo Etnico'!AN3</f>
        <v>0.45566892329545455</v>
      </c>
      <c r="T198" s="25"/>
      <c r="U198" s="2"/>
      <c r="V198" s="64"/>
    </row>
    <row r="199" spans="2:22" ht="142.19999999999999" customHeight="1" x14ac:dyDescent="0.7">
      <c r="B199" s="30" t="str">
        <f>+'Capitulo Etnico'!B4:C4</f>
        <v xml:space="preserve"> Fortalecimiento al Desarrollo Afro-Territorial de la Población Negra, Afrocolombiana, Raizal y Palenquera
</v>
      </c>
      <c r="C199" s="1165"/>
      <c r="D199" s="23">
        <f>+(D200+D201+D202)/2</f>
        <v>0.42499999999999999</v>
      </c>
      <c r="E199" s="23">
        <f>+(E200+E201+E202)/3</f>
        <v>0.21841269841269842</v>
      </c>
      <c r="F199" s="23">
        <f>+(F200+F201+F202)/3</f>
        <v>0.38562169312169309</v>
      </c>
      <c r="G199" s="23">
        <f t="shared" si="95"/>
        <v>0.28329365079365076</v>
      </c>
      <c r="H199" s="23">
        <f t="shared" si="96"/>
        <v>0.73731072631072636</v>
      </c>
      <c r="I199" s="24">
        <f>+(I200+I201+I202)/3</f>
        <v>5.4833333333333345E-2</v>
      </c>
      <c r="J199" s="24">
        <f t="shared" ref="J199:M199" si="97">+(J200+J201+J202)/3</f>
        <v>0.20013888888888887</v>
      </c>
      <c r="K199" s="24">
        <f t="shared" si="97"/>
        <v>0.9458333333333333</v>
      </c>
      <c r="L199" s="24">
        <v>4.5037105751391464E-2</v>
      </c>
      <c r="M199" s="24">
        <f t="shared" si="97"/>
        <v>0.2663187940048159</v>
      </c>
      <c r="N199" s="3">
        <f>+(N200+N201+N202)/3</f>
        <v>6.4880952380952372E-2</v>
      </c>
      <c r="O199" s="3">
        <f>+(O200+O201+O202)/3</f>
        <v>0.35168903318903322</v>
      </c>
      <c r="P199" s="3">
        <f>+(P200+P201+P202)/3</f>
        <v>0.43088570226070222</v>
      </c>
      <c r="Q199" s="665">
        <f>+(Q200+Q201+Q202)</f>
        <v>6.946666666666669E-2</v>
      </c>
      <c r="R199" s="665">
        <f>+'Capitulo Etnico'!AM4</f>
        <v>0.32727939393939398</v>
      </c>
      <c r="S199" s="665">
        <f>+'Capitulo Etnico'!AN4</f>
        <v>0.47491227272727277</v>
      </c>
      <c r="T199" s="25"/>
      <c r="U199" s="2"/>
      <c r="V199" s="64"/>
    </row>
    <row r="200" spans="2:22" ht="103.95" customHeight="1" x14ac:dyDescent="0.7">
      <c r="B200" s="32" t="s">
        <v>1779</v>
      </c>
      <c r="C200" s="1165"/>
      <c r="D200" s="10">
        <f>+'Capitulo Etnico'!J5</f>
        <v>0.19999999999999998</v>
      </c>
      <c r="E200" s="10">
        <f>+'Capitulo Etnico'!K5</f>
        <v>0.22666666666666666</v>
      </c>
      <c r="F200" s="10">
        <f>+'Capitulo Etnico'!L5</f>
        <v>0.45514285714285718</v>
      </c>
      <c r="G200" s="10">
        <f t="shared" si="95"/>
        <v>0.36416666666666664</v>
      </c>
      <c r="H200" s="10">
        <f t="shared" si="96"/>
        <v>0.75533982683982681</v>
      </c>
      <c r="I200" s="10">
        <f>+'Capitulo Etnico'!M5</f>
        <v>8.7000000000000008E-2</v>
      </c>
      <c r="J200" s="10">
        <f>+'Capitulo Etnico'!N5</f>
        <v>0.16666666666666663</v>
      </c>
      <c r="K200" s="10">
        <f>+'Capitulo Etnico'!AD5</f>
        <v>1</v>
      </c>
      <c r="L200" s="10">
        <v>5.9353741496598632E-2</v>
      </c>
      <c r="M200" s="10">
        <f>+'Capitulo Etnico'!AE5</f>
        <v>0.346691403834261</v>
      </c>
      <c r="N200" s="5">
        <f>+'Capitulo Etnico'!AI5</f>
        <v>0.13749999999999998</v>
      </c>
      <c r="O200" s="5">
        <f>+'Capitulo Etnico'!AJ5</f>
        <v>0.30019696969696968</v>
      </c>
      <c r="P200" s="5">
        <f>+'Capitulo Etnico'!AK5</f>
        <v>0.43284469696969696</v>
      </c>
      <c r="Q200" s="34">
        <f>+'Capitulo Etnico'!AL5</f>
        <v>6.1466666666666683E-2</v>
      </c>
      <c r="R200" s="34">
        <f>+'Capitulo Etnico'!AM5</f>
        <v>0.29172121212121216</v>
      </c>
      <c r="S200" s="34">
        <f>+'Capitulo Etnico'!AN5</f>
        <v>0.47677878787878791</v>
      </c>
      <c r="T200" s="25"/>
      <c r="U200" s="2"/>
      <c r="V200" s="64"/>
    </row>
    <row r="201" spans="2:22" ht="66.599999999999994" customHeight="1" x14ac:dyDescent="0.7">
      <c r="B201" s="32" t="s">
        <v>1780</v>
      </c>
      <c r="C201" s="1165"/>
      <c r="D201" s="10">
        <f>+'Capitulo Etnico'!J14</f>
        <v>0.25</v>
      </c>
      <c r="E201" s="10">
        <f>+'Capitulo Etnico'!K14</f>
        <v>9.6428571428571433E-2</v>
      </c>
      <c r="F201" s="10">
        <f>+'Capitulo Etnico'!L14</f>
        <v>0.24922222222222218</v>
      </c>
      <c r="G201" s="10">
        <f t="shared" si="95"/>
        <v>9.6428571428571433E-2</v>
      </c>
      <c r="H201" s="10">
        <f t="shared" si="96"/>
        <v>0.65409235209235206</v>
      </c>
      <c r="I201" s="10">
        <f>+'Capitulo Etnico'!M14</f>
        <v>3.7500000000000006E-2</v>
      </c>
      <c r="J201" s="10">
        <f>+'Capitulo Etnico'!N14</f>
        <v>0.1075</v>
      </c>
      <c r="K201" s="10">
        <f>+'Capitulo Etnico'!AD14</f>
        <v>1</v>
      </c>
      <c r="L201" s="10">
        <v>7.575757575757576E-2</v>
      </c>
      <c r="M201" s="10">
        <f>+'Capitulo Etnico'!AE14</f>
        <v>0.23726497818018677</v>
      </c>
      <c r="N201" s="5">
        <f>+'Capitulo Etnico'!AI14</f>
        <v>0</v>
      </c>
      <c r="O201" s="5">
        <f>+'Capitulo Etnico'!AJ14</f>
        <v>0.40487012987012988</v>
      </c>
      <c r="P201" s="5">
        <f>+'Capitulo Etnico'!AK14</f>
        <v>0.47052669552669552</v>
      </c>
      <c r="Q201" s="34">
        <f>+'Capitulo Etnico'!AL14</f>
        <v>0</v>
      </c>
      <c r="R201" s="34">
        <f>+'Capitulo Etnico'!AM14</f>
        <v>0.25522727272727275</v>
      </c>
      <c r="S201" s="34">
        <f>+'Capitulo Etnico'!AN14</f>
        <v>0.42643939393939395</v>
      </c>
      <c r="T201" s="25"/>
      <c r="U201" s="2"/>
      <c r="V201" s="64"/>
    </row>
    <row r="202" spans="2:22" ht="57" customHeight="1" x14ac:dyDescent="0.7">
      <c r="B202" s="32" t="s">
        <v>1781</v>
      </c>
      <c r="C202" s="1165"/>
      <c r="D202" s="10">
        <f>+'Capitulo Etnico'!J22</f>
        <v>0.4</v>
      </c>
      <c r="E202" s="10">
        <f>+'Capitulo Etnico'!K22</f>
        <v>0.33214285714285718</v>
      </c>
      <c r="F202" s="10">
        <f>+'Capitulo Etnico'!L22</f>
        <v>0.45250000000000001</v>
      </c>
      <c r="G202" s="10">
        <f t="shared" si="95"/>
        <v>0.38928571428571435</v>
      </c>
      <c r="H202" s="10">
        <f t="shared" si="96"/>
        <v>0.80249999999999999</v>
      </c>
      <c r="I202" s="10">
        <f>+'Capitulo Etnico'!M22</f>
        <v>4.0000000000000008E-2</v>
      </c>
      <c r="J202" s="10">
        <f>+'Capitulo Etnico'!N22</f>
        <v>0.32625000000000004</v>
      </c>
      <c r="K202" s="10">
        <f>+'Capitulo Etnico'!AD22</f>
        <v>0.83750000000000002</v>
      </c>
      <c r="L202" s="10">
        <v>0</v>
      </c>
      <c r="M202" s="10">
        <f>+'Capitulo Etnico'!AE22</f>
        <v>0.215</v>
      </c>
      <c r="N202" s="5">
        <f>+'Capitulo Etnico'!AI22</f>
        <v>5.7142857142857141E-2</v>
      </c>
      <c r="O202" s="5">
        <f>+'Capitulo Etnico'!AJ22</f>
        <v>0.35</v>
      </c>
      <c r="P202" s="5">
        <f>+'Capitulo Etnico'!AK22</f>
        <v>0.38928571428571429</v>
      </c>
      <c r="Q202" s="33">
        <f>+'Capitulo Etnico'!AL22</f>
        <v>8.0000000000000019E-3</v>
      </c>
      <c r="R202" s="33">
        <f>+'Capitulo Etnico'!AM22</f>
        <v>0.54249999999999998</v>
      </c>
      <c r="S202" s="33">
        <f>+'Capitulo Etnico'!AN22</f>
        <v>0.56812499999999999</v>
      </c>
      <c r="T202" s="25"/>
      <c r="U202" s="2"/>
      <c r="V202" s="64"/>
    </row>
    <row r="203" spans="2:22" ht="49.8" x14ac:dyDescent="0.7">
      <c r="B203" s="30" t="str">
        <f>+'Capitulo Etnico'!B30:C30</f>
        <v xml:space="preserve">Territorio Sitio de Paz y Pensamiento Colectivo
</v>
      </c>
      <c r="C203" s="1165"/>
      <c r="D203" s="23">
        <f t="shared" ref="D203:I203" si="98">+(D204+D205+D206)/3</f>
        <v>0.22685185185185186</v>
      </c>
      <c r="E203" s="23">
        <f t="shared" si="98"/>
        <v>0.30802469135802468</v>
      </c>
      <c r="F203" s="23">
        <f t="shared" ref="F203" si="99">+(F204+F205+F206)/3</f>
        <v>0.41539506172839508</v>
      </c>
      <c r="G203" s="23">
        <f t="shared" si="95"/>
        <v>0.35432098765432096</v>
      </c>
      <c r="H203" s="23">
        <f t="shared" si="96"/>
        <v>0.78755709876543212</v>
      </c>
      <c r="I203" s="24">
        <f t="shared" si="98"/>
        <v>8.3611111111111122E-2</v>
      </c>
      <c r="J203" s="24">
        <f t="shared" ref="J203:K203" si="100">+(J204+J205+J206)/3</f>
        <v>0.29299999999999998</v>
      </c>
      <c r="K203" s="24">
        <f t="shared" si="100"/>
        <v>0.90111111111111108</v>
      </c>
      <c r="L203" s="24"/>
      <c r="M203" s="24"/>
      <c r="N203" s="3">
        <f>+(N204+N205+N206)/3</f>
        <v>4.6296296296296287E-2</v>
      </c>
      <c r="O203" s="3">
        <f>+(O204+O205+O206)/3</f>
        <v>0.37216203703703704</v>
      </c>
      <c r="P203" s="3">
        <f>+(P204+P205+P206)/3</f>
        <v>0.4265497685185185</v>
      </c>
      <c r="Q203" s="63">
        <f>+(Q204+Q205+Q206)</f>
        <v>9.6249999999999999E-3</v>
      </c>
      <c r="R203" s="63">
        <f>+'Capitulo Etnico'!AM30</f>
        <v>0.33927250000000003</v>
      </c>
      <c r="S203" s="63">
        <f>+'Capitulo Etnico'!AN30</f>
        <v>0.39793887499999997</v>
      </c>
      <c r="T203" s="25"/>
      <c r="U203" s="2"/>
      <c r="V203" s="64"/>
    </row>
    <row r="204" spans="2:22" ht="33.6" customHeight="1" x14ac:dyDescent="0.7">
      <c r="B204" s="32" t="s">
        <v>1782</v>
      </c>
      <c r="C204" s="1165"/>
      <c r="D204" s="10">
        <f>+'Capitulo Etnico'!J31</f>
        <v>0.30555555555555552</v>
      </c>
      <c r="E204" s="10">
        <f>+'Capitulo Etnico'!K31</f>
        <v>0.33462962962962967</v>
      </c>
      <c r="F204" s="10">
        <f>+'Capitulo Etnico'!L31</f>
        <v>0.45351851851851849</v>
      </c>
      <c r="G204" s="10">
        <f t="shared" si="95"/>
        <v>0.47351851851851856</v>
      </c>
      <c r="H204" s="10">
        <f t="shared" si="96"/>
        <v>0.76733796296296286</v>
      </c>
      <c r="I204" s="10">
        <f>+'Capitulo Etnico'!M31</f>
        <v>0.18208333333333335</v>
      </c>
      <c r="J204" s="10">
        <f>+'Capitulo Etnico'!N31</f>
        <v>0.29941666666666666</v>
      </c>
      <c r="K204" s="10">
        <f>+'Capitulo Etnico'!AD31</f>
        <v>0.83333333333333337</v>
      </c>
      <c r="L204" s="10">
        <v>3.4722222222222224E-2</v>
      </c>
      <c r="M204" s="10">
        <f>+'Capitulo Etnico'!AE31</f>
        <v>4.3055555555555548E-2</v>
      </c>
      <c r="N204" s="5">
        <f>+'Capitulo Etnico'!AI31</f>
        <v>0.13888888888888887</v>
      </c>
      <c r="O204" s="5">
        <f>+'Capitulo Etnico'!AJ31</f>
        <v>0.31381944444444443</v>
      </c>
      <c r="P204" s="5">
        <f>+'Capitulo Etnico'!AK31</f>
        <v>0.34178819444444442</v>
      </c>
      <c r="Q204" s="33">
        <f>+'Capitulo Etnico'!AL31</f>
        <v>9.6249999999999999E-3</v>
      </c>
      <c r="R204" s="33">
        <f>+'Capitulo Etnico'!AM31</f>
        <v>0.17684166666666667</v>
      </c>
      <c r="S204" s="33">
        <f>+'Capitulo Etnico'!AN31</f>
        <v>0.18674625</v>
      </c>
      <c r="T204" s="25"/>
      <c r="U204" s="2"/>
      <c r="V204" s="64"/>
    </row>
    <row r="205" spans="2:22" ht="40.200000000000003" customHeight="1" x14ac:dyDescent="0.7">
      <c r="B205" s="32" t="s">
        <v>1783</v>
      </c>
      <c r="C205" s="1165"/>
      <c r="D205" s="10">
        <f>+'Capitulo Etnico'!J40</f>
        <v>0.25</v>
      </c>
      <c r="E205" s="10">
        <f>+'Capitulo Etnico'!K40</f>
        <v>0.32777777777777778</v>
      </c>
      <c r="F205" s="10">
        <f>+'Capitulo Etnico'!L40</f>
        <v>0.4326666666666667</v>
      </c>
      <c r="G205" s="10">
        <f t="shared" si="95"/>
        <v>0.32777777777777778</v>
      </c>
      <c r="H205" s="10">
        <f t="shared" si="96"/>
        <v>0.76833333333333331</v>
      </c>
      <c r="I205" s="10">
        <f>+'Capitulo Etnico'!M40</f>
        <v>3.7499999999999999E-2</v>
      </c>
      <c r="J205" s="10">
        <f>+'Capitulo Etnico'!N40</f>
        <v>0.28416666666666668</v>
      </c>
      <c r="K205" s="10">
        <f>+'Capitulo Etnico'!AD40</f>
        <v>0.86999999999999988</v>
      </c>
      <c r="L205" s="10">
        <v>6.25E-2</v>
      </c>
      <c r="M205" s="10">
        <f>+'Capitulo Etnico'!AE40</f>
        <v>0.27466763005780342</v>
      </c>
      <c r="N205" s="5">
        <f>+'Capitulo Etnico'!AI40</f>
        <v>0</v>
      </c>
      <c r="O205" s="5">
        <f>+'Capitulo Etnico'!AJ40</f>
        <v>0.33566666666666661</v>
      </c>
      <c r="P205" s="5">
        <f>+'Capitulo Etnico'!AK40</f>
        <v>0.43286111111111114</v>
      </c>
      <c r="Q205" s="33">
        <f>+'Capitulo Etnico'!AL40</f>
        <v>0</v>
      </c>
      <c r="R205" s="33">
        <f>+'Capitulo Etnico'!AM40</f>
        <v>0.31906666666666667</v>
      </c>
      <c r="S205" s="33">
        <f>+'Capitulo Etnico'!AN40</f>
        <v>0.45004999999999995</v>
      </c>
      <c r="T205" s="25"/>
      <c r="U205" s="2"/>
      <c r="V205" s="64"/>
    </row>
    <row r="206" spans="2:22" ht="46.2" customHeight="1" x14ac:dyDescent="0.7">
      <c r="B206" s="35" t="s">
        <v>1784</v>
      </c>
      <c r="C206" s="1166"/>
      <c r="D206" s="39">
        <f>+'Capitulo Etnico'!J47</f>
        <v>0.125</v>
      </c>
      <c r="E206" s="39">
        <f>+'Capitulo Etnico'!K47</f>
        <v>0.26166666666666666</v>
      </c>
      <c r="F206" s="39">
        <f>+'Capitulo Etnico'!L47</f>
        <v>0.36000000000000004</v>
      </c>
      <c r="G206" s="39">
        <f t="shared" si="95"/>
        <v>0.26166666666666666</v>
      </c>
      <c r="H206" s="39">
        <f t="shared" si="96"/>
        <v>0.82699999999999996</v>
      </c>
      <c r="I206" s="39">
        <f>+'Capitulo Etnico'!M47</f>
        <v>3.125E-2</v>
      </c>
      <c r="J206" s="39">
        <f>+'Capitulo Etnico'!N47</f>
        <v>0.29541666666666666</v>
      </c>
      <c r="K206" s="39">
        <f>+'Capitulo Etnico'!AD47</f>
        <v>1</v>
      </c>
      <c r="L206" s="39">
        <v>0</v>
      </c>
      <c r="M206" s="39">
        <f>+'Capitulo Etnico'!AE47</f>
        <v>0.14583333333333334</v>
      </c>
      <c r="N206" s="36">
        <f>+'Capitulo Etnico'!AI47</f>
        <v>0</v>
      </c>
      <c r="O206" s="36">
        <f>+'Capitulo Etnico'!AJ47</f>
        <v>0.46699999999999997</v>
      </c>
      <c r="P206" s="36">
        <f>+'Capitulo Etnico'!AK47</f>
        <v>0.50500000000000012</v>
      </c>
      <c r="Q206" s="37">
        <f>+'Capitulo Etnico'!AL47</f>
        <v>0</v>
      </c>
      <c r="R206" s="37">
        <f>+'Capitulo Etnico'!AM47</f>
        <v>0.47625000000000006</v>
      </c>
      <c r="S206" s="37">
        <f>+'Capitulo Etnico'!AN47</f>
        <v>0.51724999999999999</v>
      </c>
      <c r="T206" s="25"/>
      <c r="U206" s="2"/>
      <c r="V206" s="64"/>
    </row>
  </sheetData>
  <sheetProtection password="DEBC" sheet="1" objects="1" scenarios="1"/>
  <autoFilter ref="B2:Z206"/>
  <mergeCells count="6">
    <mergeCell ref="C198:C206"/>
    <mergeCell ref="C4:C45"/>
    <mergeCell ref="C46:C91"/>
    <mergeCell ref="C92:C122"/>
    <mergeCell ref="C123:C160"/>
    <mergeCell ref="C161:C197"/>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F1000"/>
  <sheetViews>
    <sheetView zoomScale="20" zoomScaleNormal="20" workbookViewId="0">
      <selection activeCell="V132" sqref="V132"/>
    </sheetView>
  </sheetViews>
  <sheetFormatPr baseColWidth="10" defaultColWidth="14.44140625" defaultRowHeight="15" customHeight="1" x14ac:dyDescent="0.5"/>
  <cols>
    <col min="1" max="1" width="10.6640625" style="1064" customWidth="1"/>
    <col min="2" max="2" width="80.88671875" style="1064" customWidth="1"/>
    <col min="3" max="3" width="48.109375" style="1064" customWidth="1"/>
    <col min="4" max="4" width="47.88671875" style="1064" customWidth="1"/>
    <col min="5" max="5" width="44" style="1064" customWidth="1"/>
    <col min="6" max="6" width="55.6640625" style="1064" customWidth="1"/>
    <col min="7" max="7" width="50.109375" style="1064" customWidth="1"/>
    <col min="8" max="8" width="53.77734375" style="1064" customWidth="1"/>
    <col min="9" max="11" width="51" style="1064" customWidth="1"/>
    <col min="12" max="12" width="49.77734375" style="1064" customWidth="1"/>
    <col min="13" max="15" width="54.33203125" style="1064" customWidth="1"/>
    <col min="16" max="16" width="68.33203125" style="1064" hidden="1" customWidth="1"/>
    <col min="17" max="17" width="75" style="1064" hidden="1" customWidth="1"/>
    <col min="18" max="18" width="63.5546875" style="1064" hidden="1" customWidth="1"/>
    <col min="19" max="19" width="66" style="1064" hidden="1" customWidth="1"/>
    <col min="20" max="20" width="61" style="1064" hidden="1" customWidth="1"/>
    <col min="21" max="21" width="69.6640625" style="1064" hidden="1" customWidth="1"/>
    <col min="22" max="22" width="67.44140625" style="1064" customWidth="1"/>
    <col min="23" max="23" width="56.109375" style="1064" hidden="1" customWidth="1"/>
    <col min="24" max="24" width="54.44140625" style="1064" hidden="1" customWidth="1"/>
    <col min="25" max="25" width="10.6640625" style="1064" customWidth="1"/>
    <col min="26" max="26" width="27.33203125" style="1064" customWidth="1"/>
    <col min="27" max="27" width="10.6640625" style="1064" customWidth="1"/>
    <col min="28" max="29" width="30" style="1064" customWidth="1"/>
    <col min="30" max="41" width="10.6640625" style="1064" customWidth="1"/>
    <col min="42" max="16384" width="14.44140625" style="1064"/>
  </cols>
  <sheetData>
    <row r="1" spans="2:31" ht="15" customHeight="1" thickBot="1" x14ac:dyDescent="0.55000000000000004"/>
    <row r="2" spans="2:31" ht="301.2" customHeight="1" x14ac:dyDescent="0.5">
      <c r="B2" s="1074"/>
      <c r="C2" s="1075" t="s">
        <v>1156</v>
      </c>
      <c r="D2" s="1076" t="s">
        <v>1979</v>
      </c>
      <c r="E2" s="1077" t="s">
        <v>1929</v>
      </c>
      <c r="F2" s="1078" t="s">
        <v>2264</v>
      </c>
      <c r="G2" s="1078" t="s">
        <v>2265</v>
      </c>
      <c r="H2" s="1079" t="s">
        <v>2181</v>
      </c>
      <c r="I2" s="1080" t="s">
        <v>2182</v>
      </c>
      <c r="J2" s="1150" t="s">
        <v>2267</v>
      </c>
      <c r="K2" s="1078" t="s">
        <v>2291</v>
      </c>
      <c r="L2" s="1081" t="s">
        <v>2049</v>
      </c>
      <c r="M2" s="1080" t="s">
        <v>2183</v>
      </c>
      <c r="N2" s="1082" t="s">
        <v>2277</v>
      </c>
      <c r="O2" s="1082" t="s">
        <v>2278</v>
      </c>
      <c r="P2" s="1083" t="s">
        <v>2136</v>
      </c>
      <c r="Q2" s="1084" t="s">
        <v>2266</v>
      </c>
      <c r="R2" s="1085" t="s">
        <v>1577</v>
      </c>
      <c r="S2" s="1086" t="s">
        <v>1963</v>
      </c>
      <c r="T2" s="1087" t="s">
        <v>1964</v>
      </c>
      <c r="U2" s="1088" t="s">
        <v>2184</v>
      </c>
      <c r="V2" s="1082" t="s">
        <v>2279</v>
      </c>
      <c r="W2" s="1089" t="s">
        <v>1154</v>
      </c>
      <c r="X2" s="1090" t="s">
        <v>1155</v>
      </c>
      <c r="AB2" s="1173" t="s">
        <v>1537</v>
      </c>
      <c r="AC2" s="1173" t="s">
        <v>1538</v>
      </c>
    </row>
    <row r="3" spans="2:31" ht="123.6" customHeight="1" thickBot="1" x14ac:dyDescent="0.75">
      <c r="B3" s="1091" t="s">
        <v>1585</v>
      </c>
      <c r="C3" s="1092"/>
      <c r="D3" s="1118">
        <v>0.2014</v>
      </c>
      <c r="E3" s="1119">
        <f>+'PLAN DE DESARROLLO 2024 - 2027'!E3</f>
        <v>0.29256753414565928</v>
      </c>
      <c r="F3" s="1120">
        <f>+'PLAN DE DESARROLLO 2024 - 2027'!F3</f>
        <v>0.31693933601189556</v>
      </c>
      <c r="G3" s="1121">
        <f>+F3+I3</f>
        <v>0.80188703981500575</v>
      </c>
      <c r="H3" s="1122">
        <f t="shared" ref="H3:H9" si="0">+I3-D3</f>
        <v>0.28354770380311023</v>
      </c>
      <c r="I3" s="1122">
        <f>+'PLAN DE DESARROLLO 2024 - 2027'!O3</f>
        <v>0.4849477038031102</v>
      </c>
      <c r="J3" s="1123">
        <v>0.52319293972307812</v>
      </c>
      <c r="K3" s="1153">
        <f>+'PLAN DE DESARROLLO 2024 - 2027'!P3</f>
        <v>0.57644411772037973</v>
      </c>
      <c r="L3" s="1124">
        <v>0.7941582819202514</v>
      </c>
      <c r="M3" s="1124">
        <f>+'PLAN DE DESARROLLO 2024 - 2027'!K3</f>
        <v>0.84057533830791298</v>
      </c>
      <c r="N3" s="1125">
        <v>0.18501820403177074</v>
      </c>
      <c r="O3" s="1125">
        <f>+'PLAN DE DESARROLLO 2024 - 2027'!M3</f>
        <v>0.38817788553052263</v>
      </c>
      <c r="P3" s="1118">
        <f t="shared" ref="P3:P9" si="1">+H3/E3</f>
        <v>0.96917009138116339</v>
      </c>
      <c r="Q3" s="1126"/>
      <c r="R3" s="1118">
        <f>+'PLAN DE DESARROLLO 2024 - 2027'!I3</f>
        <v>0.17694181972502762</v>
      </c>
      <c r="S3" s="1118">
        <f>+'PLAN DE DESARROLLO 2024 - 2027'!J3</f>
        <v>0.25280387096698398</v>
      </c>
      <c r="T3" s="1122">
        <v>0.16474944869063249</v>
      </c>
      <c r="U3" s="1127">
        <f>+'PLAN DE DESARROLLO 2024 - 2027'!R3</f>
        <v>0.45156450190221792</v>
      </c>
      <c r="V3" s="1128">
        <f>+'PLAN DE DESARROLLO 2024 - 2027'!S3</f>
        <v>0.54241429185691348</v>
      </c>
      <c r="W3" s="1093"/>
      <c r="X3" s="1094"/>
      <c r="Z3" s="1065"/>
      <c r="AB3" s="1174"/>
      <c r="AC3" s="1174"/>
    </row>
    <row r="4" spans="2:31" ht="92.25" customHeight="1" thickBot="1" x14ac:dyDescent="0.75">
      <c r="B4" s="1095" t="str">
        <f>+'Seguridad Humana'!B3:C3</f>
        <v xml:space="preserve"> SEGURIDAD HUMANA
</v>
      </c>
      <c r="C4" s="1129">
        <v>0.3</v>
      </c>
      <c r="D4" s="1096">
        <v>0.25472941442069297</v>
      </c>
      <c r="E4" s="1097">
        <f>+'PLAN DE DESARROLLO 2024 - 2027'!E4</f>
        <v>0.37391117816579211</v>
      </c>
      <c r="F4" s="1098">
        <f>+'PLAN DE DESARROLLO 2024 - 2027'!F4</f>
        <v>0.27891300774404798</v>
      </c>
      <c r="G4" s="1098">
        <f t="shared" ref="G4:G9" si="2">+F4+I4</f>
        <v>0.79931262285361604</v>
      </c>
      <c r="H4" s="1099">
        <f t="shared" si="0"/>
        <v>0.26567020068887515</v>
      </c>
      <c r="I4" s="1100">
        <f>+'PLAN DE DESARROLLO 2024 - 2027'!O4</f>
        <v>0.52039961510956811</v>
      </c>
      <c r="J4" s="1101">
        <v>0.55531722153017071</v>
      </c>
      <c r="K4" s="1101">
        <f>+'PLAN DE DESARROLLO 2024 - 2027'!P4</f>
        <v>0.60343480832577168</v>
      </c>
      <c r="L4" s="1100">
        <v>0.84332704195548547</v>
      </c>
      <c r="M4" s="1100">
        <f>+'PLAN DE DESARROLLO 2024 - 2027'!K4</f>
        <v>0.84734962769466726</v>
      </c>
      <c r="N4" s="1101">
        <v>0.19121125187168028</v>
      </c>
      <c r="O4" s="1101">
        <f>+'PLAN DE DESARROLLO 2024 - 2027'!M4</f>
        <v>0.41726944081404749</v>
      </c>
      <c r="P4" s="1096">
        <f t="shared" si="1"/>
        <v>0.71051687192693946</v>
      </c>
      <c r="Q4" s="1102"/>
      <c r="R4" s="1096">
        <f>+'PLAN DE DESARROLLO 2024 - 2027'!I4</f>
        <v>0.1963447624265218</v>
      </c>
      <c r="S4" s="1096">
        <f>+'PLAN DE DESARROLLO 2024 - 2027'!J4</f>
        <v>0.2531166550657612</v>
      </c>
      <c r="T4" s="1099">
        <v>0.20761825159703684</v>
      </c>
      <c r="U4" s="1103">
        <f>+'PLAN DE DESARROLLO 2024 - 2027'!R4</f>
        <v>0.47908249879234166</v>
      </c>
      <c r="V4" s="1104">
        <f>+'PLAN DE DESARROLLO 2024 - 2027'!S4</f>
        <v>0.56928056589821929</v>
      </c>
      <c r="W4" s="1105"/>
      <c r="X4" s="1106"/>
      <c r="AB4" s="1066">
        <v>697</v>
      </c>
      <c r="AC4" s="1067">
        <f>1/AB4</f>
        <v>1.4347202295552368E-3</v>
      </c>
      <c r="AD4" s="1068"/>
    </row>
    <row r="5" spans="2:31" ht="91.2" customHeight="1" x14ac:dyDescent="0.7">
      <c r="B5" s="1095" t="str">
        <f>+'Vida Digna'!B3:C3</f>
        <v xml:space="preserve"> VIDA DIGNA
</v>
      </c>
      <c r="C5" s="1129">
        <v>0.2</v>
      </c>
      <c r="D5" s="1096">
        <v>0.22389547133016827</v>
      </c>
      <c r="E5" s="1097">
        <f>+'PLAN DE DESARROLLO 2024 - 2027'!E46</f>
        <v>0.29872026705958277</v>
      </c>
      <c r="F5" s="1098">
        <f>+'PLAN DE DESARROLLO 2024 - 2027'!F46</f>
        <v>0.31001232315895783</v>
      </c>
      <c r="G5" s="1098">
        <f t="shared" si="2"/>
        <v>0.82276088820641258</v>
      </c>
      <c r="H5" s="1099">
        <f t="shared" si="0"/>
        <v>0.2888530937172864</v>
      </c>
      <c r="I5" s="1100">
        <f>+'PLAN DE DESARROLLO 2024 - 2027'!O46</f>
        <v>0.5127485650474547</v>
      </c>
      <c r="J5" s="1101">
        <v>0.56537558510342345</v>
      </c>
      <c r="K5" s="1101">
        <f>+'PLAN DE DESARROLLO 2024 - 2027'!P46</f>
        <v>0.63168445247603899</v>
      </c>
      <c r="L5" s="1100">
        <v>0.85198226383644504</v>
      </c>
      <c r="M5" s="1100">
        <f>+'PLAN DE DESARROLLO 2024 - 2027'!K46</f>
        <v>0.71907447715303718</v>
      </c>
      <c r="N5" s="1101">
        <v>0.27856668470614288</v>
      </c>
      <c r="O5" s="1101">
        <f>+'PLAN DE DESARROLLO 2024 - 2027'!M46</f>
        <v>0.53094458900377417</v>
      </c>
      <c r="P5" s="1096">
        <f t="shared" si="1"/>
        <v>0.96696851727061339</v>
      </c>
      <c r="Q5" s="1102"/>
      <c r="R5" s="1096">
        <f>+'PLAN DE DESARROLLO 2024 - 2027'!I46</f>
        <v>0.20215522261646302</v>
      </c>
      <c r="S5" s="1096">
        <f>+'PLAN DE DESARROLLO 2024 - 2027'!J46</f>
        <v>0.26377249543649056</v>
      </c>
      <c r="T5" s="1099">
        <v>0.18203033285293824</v>
      </c>
      <c r="U5" s="1103">
        <f>+'PLAN DE DESARROLLO 2024 - 2027'!R46</f>
        <v>0.48090129462939524</v>
      </c>
      <c r="V5" s="1104">
        <f>+'PLAN DE DESARROLLO 2024 - 2027'!S46</f>
        <v>0.58988272717320955</v>
      </c>
      <c r="W5" s="1105"/>
      <c r="X5" s="1107"/>
      <c r="AC5" s="1069"/>
      <c r="AD5" s="1070"/>
      <c r="AE5" s="1070"/>
    </row>
    <row r="6" spans="2:31" ht="105.6" customHeight="1" x14ac:dyDescent="0.7">
      <c r="B6" s="1095" t="str">
        <f>+'Desarrollo Economico'!B3:B3</f>
        <v xml:space="preserve"> DESARROLLO ECONÓMICO EQUITATIVO
</v>
      </c>
      <c r="C6" s="1129">
        <v>0.15</v>
      </c>
      <c r="D6" s="1096">
        <v>0.23537004965661618</v>
      </c>
      <c r="E6" s="1097">
        <f>+'PLAN DE DESARROLLO 2024 - 2027'!E92</f>
        <v>0.30640994027190521</v>
      </c>
      <c r="F6" s="1098">
        <f>+'PLAN DE DESARROLLO 2024 - 2027'!F92</f>
        <v>0.32587747464732558</v>
      </c>
      <c r="G6" s="1098">
        <f t="shared" si="2"/>
        <v>0.81399807975980076</v>
      </c>
      <c r="H6" s="1099">
        <f t="shared" si="0"/>
        <v>0.25275055545585895</v>
      </c>
      <c r="I6" s="1100">
        <f>+'PLAN DE DESARROLLO 2024 - 2027'!O92</f>
        <v>0.48812060511247513</v>
      </c>
      <c r="J6" s="1101">
        <v>0.52346057293872739</v>
      </c>
      <c r="K6" s="1101">
        <f>+'PLAN DE DESARROLLO 2024 - 2027'!P92</f>
        <v>0.58520124129298157</v>
      </c>
      <c r="L6" s="1100">
        <v>0.9432222222222223</v>
      </c>
      <c r="M6" s="1100">
        <f>+'PLAN DE DESARROLLO 2024 - 2027'!K92</f>
        <v>0.8280801355041183</v>
      </c>
      <c r="N6" s="1101">
        <v>0.13599855463539826</v>
      </c>
      <c r="O6" s="1101">
        <f>+'PLAN DE DESARROLLO 2024 - 2027'!M92</f>
        <v>0.28538799521787417</v>
      </c>
      <c r="P6" s="1096">
        <f t="shared" si="1"/>
        <v>0.8248771408380895</v>
      </c>
      <c r="Q6" s="1102"/>
      <c r="R6" s="1096">
        <f>+'PLAN DE DESARROLLO 2024 - 2027'!I92</f>
        <v>0.17821682568108904</v>
      </c>
      <c r="S6" s="1096">
        <f>+'PLAN DE DESARROLLO 2024 - 2027'!J92</f>
        <v>0.29286468501983037</v>
      </c>
      <c r="T6" s="1099">
        <v>0.19709284711832917</v>
      </c>
      <c r="U6" s="1103">
        <f>+'PLAN DE DESARROLLO 2024 - 2027'!R92</f>
        <v>0.47987044466787071</v>
      </c>
      <c r="V6" s="1104">
        <f>+'PLAN DE DESARROLLO 2024 - 2027'!S92</f>
        <v>0.53129158872265736</v>
      </c>
      <c r="W6" s="1105"/>
      <c r="X6" s="1107"/>
      <c r="AC6" s="1069"/>
    </row>
    <row r="7" spans="2:31" ht="153.6" customHeight="1" x14ac:dyDescent="0.7">
      <c r="B7" s="1095" t="str">
        <f>+'Ciudad Conectada'!B3:B3</f>
        <v xml:space="preserve">CARTAGENA CIUDAD CONECTADA Y SOSTENIBLE
</v>
      </c>
      <c r="C7" s="1129">
        <v>0.25</v>
      </c>
      <c r="D7" s="1096">
        <v>0.22160323916687383</v>
      </c>
      <c r="E7" s="1097">
        <f>+'PLAN DE DESARROLLO 2024 - 2027'!E123</f>
        <v>0.23066712604683681</v>
      </c>
      <c r="F7" s="1098">
        <f>+'PLAN DE DESARROLLO 2024 - 2027'!F123</f>
        <v>0.29347279550978955</v>
      </c>
      <c r="G7" s="1098">
        <f t="shared" si="2"/>
        <v>0.77462032338918174</v>
      </c>
      <c r="H7" s="1099">
        <f t="shared" si="0"/>
        <v>0.25954428871251833</v>
      </c>
      <c r="I7" s="1100">
        <f>+'PLAN DE DESARROLLO 2024 - 2027'!O123</f>
        <v>0.48114752787939219</v>
      </c>
      <c r="J7" s="1101">
        <v>0.53358917072877365</v>
      </c>
      <c r="K7" s="1101">
        <f>+'PLAN DE DESARROLLO 2024 - 2027'!P123</f>
        <v>0.57466973513094477</v>
      </c>
      <c r="L7" s="1100">
        <v>0.81130732140563089</v>
      </c>
      <c r="M7" s="1100">
        <f>+'PLAN DE DESARROLLO 2024 - 2027'!K123</f>
        <v>0.84012102824924451</v>
      </c>
      <c r="N7" s="1101">
        <v>0.20790903394659535</v>
      </c>
      <c r="O7" s="1101">
        <f>+'PLAN DE DESARROLLO 2024 - 2027'!M123</f>
        <v>0.38632016869631758</v>
      </c>
      <c r="P7" s="1096">
        <f t="shared" si="1"/>
        <v>1.1251897622369389</v>
      </c>
      <c r="Q7" s="1102"/>
      <c r="R7" s="1096">
        <f>+'PLAN DE DESARROLLO 2024 - 2027'!I123</f>
        <v>0.19844971717901827</v>
      </c>
      <c r="S7" s="1096">
        <f>+'PLAN DE DESARROLLO 2024 - 2027'!J123</f>
        <v>0.20087091613383856</v>
      </c>
      <c r="T7" s="1099">
        <v>0.1858257807711004</v>
      </c>
      <c r="U7" s="1103">
        <f>+'PLAN DE DESARROLLO 2024 - 2027'!R123</f>
        <v>0.37052459010275579</v>
      </c>
      <c r="V7" s="1104">
        <f>+'PLAN DE DESARROLLO 2024 - 2027'!S123</f>
        <v>0.46213758781001518</v>
      </c>
      <c r="W7" s="1105"/>
      <c r="X7" s="1107"/>
    </row>
    <row r="8" spans="2:31" ht="169.2" customHeight="1" x14ac:dyDescent="0.7">
      <c r="B8" s="1095" t="str">
        <f>+'Innovación Pública'!B3:B3</f>
        <v xml:space="preserve"> INNOVACIÓN PÚBLICA Y PARTICIPACIÓN CIUDADANA
</v>
      </c>
      <c r="C8" s="1129">
        <v>0.08</v>
      </c>
      <c r="D8" s="1096">
        <v>0.21734598565460142</v>
      </c>
      <c r="E8" s="1097">
        <f>+'PLAN DE DESARROLLO 2024 - 2027'!E161</f>
        <v>0.28247799844447724</v>
      </c>
      <c r="F8" s="1098">
        <f>+'PLAN DE DESARROLLO 2024 - 2027'!F161</f>
        <v>0.29285203758620826</v>
      </c>
      <c r="G8" s="1098">
        <f t="shared" si="2"/>
        <v>0.83819641214294427</v>
      </c>
      <c r="H8" s="1099">
        <f t="shared" si="0"/>
        <v>0.32799838890213462</v>
      </c>
      <c r="I8" s="1100">
        <f>+'PLAN DE DESARROLLO 2024 - 2027'!O161</f>
        <v>0.54534437455673601</v>
      </c>
      <c r="J8" s="1101">
        <v>0.58485635336926378</v>
      </c>
      <c r="K8" s="1101">
        <f>+'PLAN DE DESARROLLO 2024 - 2027'!P161</f>
        <v>0.63495673370693095</v>
      </c>
      <c r="L8" s="1100">
        <v>0.9123330643239469</v>
      </c>
      <c r="M8" s="1100">
        <f>+'PLAN DE DESARROLLO 2024 - 2027'!K161</f>
        <v>0.88535453902418837</v>
      </c>
      <c r="N8" s="1101">
        <v>0.25770144245140841</v>
      </c>
      <c r="O8" s="1101">
        <f>+'PLAN DE DESARROLLO 2024 - 2027'!M161</f>
        <v>0.49872630262426565</v>
      </c>
      <c r="P8" s="1096">
        <f t="shared" si="1"/>
        <v>1.161146675876793</v>
      </c>
      <c r="Q8" s="1102"/>
      <c r="R8" s="1096">
        <f>+'PLAN DE DESARROLLO 2024 - 2027'!I161</f>
        <v>0.21726216822485131</v>
      </c>
      <c r="S8" s="1096">
        <f>+'PLAN DE DESARROLLO 2024 - 2027'!J161</f>
        <v>0.25962902970153884</v>
      </c>
      <c r="T8" s="1099">
        <v>0.19305031313772361</v>
      </c>
      <c r="U8" s="1103">
        <f>+'PLAN DE DESARROLLO 2024 - 2027'!R161</f>
        <v>0.50552782129594898</v>
      </c>
      <c r="V8" s="1104">
        <f>+'PLAN DE DESARROLLO 2024 - 2027'!S161</f>
        <v>0.61640078657492781</v>
      </c>
      <c r="W8" s="1105"/>
      <c r="X8" s="1107"/>
    </row>
    <row r="9" spans="2:31" ht="184.95" customHeight="1" thickBot="1" x14ac:dyDescent="0.75">
      <c r="B9" s="1108" t="str">
        <f>+'Capitulo Etnico'!B3:C3</f>
        <v xml:space="preserve">CAPÍTULO DE LOS PUEBLOS Y COMUNIDADES ÉTNICAS
</v>
      </c>
      <c r="C9" s="1130">
        <v>0.02</v>
      </c>
      <c r="D9" s="1109">
        <v>5.5588624338624326E-2</v>
      </c>
      <c r="E9" s="1110">
        <f>+'PLAN DE DESARROLLO 2024 - 2027'!E198</f>
        <v>0.26321869488536154</v>
      </c>
      <c r="F9" s="1111">
        <f>+'PLAN DE DESARROLLO 2024 - 2027'!F198</f>
        <v>0.40050837742504408</v>
      </c>
      <c r="G9" s="1111">
        <f t="shared" si="2"/>
        <v>0.76243391253807924</v>
      </c>
      <c r="H9" s="1112">
        <f t="shared" si="0"/>
        <v>0.30633691077441083</v>
      </c>
      <c r="I9" s="1113">
        <f>+'PLAN DE DESARROLLO 2024 - 2027'!O198</f>
        <v>0.36192553511303516</v>
      </c>
      <c r="J9" s="1114">
        <v>0.37655873466810963</v>
      </c>
      <c r="K9" s="1114">
        <f>+'PLAN DE DESARROLLO 2024 - 2027'!P198</f>
        <v>0.42871773538961033</v>
      </c>
      <c r="L9" s="1113">
        <v>0.40277777777777779</v>
      </c>
      <c r="M9" s="1113">
        <f>+'PLAN DE DESARROLLO 2024 - 2027'!K198</f>
        <v>0.92347222222222225</v>
      </c>
      <c r="N9" s="1114">
        <v>3.8722256579399435E-2</v>
      </c>
      <c r="O9" s="1114">
        <f>+'PLAN DE DESARROLLO 2024 - 2027'!M198</f>
        <v>0.21041881682685667</v>
      </c>
      <c r="P9" s="1109">
        <f t="shared" si="1"/>
        <v>1.1638113733062478</v>
      </c>
      <c r="Q9" s="1115"/>
      <c r="R9" s="1109">
        <f>+'PLAN DE DESARROLLO 2024 - 2027'!I198</f>
        <v>6.9222222222222241E-2</v>
      </c>
      <c r="S9" s="1109">
        <f>+'PLAN DE DESARROLLO 2024 - 2027'!J198</f>
        <v>0.24656944444444442</v>
      </c>
      <c r="T9" s="1112">
        <v>2.2879166666666673E-2</v>
      </c>
      <c r="U9" s="1116">
        <f>+'PLAN DE DESARROLLO 2024 - 2027'!R198</f>
        <v>0.33027767045454548</v>
      </c>
      <c r="V9" s="1117">
        <f>+'PLAN DE DESARROLLO 2024 - 2027'!S198</f>
        <v>0.45566892329545455</v>
      </c>
      <c r="W9" s="1105"/>
      <c r="X9" s="1107"/>
    </row>
    <row r="10" spans="2:31" ht="25.8" x14ac:dyDescent="0.5">
      <c r="B10" s="1071"/>
      <c r="W10" s="1072"/>
    </row>
    <row r="14" spans="2:31" ht="25.8" x14ac:dyDescent="0.5">
      <c r="W14" s="1071"/>
    </row>
    <row r="21" ht="15.75" customHeight="1" x14ac:dyDescent="0.5"/>
    <row r="22" ht="15.75" customHeight="1" x14ac:dyDescent="0.5"/>
    <row r="23" ht="15.75" customHeight="1" x14ac:dyDescent="0.5"/>
    <row r="24" ht="15.75" customHeight="1" x14ac:dyDescent="0.5"/>
    <row r="25" ht="15.75" customHeight="1" x14ac:dyDescent="0.5"/>
    <row r="26" ht="15.75" customHeight="1" x14ac:dyDescent="0.5"/>
    <row r="27" ht="15.75" customHeight="1" x14ac:dyDescent="0.5"/>
    <row r="28" ht="15.75" customHeight="1" x14ac:dyDescent="0.5"/>
    <row r="29" ht="15.75" customHeight="1" x14ac:dyDescent="0.5"/>
    <row r="30" ht="15.75" customHeight="1" x14ac:dyDescent="0.5"/>
    <row r="31" ht="15.75" customHeight="1" x14ac:dyDescent="0.5"/>
    <row r="32" ht="15.75" customHeight="1" x14ac:dyDescent="0.5"/>
    <row r="33" spans="32:32" ht="15.75" customHeight="1" x14ac:dyDescent="0.5"/>
    <row r="34" spans="32:32" ht="15.75" customHeight="1" x14ac:dyDescent="0.5"/>
    <row r="35" spans="32:32" ht="15.75" customHeight="1" x14ac:dyDescent="0.5"/>
    <row r="36" spans="32:32" ht="15.75" customHeight="1" x14ac:dyDescent="0.5"/>
    <row r="37" spans="32:32" ht="15.75" customHeight="1" x14ac:dyDescent="0.5"/>
    <row r="38" spans="32:32" ht="15.75" customHeight="1" x14ac:dyDescent="0.5"/>
    <row r="39" spans="32:32" ht="15.75" customHeight="1" x14ac:dyDescent="0.5"/>
    <row r="40" spans="32:32" ht="15.75" customHeight="1" x14ac:dyDescent="0.5"/>
    <row r="41" spans="32:32" ht="15.75" customHeight="1" x14ac:dyDescent="0.5"/>
    <row r="42" spans="32:32" ht="15.75" customHeight="1" x14ac:dyDescent="0.5"/>
    <row r="43" spans="32:32" ht="15.75" customHeight="1" x14ac:dyDescent="0.5"/>
    <row r="44" spans="32:32" ht="15.75" customHeight="1" x14ac:dyDescent="0.5"/>
    <row r="45" spans="32:32" ht="15.75" customHeight="1" x14ac:dyDescent="0.5"/>
    <row r="46" spans="32:32" ht="15.75" customHeight="1" x14ac:dyDescent="0.5"/>
    <row r="47" spans="32:32" ht="15.75" customHeight="1" x14ac:dyDescent="0.5">
      <c r="AF47" s="1073"/>
    </row>
    <row r="48" spans="32:32" ht="15.75" customHeight="1" x14ac:dyDescent="0.5"/>
    <row r="49" ht="15.75" customHeight="1" x14ac:dyDescent="0.5"/>
    <row r="50" ht="15.75" customHeight="1" x14ac:dyDescent="0.5"/>
    <row r="51" ht="15.75" customHeight="1" x14ac:dyDescent="0.5"/>
    <row r="52" ht="15.75" customHeight="1" x14ac:dyDescent="0.5"/>
    <row r="53" ht="15.75" customHeight="1" x14ac:dyDescent="0.5"/>
    <row r="54" ht="15.75" customHeight="1" x14ac:dyDescent="0.5"/>
    <row r="55" ht="15.75" customHeight="1" x14ac:dyDescent="0.5"/>
    <row r="56" ht="15.75" customHeight="1" x14ac:dyDescent="0.5"/>
    <row r="57" ht="15.75" customHeight="1" x14ac:dyDescent="0.5"/>
    <row r="58" ht="15.75" customHeight="1" x14ac:dyDescent="0.5"/>
    <row r="59" ht="15.75" customHeight="1" x14ac:dyDescent="0.5"/>
    <row r="60" ht="15.75" customHeight="1" x14ac:dyDescent="0.5"/>
    <row r="61" ht="15.75" customHeight="1" x14ac:dyDescent="0.5"/>
    <row r="62" ht="15.75" customHeight="1" x14ac:dyDescent="0.5"/>
    <row r="63" ht="15.75" customHeight="1" x14ac:dyDescent="0.5"/>
    <row r="64" ht="15.75" customHeight="1" x14ac:dyDescent="0.5"/>
    <row r="65" ht="15.75" customHeight="1" x14ac:dyDescent="0.5"/>
    <row r="66" ht="15.75" customHeight="1" x14ac:dyDescent="0.5"/>
    <row r="67" ht="15.75" customHeight="1" x14ac:dyDescent="0.5"/>
    <row r="68" ht="15.75" customHeight="1" x14ac:dyDescent="0.5"/>
    <row r="69" ht="15.75" customHeight="1" x14ac:dyDescent="0.5"/>
    <row r="70" ht="15.75" customHeight="1" x14ac:dyDescent="0.5"/>
    <row r="71" ht="15.75" customHeight="1" x14ac:dyDescent="0.5"/>
    <row r="72" ht="15.75" customHeight="1" x14ac:dyDescent="0.5"/>
    <row r="73" ht="15.75" customHeight="1" x14ac:dyDescent="0.5"/>
    <row r="74" ht="15.75" customHeight="1" x14ac:dyDescent="0.5"/>
    <row r="75" ht="15.75" customHeight="1" x14ac:dyDescent="0.5"/>
    <row r="76" ht="15.75" customHeight="1" x14ac:dyDescent="0.5"/>
    <row r="77" ht="15.75" customHeight="1" x14ac:dyDescent="0.5"/>
    <row r="78" ht="15.75" customHeight="1" x14ac:dyDescent="0.5"/>
    <row r="79" ht="15.75" customHeight="1" x14ac:dyDescent="0.5"/>
    <row r="80" ht="15.75" customHeight="1" x14ac:dyDescent="0.5"/>
    <row r="81" ht="15.75" customHeight="1" x14ac:dyDescent="0.5"/>
    <row r="82" ht="15.75" customHeight="1" x14ac:dyDescent="0.5"/>
    <row r="83" ht="15.75" customHeight="1" x14ac:dyDescent="0.5"/>
    <row r="84" ht="15.75" customHeight="1" x14ac:dyDescent="0.5"/>
    <row r="85" ht="15.75" customHeight="1" x14ac:dyDescent="0.5"/>
    <row r="86" ht="15.75" customHeight="1" x14ac:dyDescent="0.5"/>
    <row r="87" ht="15.75" customHeight="1" x14ac:dyDescent="0.5"/>
    <row r="88" ht="15.75" customHeight="1" x14ac:dyDescent="0.5"/>
    <row r="89" ht="15.75" customHeight="1" x14ac:dyDescent="0.5"/>
    <row r="90" ht="15.75" customHeight="1" x14ac:dyDescent="0.5"/>
    <row r="91" ht="15.75" customHeight="1" x14ac:dyDescent="0.5"/>
    <row r="92" ht="15.75" customHeight="1" x14ac:dyDescent="0.5"/>
    <row r="93" ht="15.75" customHeight="1" x14ac:dyDescent="0.5"/>
    <row r="94" ht="15.75" customHeight="1" x14ac:dyDescent="0.5"/>
    <row r="95" ht="15.75" customHeight="1" x14ac:dyDescent="0.5"/>
    <row r="96" ht="15.75" customHeight="1" x14ac:dyDescent="0.5"/>
    <row r="97" ht="15.75" customHeight="1" x14ac:dyDescent="0.5"/>
    <row r="98" ht="15.75" customHeight="1" x14ac:dyDescent="0.5"/>
    <row r="99" ht="15.75" customHeight="1" x14ac:dyDescent="0.5"/>
    <row r="100" ht="15.75" customHeight="1" x14ac:dyDescent="0.5"/>
    <row r="101" ht="15.75" customHeight="1" x14ac:dyDescent="0.5"/>
    <row r="102" ht="15.75" customHeight="1" x14ac:dyDescent="0.5"/>
    <row r="103" ht="15.75" customHeight="1" x14ac:dyDescent="0.5"/>
    <row r="104" ht="15.75" customHeight="1" x14ac:dyDescent="0.5"/>
    <row r="105" ht="15.75" customHeight="1" x14ac:dyDescent="0.5"/>
    <row r="106" ht="15.75" customHeight="1" x14ac:dyDescent="0.5"/>
    <row r="107" ht="15.75" customHeight="1" x14ac:dyDescent="0.5"/>
    <row r="108" ht="15.75" customHeight="1" x14ac:dyDescent="0.5"/>
    <row r="109" ht="15.75" customHeight="1" x14ac:dyDescent="0.5"/>
    <row r="110" ht="15.75" customHeight="1" x14ac:dyDescent="0.5"/>
    <row r="111" ht="15.75" customHeight="1" x14ac:dyDescent="0.5"/>
    <row r="112" ht="15.75" customHeight="1" x14ac:dyDescent="0.5"/>
    <row r="113" ht="15.75" customHeight="1" x14ac:dyDescent="0.5"/>
    <row r="114" ht="15.75" customHeight="1" x14ac:dyDescent="0.5"/>
    <row r="115" ht="15.75" customHeight="1" x14ac:dyDescent="0.5"/>
    <row r="116" ht="15.75" customHeight="1" x14ac:dyDescent="0.5"/>
    <row r="117" ht="15.75" customHeight="1" x14ac:dyDescent="0.5"/>
    <row r="118" ht="15.75" customHeight="1" x14ac:dyDescent="0.5"/>
    <row r="119" ht="15.75" customHeight="1" x14ac:dyDescent="0.5"/>
    <row r="120" ht="15.75" customHeight="1" x14ac:dyDescent="0.5"/>
    <row r="121" ht="15.75" customHeight="1" x14ac:dyDescent="0.5"/>
    <row r="122" ht="15.75" customHeight="1" x14ac:dyDescent="0.5"/>
    <row r="123" ht="15.75" customHeight="1" x14ac:dyDescent="0.5"/>
    <row r="124" ht="15.75" customHeight="1" x14ac:dyDescent="0.5"/>
    <row r="125" ht="15.75" customHeight="1" x14ac:dyDescent="0.5"/>
    <row r="126" ht="15.75" customHeight="1" x14ac:dyDescent="0.5"/>
    <row r="127" ht="15.75" customHeight="1" x14ac:dyDescent="0.5"/>
    <row r="128" ht="15.75" customHeight="1" x14ac:dyDescent="0.5"/>
    <row r="129" ht="15.75" customHeight="1" x14ac:dyDescent="0.5"/>
    <row r="130" ht="15.75" customHeight="1" x14ac:dyDescent="0.5"/>
    <row r="131" ht="15.75" customHeight="1" x14ac:dyDescent="0.5"/>
    <row r="132" ht="15.75" customHeight="1" x14ac:dyDescent="0.5"/>
    <row r="133" ht="15.75" customHeight="1" x14ac:dyDescent="0.5"/>
    <row r="134" ht="15.75" customHeight="1" x14ac:dyDescent="0.5"/>
    <row r="135" ht="15.75" customHeight="1" x14ac:dyDescent="0.5"/>
    <row r="136" ht="15.75" customHeight="1" x14ac:dyDescent="0.5"/>
    <row r="137" ht="15.75" customHeight="1" x14ac:dyDescent="0.5"/>
    <row r="138" ht="15.75" customHeight="1" x14ac:dyDescent="0.5"/>
    <row r="139" ht="15.75" customHeight="1" x14ac:dyDescent="0.5"/>
    <row r="140" ht="15.75" customHeight="1" x14ac:dyDescent="0.5"/>
    <row r="141" ht="15.75" customHeight="1" x14ac:dyDescent="0.5"/>
    <row r="142" ht="15.75" customHeight="1" x14ac:dyDescent="0.5"/>
    <row r="143" ht="15.75" customHeight="1" x14ac:dyDescent="0.5"/>
    <row r="144" ht="15.75" customHeight="1" x14ac:dyDescent="0.5"/>
    <row r="145" ht="15.75" customHeight="1" x14ac:dyDescent="0.5"/>
    <row r="146" ht="15.75" customHeight="1" x14ac:dyDescent="0.5"/>
    <row r="147" ht="15.75" customHeight="1" x14ac:dyDescent="0.5"/>
    <row r="148" ht="15.75" customHeight="1" x14ac:dyDescent="0.5"/>
    <row r="149" ht="15.75" customHeight="1" x14ac:dyDescent="0.5"/>
    <row r="150" ht="15.75" customHeight="1" x14ac:dyDescent="0.5"/>
    <row r="151" ht="15.75" customHeight="1" x14ac:dyDescent="0.5"/>
    <row r="152" ht="15.75" customHeight="1" x14ac:dyDescent="0.5"/>
    <row r="153" ht="15.75" customHeight="1" x14ac:dyDescent="0.5"/>
    <row r="154" ht="15.75" customHeight="1" x14ac:dyDescent="0.5"/>
    <row r="155" ht="15.75" customHeight="1" x14ac:dyDescent="0.5"/>
    <row r="156" ht="15.75" customHeight="1" x14ac:dyDescent="0.5"/>
    <row r="157" ht="15.75" customHeight="1" x14ac:dyDescent="0.5"/>
    <row r="158" ht="15.75" customHeight="1" x14ac:dyDescent="0.5"/>
    <row r="159" ht="15.75" customHeight="1" x14ac:dyDescent="0.5"/>
    <row r="160" ht="15.75" customHeight="1" x14ac:dyDescent="0.5"/>
    <row r="161" ht="15.75" customHeight="1" x14ac:dyDescent="0.5"/>
    <row r="162" ht="15.75" customHeight="1" x14ac:dyDescent="0.5"/>
    <row r="163" ht="15.75" customHeight="1" x14ac:dyDescent="0.5"/>
    <row r="164" ht="15.75" customHeight="1" x14ac:dyDescent="0.5"/>
    <row r="165" ht="15.75" customHeight="1" x14ac:dyDescent="0.5"/>
    <row r="166" ht="15.75" customHeight="1" x14ac:dyDescent="0.5"/>
    <row r="167" ht="15.75" customHeight="1" x14ac:dyDescent="0.5"/>
    <row r="168" ht="15.75" customHeight="1" x14ac:dyDescent="0.5"/>
    <row r="169" ht="15.75" customHeight="1" x14ac:dyDescent="0.5"/>
    <row r="170" ht="15.75" customHeight="1" x14ac:dyDescent="0.5"/>
    <row r="171" ht="15.75" customHeight="1" x14ac:dyDescent="0.5"/>
    <row r="172" ht="15.75" customHeight="1" x14ac:dyDescent="0.5"/>
    <row r="173" ht="15.75" customHeight="1" x14ac:dyDescent="0.5"/>
    <row r="174" ht="15.75" customHeight="1" x14ac:dyDescent="0.5"/>
    <row r="175" ht="15.75" customHeight="1" x14ac:dyDescent="0.5"/>
    <row r="176" ht="15.75" customHeight="1" x14ac:dyDescent="0.5"/>
    <row r="177" ht="15.75" customHeight="1" x14ac:dyDescent="0.5"/>
    <row r="178" ht="15.75" customHeight="1" x14ac:dyDescent="0.5"/>
    <row r="179" ht="15.75" customHeight="1" x14ac:dyDescent="0.5"/>
    <row r="180" ht="15.75" customHeight="1" x14ac:dyDescent="0.5"/>
    <row r="181" ht="15.75" customHeight="1" x14ac:dyDescent="0.5"/>
    <row r="182" ht="15.75" customHeight="1" x14ac:dyDescent="0.5"/>
    <row r="183" ht="15.75" customHeight="1" x14ac:dyDescent="0.5"/>
    <row r="184" ht="15.75" customHeight="1" x14ac:dyDescent="0.5"/>
    <row r="185" ht="15.75" customHeight="1" x14ac:dyDescent="0.5"/>
    <row r="186" ht="15.75" customHeight="1" x14ac:dyDescent="0.5"/>
    <row r="187" ht="15.75" customHeight="1" x14ac:dyDescent="0.5"/>
    <row r="188" ht="15.75" customHeight="1" x14ac:dyDescent="0.5"/>
    <row r="189" ht="15.75" customHeight="1" x14ac:dyDescent="0.5"/>
    <row r="190" ht="15.75" customHeight="1" x14ac:dyDescent="0.5"/>
    <row r="191" ht="15.75" customHeight="1" x14ac:dyDescent="0.5"/>
    <row r="192" ht="15.75" customHeight="1" x14ac:dyDescent="0.5"/>
    <row r="193" ht="15.75" customHeight="1" x14ac:dyDescent="0.5"/>
    <row r="194" ht="15.75" customHeight="1" x14ac:dyDescent="0.5"/>
    <row r="195" ht="15.75" customHeight="1" x14ac:dyDescent="0.5"/>
    <row r="196" ht="15.75" customHeight="1" x14ac:dyDescent="0.5"/>
    <row r="197" ht="15.75" customHeight="1" x14ac:dyDescent="0.5"/>
    <row r="198" ht="15.75" customHeight="1" x14ac:dyDescent="0.5"/>
    <row r="199" ht="15.75" customHeight="1" x14ac:dyDescent="0.5"/>
    <row r="200" ht="15.75" customHeight="1" x14ac:dyDescent="0.5"/>
    <row r="201" ht="15.75" customHeight="1" x14ac:dyDescent="0.5"/>
    <row r="202" ht="15.75" customHeight="1" x14ac:dyDescent="0.5"/>
    <row r="203" ht="15.75" customHeight="1" x14ac:dyDescent="0.5"/>
    <row r="204" ht="15.75" customHeight="1" x14ac:dyDescent="0.5"/>
    <row r="205" ht="15.75" customHeight="1" x14ac:dyDescent="0.5"/>
    <row r="206" ht="15.75" customHeight="1" x14ac:dyDescent="0.5"/>
    <row r="207" ht="15.75" customHeight="1" x14ac:dyDescent="0.5"/>
    <row r="208" ht="15.75" customHeight="1" x14ac:dyDescent="0.5"/>
    <row r="209" ht="15.75" customHeight="1" x14ac:dyDescent="0.5"/>
    <row r="210" ht="15.75" customHeight="1" x14ac:dyDescent="0.5"/>
    <row r="211" ht="15.75" customHeight="1" x14ac:dyDescent="0.5"/>
    <row r="212" ht="15.75" customHeight="1" x14ac:dyDescent="0.5"/>
    <row r="213" ht="15.75" customHeight="1" x14ac:dyDescent="0.5"/>
    <row r="214" ht="15.75" customHeight="1" x14ac:dyDescent="0.5"/>
    <row r="215" ht="15.75" customHeight="1" x14ac:dyDescent="0.5"/>
    <row r="216" ht="15.75" customHeight="1" x14ac:dyDescent="0.5"/>
    <row r="217" ht="15.75" customHeight="1" x14ac:dyDescent="0.5"/>
    <row r="218" ht="15.75" customHeight="1" x14ac:dyDescent="0.5"/>
    <row r="219" ht="15.75" customHeight="1" x14ac:dyDescent="0.5"/>
    <row r="220" ht="15.75" customHeight="1" x14ac:dyDescent="0.5"/>
    <row r="221" ht="15.75" customHeight="1" x14ac:dyDescent="0.5"/>
    <row r="222" ht="15.75" customHeight="1" x14ac:dyDescent="0.5"/>
    <row r="223" ht="15.75" customHeight="1" x14ac:dyDescent="0.5"/>
    <row r="224" ht="15.75" customHeight="1" x14ac:dyDescent="0.5"/>
    <row r="225" ht="15.75" customHeight="1" x14ac:dyDescent="0.5"/>
    <row r="226" ht="15.75" customHeight="1" x14ac:dyDescent="0.5"/>
    <row r="227" ht="15.75" customHeight="1" x14ac:dyDescent="0.5"/>
    <row r="228" ht="15.75" customHeight="1" x14ac:dyDescent="0.5"/>
    <row r="229" ht="15.75" customHeight="1" x14ac:dyDescent="0.5"/>
    <row r="230" ht="15.75" customHeight="1" x14ac:dyDescent="0.5"/>
    <row r="231" ht="15.75" customHeight="1" x14ac:dyDescent="0.5"/>
    <row r="232" ht="15.75" customHeight="1" x14ac:dyDescent="0.5"/>
    <row r="233" ht="15.75" customHeight="1" x14ac:dyDescent="0.5"/>
    <row r="234" ht="15.75" customHeight="1" x14ac:dyDescent="0.5"/>
    <row r="235" ht="15.75" customHeight="1" x14ac:dyDescent="0.5"/>
    <row r="236" ht="15.75" customHeight="1" x14ac:dyDescent="0.5"/>
    <row r="237" ht="15.75" customHeight="1" x14ac:dyDescent="0.5"/>
    <row r="238" ht="15.75" customHeight="1" x14ac:dyDescent="0.5"/>
    <row r="239" ht="15.75" customHeight="1" x14ac:dyDescent="0.5"/>
    <row r="240" ht="15.75" customHeight="1" x14ac:dyDescent="0.5"/>
    <row r="241" ht="15.75" customHeight="1" x14ac:dyDescent="0.5"/>
    <row r="242" ht="15.75" customHeight="1" x14ac:dyDescent="0.5"/>
    <row r="243" ht="15.75" customHeight="1" x14ac:dyDescent="0.5"/>
    <row r="244" ht="15.75" customHeight="1" x14ac:dyDescent="0.5"/>
    <row r="245" ht="15.75" customHeight="1" x14ac:dyDescent="0.5"/>
    <row r="246" ht="15.75" customHeight="1" x14ac:dyDescent="0.5"/>
    <row r="247" ht="15.75" customHeight="1" x14ac:dyDescent="0.5"/>
    <row r="248" ht="15.75" customHeight="1" x14ac:dyDescent="0.5"/>
    <row r="249" ht="15.75" customHeight="1" x14ac:dyDescent="0.5"/>
    <row r="250" ht="15.75" customHeight="1" x14ac:dyDescent="0.5"/>
    <row r="251" ht="15.75" customHeight="1" x14ac:dyDescent="0.5"/>
    <row r="252" ht="15.75" customHeight="1" x14ac:dyDescent="0.5"/>
    <row r="253" ht="15.75" customHeight="1" x14ac:dyDescent="0.5"/>
    <row r="254" ht="15.75" customHeight="1" x14ac:dyDescent="0.5"/>
    <row r="255" ht="15.75" customHeight="1" x14ac:dyDescent="0.5"/>
    <row r="256" ht="15.75" customHeight="1" x14ac:dyDescent="0.5"/>
    <row r="257" ht="15.75" customHeight="1" x14ac:dyDescent="0.5"/>
    <row r="258" ht="15.75" customHeight="1" x14ac:dyDescent="0.5"/>
    <row r="259" ht="15.75" customHeight="1" x14ac:dyDescent="0.5"/>
    <row r="260" ht="15.75" customHeight="1" x14ac:dyDescent="0.5"/>
    <row r="261" ht="15.75" customHeight="1" x14ac:dyDescent="0.5"/>
    <row r="262" ht="15.75" customHeight="1" x14ac:dyDescent="0.5"/>
    <row r="263" ht="15.75" customHeight="1" x14ac:dyDescent="0.5"/>
    <row r="264" ht="15.75" customHeight="1" x14ac:dyDescent="0.5"/>
    <row r="265" ht="15.75" customHeight="1" x14ac:dyDescent="0.5"/>
    <row r="266" ht="15.75" customHeight="1" x14ac:dyDescent="0.5"/>
    <row r="267" ht="15.75" customHeight="1" x14ac:dyDescent="0.5"/>
    <row r="268" ht="15.75" customHeight="1" x14ac:dyDescent="0.5"/>
    <row r="269" ht="15.75" customHeight="1" x14ac:dyDescent="0.5"/>
    <row r="270" ht="15.75" customHeight="1" x14ac:dyDescent="0.5"/>
    <row r="271" ht="15.75" customHeight="1" x14ac:dyDescent="0.5"/>
    <row r="272" ht="15.75" customHeight="1" x14ac:dyDescent="0.5"/>
    <row r="273" ht="15.75" customHeight="1" x14ac:dyDescent="0.5"/>
    <row r="274" ht="15.75" customHeight="1" x14ac:dyDescent="0.5"/>
    <row r="275" ht="15.75" customHeight="1" x14ac:dyDescent="0.5"/>
    <row r="276" ht="15.75" customHeight="1" x14ac:dyDescent="0.5"/>
    <row r="277" ht="15.75" customHeight="1" x14ac:dyDescent="0.5"/>
    <row r="278" ht="15.75" customHeight="1" x14ac:dyDescent="0.5"/>
    <row r="279" ht="15.75" customHeight="1" x14ac:dyDescent="0.5"/>
    <row r="280" ht="15.75" customHeight="1" x14ac:dyDescent="0.5"/>
    <row r="281" ht="15.75" customHeight="1" x14ac:dyDescent="0.5"/>
    <row r="282" ht="15.75" customHeight="1" x14ac:dyDescent="0.5"/>
    <row r="283" ht="15.75" customHeight="1" x14ac:dyDescent="0.5"/>
    <row r="284" ht="15.75" customHeight="1" x14ac:dyDescent="0.5"/>
    <row r="285" ht="15.75" customHeight="1" x14ac:dyDescent="0.5"/>
    <row r="286" ht="15.75" customHeight="1" x14ac:dyDescent="0.5"/>
    <row r="287" ht="15.75" customHeight="1" x14ac:dyDescent="0.5"/>
    <row r="288" ht="15.75" customHeight="1" x14ac:dyDescent="0.5"/>
    <row r="289" ht="15.75" customHeight="1" x14ac:dyDescent="0.5"/>
    <row r="290" ht="15.75" customHeight="1" x14ac:dyDescent="0.5"/>
    <row r="291" ht="15.75" customHeight="1" x14ac:dyDescent="0.5"/>
    <row r="292" ht="15.75" customHeight="1" x14ac:dyDescent="0.5"/>
    <row r="293" ht="15.75" customHeight="1" x14ac:dyDescent="0.5"/>
    <row r="294" ht="15.75" customHeight="1" x14ac:dyDescent="0.5"/>
    <row r="295" ht="15.75" customHeight="1" x14ac:dyDescent="0.5"/>
    <row r="296" ht="15.75" customHeight="1" x14ac:dyDescent="0.5"/>
    <row r="297" ht="15.75" customHeight="1" x14ac:dyDescent="0.5"/>
    <row r="298" ht="15.75" customHeight="1" x14ac:dyDescent="0.5"/>
    <row r="299" ht="15.75" customHeight="1" x14ac:dyDescent="0.5"/>
    <row r="300" ht="15.75" customHeight="1" x14ac:dyDescent="0.5"/>
    <row r="301" ht="15.75" customHeight="1" x14ac:dyDescent="0.5"/>
    <row r="302" ht="15.75" customHeight="1" x14ac:dyDescent="0.5"/>
    <row r="303" ht="15.75" customHeight="1" x14ac:dyDescent="0.5"/>
    <row r="304" ht="15.75" customHeight="1" x14ac:dyDescent="0.5"/>
    <row r="305" ht="15.75" customHeight="1" x14ac:dyDescent="0.5"/>
    <row r="306" ht="15.75" customHeight="1" x14ac:dyDescent="0.5"/>
    <row r="307" ht="15.75" customHeight="1" x14ac:dyDescent="0.5"/>
    <row r="308" ht="15.75" customHeight="1" x14ac:dyDescent="0.5"/>
    <row r="309" ht="15.75" customHeight="1" x14ac:dyDescent="0.5"/>
    <row r="310" ht="15.75" customHeight="1" x14ac:dyDescent="0.5"/>
    <row r="311" ht="15.75" customHeight="1" x14ac:dyDescent="0.5"/>
    <row r="312" ht="15.75" customHeight="1" x14ac:dyDescent="0.5"/>
    <row r="313" ht="15.75" customHeight="1" x14ac:dyDescent="0.5"/>
    <row r="314" ht="15.75" customHeight="1" x14ac:dyDescent="0.5"/>
    <row r="315" ht="15.75" customHeight="1" x14ac:dyDescent="0.5"/>
    <row r="316" ht="15.75" customHeight="1" x14ac:dyDescent="0.5"/>
    <row r="317" ht="15.75" customHeight="1" x14ac:dyDescent="0.5"/>
    <row r="318" ht="15.75" customHeight="1" x14ac:dyDescent="0.5"/>
    <row r="319" ht="15.75" customHeight="1" x14ac:dyDescent="0.5"/>
    <row r="320" ht="15.75" customHeight="1" x14ac:dyDescent="0.5"/>
    <row r="321" ht="15.75" customHeight="1" x14ac:dyDescent="0.5"/>
    <row r="322" ht="15.75" customHeight="1" x14ac:dyDescent="0.5"/>
    <row r="323" ht="15.75" customHeight="1" x14ac:dyDescent="0.5"/>
    <row r="324" ht="15.75" customHeight="1" x14ac:dyDescent="0.5"/>
    <row r="325" ht="15.75" customHeight="1" x14ac:dyDescent="0.5"/>
    <row r="326" ht="15.75" customHeight="1" x14ac:dyDescent="0.5"/>
    <row r="327" ht="15.75" customHeight="1" x14ac:dyDescent="0.5"/>
    <row r="328" ht="15.75" customHeight="1" x14ac:dyDescent="0.5"/>
    <row r="329" ht="15.75" customHeight="1" x14ac:dyDescent="0.5"/>
    <row r="330" ht="15.75" customHeight="1" x14ac:dyDescent="0.5"/>
    <row r="331" ht="15.75" customHeight="1" x14ac:dyDescent="0.5"/>
    <row r="332" ht="15.75" customHeight="1" x14ac:dyDescent="0.5"/>
    <row r="333" ht="15.75" customHeight="1" x14ac:dyDescent="0.5"/>
    <row r="334" ht="15.75" customHeight="1" x14ac:dyDescent="0.5"/>
    <row r="335" ht="15.75" customHeight="1" x14ac:dyDescent="0.5"/>
    <row r="336" ht="15.75" customHeight="1" x14ac:dyDescent="0.5"/>
    <row r="337" ht="15.75" customHeight="1" x14ac:dyDescent="0.5"/>
    <row r="338" ht="15.75" customHeight="1" x14ac:dyDescent="0.5"/>
    <row r="339" ht="15.75" customHeight="1" x14ac:dyDescent="0.5"/>
    <row r="340" ht="15.75" customHeight="1" x14ac:dyDescent="0.5"/>
    <row r="341" ht="15.75" customHeight="1" x14ac:dyDescent="0.5"/>
    <row r="342" ht="15.75" customHeight="1" x14ac:dyDescent="0.5"/>
    <row r="343" ht="15.75" customHeight="1" x14ac:dyDescent="0.5"/>
    <row r="344" ht="15.75" customHeight="1" x14ac:dyDescent="0.5"/>
    <row r="345" ht="15.75" customHeight="1" x14ac:dyDescent="0.5"/>
    <row r="346" ht="15.75" customHeight="1" x14ac:dyDescent="0.5"/>
    <row r="347" ht="15.75" customHeight="1" x14ac:dyDescent="0.5"/>
    <row r="348" ht="15.75" customHeight="1" x14ac:dyDescent="0.5"/>
    <row r="349" ht="15.75" customHeight="1" x14ac:dyDescent="0.5"/>
    <row r="350" ht="15.75" customHeight="1" x14ac:dyDescent="0.5"/>
    <row r="351" ht="15.75" customHeight="1" x14ac:dyDescent="0.5"/>
    <row r="352" ht="15.75" customHeight="1" x14ac:dyDescent="0.5"/>
    <row r="353" ht="15.75" customHeight="1" x14ac:dyDescent="0.5"/>
    <row r="354" ht="15.75" customHeight="1" x14ac:dyDescent="0.5"/>
    <row r="355" ht="15.75" customHeight="1" x14ac:dyDescent="0.5"/>
    <row r="356" ht="15.75" customHeight="1" x14ac:dyDescent="0.5"/>
    <row r="357" ht="15.75" customHeight="1" x14ac:dyDescent="0.5"/>
    <row r="358" ht="15.75" customHeight="1" x14ac:dyDescent="0.5"/>
    <row r="359" ht="15.75" customHeight="1" x14ac:dyDescent="0.5"/>
    <row r="360" ht="15.75" customHeight="1" x14ac:dyDescent="0.5"/>
    <row r="361" ht="15.75" customHeight="1" x14ac:dyDescent="0.5"/>
    <row r="362" ht="15.75" customHeight="1" x14ac:dyDescent="0.5"/>
    <row r="363" ht="15.75" customHeight="1" x14ac:dyDescent="0.5"/>
    <row r="364" ht="15.75" customHeight="1" x14ac:dyDescent="0.5"/>
    <row r="365" ht="15.75" customHeight="1" x14ac:dyDescent="0.5"/>
    <row r="366" ht="15.75" customHeight="1" x14ac:dyDescent="0.5"/>
    <row r="367" ht="15.75" customHeight="1" x14ac:dyDescent="0.5"/>
    <row r="368" ht="15.75" customHeight="1" x14ac:dyDescent="0.5"/>
    <row r="369" ht="15.75" customHeight="1" x14ac:dyDescent="0.5"/>
    <row r="370" ht="15.75" customHeight="1" x14ac:dyDescent="0.5"/>
    <row r="371" ht="15.75" customHeight="1" x14ac:dyDescent="0.5"/>
    <row r="372" ht="15.75" customHeight="1" x14ac:dyDescent="0.5"/>
    <row r="373" ht="15.75" customHeight="1" x14ac:dyDescent="0.5"/>
    <row r="374" ht="15.75" customHeight="1" x14ac:dyDescent="0.5"/>
    <row r="375" ht="15.75" customHeight="1" x14ac:dyDescent="0.5"/>
    <row r="376" ht="15.75" customHeight="1" x14ac:dyDescent="0.5"/>
    <row r="377" ht="15.75" customHeight="1" x14ac:dyDescent="0.5"/>
    <row r="378" ht="15.75" customHeight="1" x14ac:dyDescent="0.5"/>
    <row r="379" ht="15.75" customHeight="1" x14ac:dyDescent="0.5"/>
    <row r="380" ht="15.75" customHeight="1" x14ac:dyDescent="0.5"/>
    <row r="381" ht="15.75" customHeight="1" x14ac:dyDescent="0.5"/>
    <row r="382" ht="15.75" customHeight="1" x14ac:dyDescent="0.5"/>
    <row r="383" ht="15.75" customHeight="1" x14ac:dyDescent="0.5"/>
    <row r="384" ht="15.75" customHeight="1" x14ac:dyDescent="0.5"/>
    <row r="385" ht="15.75" customHeight="1" x14ac:dyDescent="0.5"/>
    <row r="386" ht="15.75" customHeight="1" x14ac:dyDescent="0.5"/>
    <row r="387" ht="15.75" customHeight="1" x14ac:dyDescent="0.5"/>
    <row r="388" ht="15.75" customHeight="1" x14ac:dyDescent="0.5"/>
    <row r="389" ht="15.75" customHeight="1" x14ac:dyDescent="0.5"/>
    <row r="390" ht="15.75" customHeight="1" x14ac:dyDescent="0.5"/>
    <row r="391" ht="15.75" customHeight="1" x14ac:dyDescent="0.5"/>
    <row r="392" ht="15.75" customHeight="1" x14ac:dyDescent="0.5"/>
    <row r="393" ht="15.75" customHeight="1" x14ac:dyDescent="0.5"/>
    <row r="394" ht="15.75" customHeight="1" x14ac:dyDescent="0.5"/>
    <row r="395" ht="15.75" customHeight="1" x14ac:dyDescent="0.5"/>
    <row r="396" ht="15.75" customHeight="1" x14ac:dyDescent="0.5"/>
    <row r="397" ht="15.75" customHeight="1" x14ac:dyDescent="0.5"/>
    <row r="398" ht="15.75" customHeight="1" x14ac:dyDescent="0.5"/>
    <row r="399" ht="15.75" customHeight="1" x14ac:dyDescent="0.5"/>
    <row r="400" ht="15.75" customHeight="1" x14ac:dyDescent="0.5"/>
    <row r="401" ht="15.75" customHeight="1" x14ac:dyDescent="0.5"/>
    <row r="402" ht="15.75" customHeight="1" x14ac:dyDescent="0.5"/>
    <row r="403" ht="15.75" customHeight="1" x14ac:dyDescent="0.5"/>
    <row r="404" ht="15.75" customHeight="1" x14ac:dyDescent="0.5"/>
    <row r="405" ht="15.75" customHeight="1" x14ac:dyDescent="0.5"/>
    <row r="406" ht="15.75" customHeight="1" x14ac:dyDescent="0.5"/>
    <row r="407" ht="15.75" customHeight="1" x14ac:dyDescent="0.5"/>
    <row r="408" ht="15.75" customHeight="1" x14ac:dyDescent="0.5"/>
    <row r="409" ht="15.75" customHeight="1" x14ac:dyDescent="0.5"/>
    <row r="410" ht="15.75" customHeight="1" x14ac:dyDescent="0.5"/>
    <row r="411" ht="15.75" customHeight="1" x14ac:dyDescent="0.5"/>
    <row r="412" ht="15.75" customHeight="1" x14ac:dyDescent="0.5"/>
    <row r="413" ht="15.75" customHeight="1" x14ac:dyDescent="0.5"/>
    <row r="414" ht="15.75" customHeight="1" x14ac:dyDescent="0.5"/>
    <row r="415" ht="15.75" customHeight="1" x14ac:dyDescent="0.5"/>
    <row r="416" ht="15.75" customHeight="1" x14ac:dyDescent="0.5"/>
    <row r="417" ht="15.75" customHeight="1" x14ac:dyDescent="0.5"/>
    <row r="418" ht="15.75" customHeight="1" x14ac:dyDescent="0.5"/>
    <row r="419" ht="15.75" customHeight="1" x14ac:dyDescent="0.5"/>
    <row r="420" ht="15.75" customHeight="1" x14ac:dyDescent="0.5"/>
    <row r="421" ht="15.75" customHeight="1" x14ac:dyDescent="0.5"/>
    <row r="422" ht="15.75" customHeight="1" x14ac:dyDescent="0.5"/>
    <row r="423" ht="15.75" customHeight="1" x14ac:dyDescent="0.5"/>
    <row r="424" ht="15.75" customHeight="1" x14ac:dyDescent="0.5"/>
    <row r="425" ht="15.75" customHeight="1" x14ac:dyDescent="0.5"/>
    <row r="426" ht="15.75" customHeight="1" x14ac:dyDescent="0.5"/>
    <row r="427" ht="15.75" customHeight="1" x14ac:dyDescent="0.5"/>
    <row r="428" ht="15.75" customHeight="1" x14ac:dyDescent="0.5"/>
    <row r="429" ht="15.75" customHeight="1" x14ac:dyDescent="0.5"/>
    <row r="430" ht="15.75" customHeight="1" x14ac:dyDescent="0.5"/>
    <row r="431" ht="15.75" customHeight="1" x14ac:dyDescent="0.5"/>
    <row r="432" ht="15.75" customHeight="1" x14ac:dyDescent="0.5"/>
    <row r="433" ht="15.75" customHeight="1" x14ac:dyDescent="0.5"/>
    <row r="434" ht="15.75" customHeight="1" x14ac:dyDescent="0.5"/>
    <row r="435" ht="15.75" customHeight="1" x14ac:dyDescent="0.5"/>
    <row r="436" ht="15.75" customHeight="1" x14ac:dyDescent="0.5"/>
    <row r="437" ht="15.75" customHeight="1" x14ac:dyDescent="0.5"/>
    <row r="438" ht="15.75" customHeight="1" x14ac:dyDescent="0.5"/>
    <row r="439" ht="15.75" customHeight="1" x14ac:dyDescent="0.5"/>
    <row r="440" ht="15.75" customHeight="1" x14ac:dyDescent="0.5"/>
    <row r="441" ht="15.75" customHeight="1" x14ac:dyDescent="0.5"/>
    <row r="442" ht="15.75" customHeight="1" x14ac:dyDescent="0.5"/>
    <row r="443" ht="15.75" customHeight="1" x14ac:dyDescent="0.5"/>
    <row r="444" ht="15.75" customHeight="1" x14ac:dyDescent="0.5"/>
    <row r="445" ht="15.75" customHeight="1" x14ac:dyDescent="0.5"/>
    <row r="446" ht="15.75" customHeight="1" x14ac:dyDescent="0.5"/>
    <row r="447" ht="15.75" customHeight="1" x14ac:dyDescent="0.5"/>
    <row r="448" ht="15.75" customHeight="1" x14ac:dyDescent="0.5"/>
    <row r="449" ht="15.75" customHeight="1" x14ac:dyDescent="0.5"/>
    <row r="450" ht="15.75" customHeight="1" x14ac:dyDescent="0.5"/>
    <row r="451" ht="15.75" customHeight="1" x14ac:dyDescent="0.5"/>
    <row r="452" ht="15.75" customHeight="1" x14ac:dyDescent="0.5"/>
    <row r="453" ht="15.75" customHeight="1" x14ac:dyDescent="0.5"/>
    <row r="454" ht="15.75" customHeight="1" x14ac:dyDescent="0.5"/>
    <row r="455" ht="15.75" customHeight="1" x14ac:dyDescent="0.5"/>
    <row r="456" ht="15.75" customHeight="1" x14ac:dyDescent="0.5"/>
    <row r="457" ht="15.75" customHeight="1" x14ac:dyDescent="0.5"/>
    <row r="458" ht="15.75" customHeight="1" x14ac:dyDescent="0.5"/>
    <row r="459" ht="15.75" customHeight="1" x14ac:dyDescent="0.5"/>
    <row r="460" ht="15.75" customHeight="1" x14ac:dyDescent="0.5"/>
    <row r="461" ht="15.75" customHeight="1" x14ac:dyDescent="0.5"/>
    <row r="462" ht="15.75" customHeight="1" x14ac:dyDescent="0.5"/>
    <row r="463" ht="15.75" customHeight="1" x14ac:dyDescent="0.5"/>
    <row r="464" ht="15.75" customHeight="1" x14ac:dyDescent="0.5"/>
    <row r="465" ht="15.75" customHeight="1" x14ac:dyDescent="0.5"/>
    <row r="466" ht="15.75" customHeight="1" x14ac:dyDescent="0.5"/>
    <row r="467" ht="15.75" customHeight="1" x14ac:dyDescent="0.5"/>
    <row r="468" ht="15.75" customHeight="1" x14ac:dyDescent="0.5"/>
    <row r="469" ht="15.75" customHeight="1" x14ac:dyDescent="0.5"/>
    <row r="470" ht="15.75" customHeight="1" x14ac:dyDescent="0.5"/>
    <row r="471" ht="15.75" customHeight="1" x14ac:dyDescent="0.5"/>
    <row r="472" ht="15.75" customHeight="1" x14ac:dyDescent="0.5"/>
    <row r="473" ht="15.75" customHeight="1" x14ac:dyDescent="0.5"/>
    <row r="474" ht="15.75" customHeight="1" x14ac:dyDescent="0.5"/>
    <row r="475" ht="15.75" customHeight="1" x14ac:dyDescent="0.5"/>
    <row r="476" ht="15.75" customHeight="1" x14ac:dyDescent="0.5"/>
    <row r="477" ht="15.75" customHeight="1" x14ac:dyDescent="0.5"/>
    <row r="478" ht="15.75" customHeight="1" x14ac:dyDescent="0.5"/>
    <row r="479" ht="15.75" customHeight="1" x14ac:dyDescent="0.5"/>
    <row r="480" ht="15.75" customHeight="1" x14ac:dyDescent="0.5"/>
    <row r="481" ht="15.75" customHeight="1" x14ac:dyDescent="0.5"/>
    <row r="482" ht="15.75" customHeight="1" x14ac:dyDescent="0.5"/>
    <row r="483" ht="15.75" customHeight="1" x14ac:dyDescent="0.5"/>
    <row r="484" ht="15.75" customHeight="1" x14ac:dyDescent="0.5"/>
    <row r="485" ht="15.75" customHeight="1" x14ac:dyDescent="0.5"/>
    <row r="486" ht="15.75" customHeight="1" x14ac:dyDescent="0.5"/>
    <row r="487" ht="15.75" customHeight="1" x14ac:dyDescent="0.5"/>
    <row r="488" ht="15.75" customHeight="1" x14ac:dyDescent="0.5"/>
    <row r="489" ht="15.75" customHeight="1" x14ac:dyDescent="0.5"/>
    <row r="490" ht="15.75" customHeight="1" x14ac:dyDescent="0.5"/>
    <row r="491" ht="15.75" customHeight="1" x14ac:dyDescent="0.5"/>
    <row r="492" ht="15.75" customHeight="1" x14ac:dyDescent="0.5"/>
    <row r="493" ht="15.75" customHeight="1" x14ac:dyDescent="0.5"/>
    <row r="494" ht="15.75" customHeight="1" x14ac:dyDescent="0.5"/>
    <row r="495" ht="15.75" customHeight="1" x14ac:dyDescent="0.5"/>
    <row r="496" ht="15.75" customHeight="1" x14ac:dyDescent="0.5"/>
    <row r="497" ht="15.75" customHeight="1" x14ac:dyDescent="0.5"/>
    <row r="498" ht="15.75" customHeight="1" x14ac:dyDescent="0.5"/>
    <row r="499" ht="15.75" customHeight="1" x14ac:dyDescent="0.5"/>
    <row r="500" ht="15.75" customHeight="1" x14ac:dyDescent="0.5"/>
    <row r="501" ht="15.75" customHeight="1" x14ac:dyDescent="0.5"/>
    <row r="502" ht="15.75" customHeight="1" x14ac:dyDescent="0.5"/>
    <row r="503" ht="15.75" customHeight="1" x14ac:dyDescent="0.5"/>
    <row r="504" ht="15.75" customHeight="1" x14ac:dyDescent="0.5"/>
    <row r="505" ht="15.75" customHeight="1" x14ac:dyDescent="0.5"/>
    <row r="506" ht="15.75" customHeight="1" x14ac:dyDescent="0.5"/>
    <row r="507" ht="15.75" customHeight="1" x14ac:dyDescent="0.5"/>
    <row r="508" ht="15.75" customHeight="1" x14ac:dyDescent="0.5"/>
    <row r="509" ht="15.75" customHeight="1" x14ac:dyDescent="0.5"/>
    <row r="510" ht="15.75" customHeight="1" x14ac:dyDescent="0.5"/>
    <row r="511" ht="15.75" customHeight="1" x14ac:dyDescent="0.5"/>
    <row r="512" ht="15.75" customHeight="1" x14ac:dyDescent="0.5"/>
    <row r="513" ht="15.75" customHeight="1" x14ac:dyDescent="0.5"/>
    <row r="514" ht="15.75" customHeight="1" x14ac:dyDescent="0.5"/>
    <row r="515" ht="15.75" customHeight="1" x14ac:dyDescent="0.5"/>
    <row r="516" ht="15.75" customHeight="1" x14ac:dyDescent="0.5"/>
    <row r="517" ht="15.75" customHeight="1" x14ac:dyDescent="0.5"/>
    <row r="518" ht="15.75" customHeight="1" x14ac:dyDescent="0.5"/>
    <row r="519" ht="15.75" customHeight="1" x14ac:dyDescent="0.5"/>
    <row r="520" ht="15.75" customHeight="1" x14ac:dyDescent="0.5"/>
    <row r="521" ht="15.75" customHeight="1" x14ac:dyDescent="0.5"/>
    <row r="522" ht="15.75" customHeight="1" x14ac:dyDescent="0.5"/>
    <row r="523" ht="15.75" customHeight="1" x14ac:dyDescent="0.5"/>
    <row r="524" ht="15.75" customHeight="1" x14ac:dyDescent="0.5"/>
    <row r="525" ht="15.75" customHeight="1" x14ac:dyDescent="0.5"/>
    <row r="526" ht="15.75" customHeight="1" x14ac:dyDescent="0.5"/>
    <row r="527" ht="15.75" customHeight="1" x14ac:dyDescent="0.5"/>
    <row r="528" ht="15.75" customHeight="1" x14ac:dyDescent="0.5"/>
    <row r="529" ht="15.75" customHeight="1" x14ac:dyDescent="0.5"/>
    <row r="530" ht="15.75" customHeight="1" x14ac:dyDescent="0.5"/>
    <row r="531" ht="15.75" customHeight="1" x14ac:dyDescent="0.5"/>
    <row r="532" ht="15.75" customHeight="1" x14ac:dyDescent="0.5"/>
    <row r="533" ht="15.75" customHeight="1" x14ac:dyDescent="0.5"/>
    <row r="534" ht="15.75" customHeight="1" x14ac:dyDescent="0.5"/>
    <row r="535" ht="15.75" customHeight="1" x14ac:dyDescent="0.5"/>
    <row r="536" ht="15.75" customHeight="1" x14ac:dyDescent="0.5"/>
    <row r="537" ht="15.75" customHeight="1" x14ac:dyDescent="0.5"/>
    <row r="538" ht="15.75" customHeight="1" x14ac:dyDescent="0.5"/>
    <row r="539" ht="15.75" customHeight="1" x14ac:dyDescent="0.5"/>
    <row r="540" ht="15.75" customHeight="1" x14ac:dyDescent="0.5"/>
    <row r="541" ht="15.75" customHeight="1" x14ac:dyDescent="0.5"/>
    <row r="542" ht="15.75" customHeight="1" x14ac:dyDescent="0.5"/>
    <row r="543" ht="15.75" customHeight="1" x14ac:dyDescent="0.5"/>
    <row r="544" ht="15.75" customHeight="1" x14ac:dyDescent="0.5"/>
    <row r="545" ht="15.75" customHeight="1" x14ac:dyDescent="0.5"/>
    <row r="546" ht="15.75" customHeight="1" x14ac:dyDescent="0.5"/>
    <row r="547" ht="15.75" customHeight="1" x14ac:dyDescent="0.5"/>
    <row r="548" ht="15.75" customHeight="1" x14ac:dyDescent="0.5"/>
    <row r="549" ht="15.75" customHeight="1" x14ac:dyDescent="0.5"/>
    <row r="550" ht="15.75" customHeight="1" x14ac:dyDescent="0.5"/>
    <row r="551" ht="15.75" customHeight="1" x14ac:dyDescent="0.5"/>
    <row r="552" ht="15.75" customHeight="1" x14ac:dyDescent="0.5"/>
    <row r="553" ht="15.75" customHeight="1" x14ac:dyDescent="0.5"/>
    <row r="554" ht="15.75" customHeight="1" x14ac:dyDescent="0.5"/>
    <row r="555" ht="15.75" customHeight="1" x14ac:dyDescent="0.5"/>
    <row r="556" ht="15.75" customHeight="1" x14ac:dyDescent="0.5"/>
    <row r="557" ht="15.75" customHeight="1" x14ac:dyDescent="0.5"/>
    <row r="558" ht="15.75" customHeight="1" x14ac:dyDescent="0.5"/>
    <row r="559" ht="15.75" customHeight="1" x14ac:dyDescent="0.5"/>
    <row r="560" ht="15.75" customHeight="1" x14ac:dyDescent="0.5"/>
    <row r="561" ht="15.75" customHeight="1" x14ac:dyDescent="0.5"/>
    <row r="562" ht="15.75" customHeight="1" x14ac:dyDescent="0.5"/>
    <row r="563" ht="15.75" customHeight="1" x14ac:dyDescent="0.5"/>
    <row r="564" ht="15.75" customHeight="1" x14ac:dyDescent="0.5"/>
    <row r="565" ht="15.75" customHeight="1" x14ac:dyDescent="0.5"/>
    <row r="566" ht="15.75" customHeight="1" x14ac:dyDescent="0.5"/>
    <row r="567" ht="15.75" customHeight="1" x14ac:dyDescent="0.5"/>
    <row r="568" ht="15.75" customHeight="1" x14ac:dyDescent="0.5"/>
    <row r="569" ht="15.75" customHeight="1" x14ac:dyDescent="0.5"/>
    <row r="570" ht="15.75" customHeight="1" x14ac:dyDescent="0.5"/>
    <row r="571" ht="15.75" customHeight="1" x14ac:dyDescent="0.5"/>
    <row r="572" ht="15.75" customHeight="1" x14ac:dyDescent="0.5"/>
    <row r="573" ht="15.75" customHeight="1" x14ac:dyDescent="0.5"/>
    <row r="574" ht="15.75" customHeight="1" x14ac:dyDescent="0.5"/>
    <row r="575" ht="15.75" customHeight="1" x14ac:dyDescent="0.5"/>
    <row r="576" ht="15.75" customHeight="1" x14ac:dyDescent="0.5"/>
    <row r="577" ht="15.75" customHeight="1" x14ac:dyDescent="0.5"/>
    <row r="578" ht="15.75" customHeight="1" x14ac:dyDescent="0.5"/>
    <row r="579" ht="15.75" customHeight="1" x14ac:dyDescent="0.5"/>
    <row r="580" ht="15.75" customHeight="1" x14ac:dyDescent="0.5"/>
    <row r="581" ht="15.75" customHeight="1" x14ac:dyDescent="0.5"/>
    <row r="582" ht="15.75" customHeight="1" x14ac:dyDescent="0.5"/>
    <row r="583" ht="15.75" customHeight="1" x14ac:dyDescent="0.5"/>
    <row r="584" ht="15.75" customHeight="1" x14ac:dyDescent="0.5"/>
    <row r="585" ht="15.75" customHeight="1" x14ac:dyDescent="0.5"/>
    <row r="586" ht="15.75" customHeight="1" x14ac:dyDescent="0.5"/>
    <row r="587" ht="15.75" customHeight="1" x14ac:dyDescent="0.5"/>
    <row r="588" ht="15.75" customHeight="1" x14ac:dyDescent="0.5"/>
    <row r="589" ht="15.75" customHeight="1" x14ac:dyDescent="0.5"/>
    <row r="590" ht="15.75" customHeight="1" x14ac:dyDescent="0.5"/>
    <row r="591" ht="15.75" customHeight="1" x14ac:dyDescent="0.5"/>
    <row r="592" ht="15.75" customHeight="1" x14ac:dyDescent="0.5"/>
    <row r="593" ht="15.75" customHeight="1" x14ac:dyDescent="0.5"/>
    <row r="594" ht="15.75" customHeight="1" x14ac:dyDescent="0.5"/>
    <row r="595" ht="15.75" customHeight="1" x14ac:dyDescent="0.5"/>
    <row r="596" ht="15.75" customHeight="1" x14ac:dyDescent="0.5"/>
    <row r="597" ht="15.75" customHeight="1" x14ac:dyDescent="0.5"/>
    <row r="598" ht="15.75" customHeight="1" x14ac:dyDescent="0.5"/>
    <row r="599" ht="15.75" customHeight="1" x14ac:dyDescent="0.5"/>
    <row r="600" ht="15.75" customHeight="1" x14ac:dyDescent="0.5"/>
    <row r="601" ht="15.75" customHeight="1" x14ac:dyDescent="0.5"/>
    <row r="602" ht="15.75" customHeight="1" x14ac:dyDescent="0.5"/>
    <row r="603" ht="15.75" customHeight="1" x14ac:dyDescent="0.5"/>
    <row r="604" ht="15.75" customHeight="1" x14ac:dyDescent="0.5"/>
    <row r="605" ht="15.75" customHeight="1" x14ac:dyDescent="0.5"/>
    <row r="606" ht="15.75" customHeight="1" x14ac:dyDescent="0.5"/>
    <row r="607" ht="15.75" customHeight="1" x14ac:dyDescent="0.5"/>
    <row r="608" ht="15.75" customHeight="1" x14ac:dyDescent="0.5"/>
    <row r="609" ht="15.75" customHeight="1" x14ac:dyDescent="0.5"/>
    <row r="610" ht="15.75" customHeight="1" x14ac:dyDescent="0.5"/>
    <row r="611" ht="15.75" customHeight="1" x14ac:dyDescent="0.5"/>
    <row r="612" ht="15.75" customHeight="1" x14ac:dyDescent="0.5"/>
    <row r="613" ht="15.75" customHeight="1" x14ac:dyDescent="0.5"/>
    <row r="614" ht="15.75" customHeight="1" x14ac:dyDescent="0.5"/>
    <row r="615" ht="15.75" customHeight="1" x14ac:dyDescent="0.5"/>
    <row r="616" ht="15.75" customHeight="1" x14ac:dyDescent="0.5"/>
    <row r="617" ht="15.75" customHeight="1" x14ac:dyDescent="0.5"/>
    <row r="618" ht="15.75" customHeight="1" x14ac:dyDescent="0.5"/>
    <row r="619" ht="15.75" customHeight="1" x14ac:dyDescent="0.5"/>
    <row r="620" ht="15.75" customHeight="1" x14ac:dyDescent="0.5"/>
    <row r="621" ht="15.75" customHeight="1" x14ac:dyDescent="0.5"/>
    <row r="622" ht="15.75" customHeight="1" x14ac:dyDescent="0.5"/>
    <row r="623" ht="15.75" customHeight="1" x14ac:dyDescent="0.5"/>
    <row r="624" ht="15.75" customHeight="1" x14ac:dyDescent="0.5"/>
    <row r="625" ht="15.75" customHeight="1" x14ac:dyDescent="0.5"/>
    <row r="626" ht="15.75" customHeight="1" x14ac:dyDescent="0.5"/>
    <row r="627" ht="15.75" customHeight="1" x14ac:dyDescent="0.5"/>
    <row r="628" ht="15.75" customHeight="1" x14ac:dyDescent="0.5"/>
    <row r="629" ht="15.75" customHeight="1" x14ac:dyDescent="0.5"/>
    <row r="630" ht="15.75" customHeight="1" x14ac:dyDescent="0.5"/>
    <row r="631" ht="15.75" customHeight="1" x14ac:dyDescent="0.5"/>
    <row r="632" ht="15.75" customHeight="1" x14ac:dyDescent="0.5"/>
    <row r="633" ht="15.75" customHeight="1" x14ac:dyDescent="0.5"/>
    <row r="634" ht="15.75" customHeight="1" x14ac:dyDescent="0.5"/>
    <row r="635" ht="15.75" customHeight="1" x14ac:dyDescent="0.5"/>
    <row r="636" ht="15.75" customHeight="1" x14ac:dyDescent="0.5"/>
    <row r="637" ht="15.75" customHeight="1" x14ac:dyDescent="0.5"/>
    <row r="638" ht="15.75" customHeight="1" x14ac:dyDescent="0.5"/>
    <row r="639" ht="15.75" customHeight="1" x14ac:dyDescent="0.5"/>
    <row r="640" ht="15.75" customHeight="1" x14ac:dyDescent="0.5"/>
    <row r="641" ht="15.75" customHeight="1" x14ac:dyDescent="0.5"/>
    <row r="642" ht="15.75" customHeight="1" x14ac:dyDescent="0.5"/>
    <row r="643" ht="15.75" customHeight="1" x14ac:dyDescent="0.5"/>
    <row r="644" ht="15.75" customHeight="1" x14ac:dyDescent="0.5"/>
    <row r="645" ht="15.75" customHeight="1" x14ac:dyDescent="0.5"/>
    <row r="646" ht="15.75" customHeight="1" x14ac:dyDescent="0.5"/>
    <row r="647" ht="15.75" customHeight="1" x14ac:dyDescent="0.5"/>
    <row r="648" ht="15.75" customHeight="1" x14ac:dyDescent="0.5"/>
    <row r="649" ht="15.75" customHeight="1" x14ac:dyDescent="0.5"/>
    <row r="650" ht="15.75" customHeight="1" x14ac:dyDescent="0.5"/>
    <row r="651" ht="15.75" customHeight="1" x14ac:dyDescent="0.5"/>
    <row r="652" ht="15.75" customHeight="1" x14ac:dyDescent="0.5"/>
    <row r="653" ht="15.75" customHeight="1" x14ac:dyDescent="0.5"/>
    <row r="654" ht="15.75" customHeight="1" x14ac:dyDescent="0.5"/>
    <row r="655" ht="15.75" customHeight="1" x14ac:dyDescent="0.5"/>
    <row r="656" ht="15.75" customHeight="1" x14ac:dyDescent="0.5"/>
    <row r="657" ht="15.75" customHeight="1" x14ac:dyDescent="0.5"/>
    <row r="658" ht="15.75" customHeight="1" x14ac:dyDescent="0.5"/>
    <row r="659" ht="15.75" customHeight="1" x14ac:dyDescent="0.5"/>
    <row r="660" ht="15.75" customHeight="1" x14ac:dyDescent="0.5"/>
    <row r="661" ht="15.75" customHeight="1" x14ac:dyDescent="0.5"/>
    <row r="662" ht="15.75" customHeight="1" x14ac:dyDescent="0.5"/>
    <row r="663" ht="15.75" customHeight="1" x14ac:dyDescent="0.5"/>
    <row r="664" ht="15.75" customHeight="1" x14ac:dyDescent="0.5"/>
    <row r="665" ht="15.75" customHeight="1" x14ac:dyDescent="0.5"/>
    <row r="666" ht="15.75" customHeight="1" x14ac:dyDescent="0.5"/>
    <row r="667" ht="15.75" customHeight="1" x14ac:dyDescent="0.5"/>
    <row r="668" ht="15.75" customHeight="1" x14ac:dyDescent="0.5"/>
    <row r="669" ht="15.75" customHeight="1" x14ac:dyDescent="0.5"/>
    <row r="670" ht="15.75" customHeight="1" x14ac:dyDescent="0.5"/>
    <row r="671" ht="15.75" customHeight="1" x14ac:dyDescent="0.5"/>
    <row r="672" ht="15.75" customHeight="1" x14ac:dyDescent="0.5"/>
    <row r="673" ht="15.75" customHeight="1" x14ac:dyDescent="0.5"/>
    <row r="674" ht="15.75" customHeight="1" x14ac:dyDescent="0.5"/>
    <row r="675" ht="15.75" customHeight="1" x14ac:dyDescent="0.5"/>
    <row r="676" ht="15.75" customHeight="1" x14ac:dyDescent="0.5"/>
    <row r="677" ht="15.75" customHeight="1" x14ac:dyDescent="0.5"/>
    <row r="678" ht="15.75" customHeight="1" x14ac:dyDescent="0.5"/>
    <row r="679" ht="15.75" customHeight="1" x14ac:dyDescent="0.5"/>
    <row r="680" ht="15.75" customHeight="1" x14ac:dyDescent="0.5"/>
    <row r="681" ht="15.75" customHeight="1" x14ac:dyDescent="0.5"/>
    <row r="682" ht="15.75" customHeight="1" x14ac:dyDescent="0.5"/>
    <row r="683" ht="15.75" customHeight="1" x14ac:dyDescent="0.5"/>
    <row r="684" ht="15.75" customHeight="1" x14ac:dyDescent="0.5"/>
    <row r="685" ht="15.75" customHeight="1" x14ac:dyDescent="0.5"/>
    <row r="686" ht="15.75" customHeight="1" x14ac:dyDescent="0.5"/>
    <row r="687" ht="15.75" customHeight="1" x14ac:dyDescent="0.5"/>
    <row r="688" ht="15.75" customHeight="1" x14ac:dyDescent="0.5"/>
    <row r="689" ht="15.75" customHeight="1" x14ac:dyDescent="0.5"/>
    <row r="690" ht="15.75" customHeight="1" x14ac:dyDescent="0.5"/>
    <row r="691" ht="15.75" customHeight="1" x14ac:dyDescent="0.5"/>
    <row r="692" ht="15.75" customHeight="1" x14ac:dyDescent="0.5"/>
    <row r="693" ht="15.75" customHeight="1" x14ac:dyDescent="0.5"/>
    <row r="694" ht="15.75" customHeight="1" x14ac:dyDescent="0.5"/>
    <row r="695" ht="15.75" customHeight="1" x14ac:dyDescent="0.5"/>
    <row r="696" ht="15.75" customHeight="1" x14ac:dyDescent="0.5"/>
    <row r="697" ht="15.75" customHeight="1" x14ac:dyDescent="0.5"/>
    <row r="698" ht="15.75" customHeight="1" x14ac:dyDescent="0.5"/>
    <row r="699" ht="15.75" customHeight="1" x14ac:dyDescent="0.5"/>
    <row r="700" ht="15.75" customHeight="1" x14ac:dyDescent="0.5"/>
    <row r="701" ht="15.75" customHeight="1" x14ac:dyDescent="0.5"/>
    <row r="702" ht="15.75" customHeight="1" x14ac:dyDescent="0.5"/>
    <row r="703" ht="15.75" customHeight="1" x14ac:dyDescent="0.5"/>
    <row r="704" ht="15.75" customHeight="1" x14ac:dyDescent="0.5"/>
    <row r="705" ht="15.75" customHeight="1" x14ac:dyDescent="0.5"/>
    <row r="706" ht="15.75" customHeight="1" x14ac:dyDescent="0.5"/>
    <row r="707" ht="15.75" customHeight="1" x14ac:dyDescent="0.5"/>
    <row r="708" ht="15.75" customHeight="1" x14ac:dyDescent="0.5"/>
    <row r="709" ht="15.75" customHeight="1" x14ac:dyDescent="0.5"/>
    <row r="710" ht="15.75" customHeight="1" x14ac:dyDescent="0.5"/>
    <row r="711" ht="15.75" customHeight="1" x14ac:dyDescent="0.5"/>
    <row r="712" ht="15.75" customHeight="1" x14ac:dyDescent="0.5"/>
    <row r="713" ht="15.75" customHeight="1" x14ac:dyDescent="0.5"/>
    <row r="714" ht="15.75" customHeight="1" x14ac:dyDescent="0.5"/>
    <row r="715" ht="15.75" customHeight="1" x14ac:dyDescent="0.5"/>
    <row r="716" ht="15.75" customHeight="1" x14ac:dyDescent="0.5"/>
    <row r="717" ht="15.75" customHeight="1" x14ac:dyDescent="0.5"/>
    <row r="718" ht="15.75" customHeight="1" x14ac:dyDescent="0.5"/>
    <row r="719" ht="15.75" customHeight="1" x14ac:dyDescent="0.5"/>
    <row r="720" ht="15.75" customHeight="1" x14ac:dyDescent="0.5"/>
    <row r="721" ht="15.75" customHeight="1" x14ac:dyDescent="0.5"/>
    <row r="722" ht="15.75" customHeight="1" x14ac:dyDescent="0.5"/>
    <row r="723" ht="15.75" customHeight="1" x14ac:dyDescent="0.5"/>
    <row r="724" ht="15.75" customHeight="1" x14ac:dyDescent="0.5"/>
    <row r="725" ht="15.75" customHeight="1" x14ac:dyDescent="0.5"/>
    <row r="726" ht="15.75" customHeight="1" x14ac:dyDescent="0.5"/>
    <row r="727" ht="15.75" customHeight="1" x14ac:dyDescent="0.5"/>
    <row r="728" ht="15.75" customHeight="1" x14ac:dyDescent="0.5"/>
    <row r="729" ht="15.75" customHeight="1" x14ac:dyDescent="0.5"/>
    <row r="730" ht="15.75" customHeight="1" x14ac:dyDescent="0.5"/>
    <row r="731" ht="15.75" customHeight="1" x14ac:dyDescent="0.5"/>
    <row r="732" ht="15.75" customHeight="1" x14ac:dyDescent="0.5"/>
    <row r="733" ht="15.75" customHeight="1" x14ac:dyDescent="0.5"/>
    <row r="734" ht="15.75" customHeight="1" x14ac:dyDescent="0.5"/>
    <row r="735" ht="15.75" customHeight="1" x14ac:dyDescent="0.5"/>
    <row r="736" ht="15.75" customHeight="1" x14ac:dyDescent="0.5"/>
    <row r="737" ht="15.75" customHeight="1" x14ac:dyDescent="0.5"/>
    <row r="738" ht="15.75" customHeight="1" x14ac:dyDescent="0.5"/>
    <row r="739" ht="15.75" customHeight="1" x14ac:dyDescent="0.5"/>
    <row r="740" ht="15.75" customHeight="1" x14ac:dyDescent="0.5"/>
    <row r="741" ht="15.75" customHeight="1" x14ac:dyDescent="0.5"/>
    <row r="742" ht="15.75" customHeight="1" x14ac:dyDescent="0.5"/>
    <row r="743" ht="15.75" customHeight="1" x14ac:dyDescent="0.5"/>
    <row r="744" ht="15.75" customHeight="1" x14ac:dyDescent="0.5"/>
    <row r="745" ht="15.75" customHeight="1" x14ac:dyDescent="0.5"/>
    <row r="746" ht="15.75" customHeight="1" x14ac:dyDescent="0.5"/>
    <row r="747" ht="15.75" customHeight="1" x14ac:dyDescent="0.5"/>
    <row r="748" ht="15.75" customHeight="1" x14ac:dyDescent="0.5"/>
    <row r="749" ht="15.75" customHeight="1" x14ac:dyDescent="0.5"/>
    <row r="750" ht="15.75" customHeight="1" x14ac:dyDescent="0.5"/>
    <row r="751" ht="15.75" customHeight="1" x14ac:dyDescent="0.5"/>
    <row r="752" ht="15.75" customHeight="1" x14ac:dyDescent="0.5"/>
    <row r="753" ht="15.75" customHeight="1" x14ac:dyDescent="0.5"/>
    <row r="754" ht="15.75" customHeight="1" x14ac:dyDescent="0.5"/>
    <row r="755" ht="15.75" customHeight="1" x14ac:dyDescent="0.5"/>
    <row r="756" ht="15.75" customHeight="1" x14ac:dyDescent="0.5"/>
    <row r="757" ht="15.75" customHeight="1" x14ac:dyDescent="0.5"/>
    <row r="758" ht="15.75" customHeight="1" x14ac:dyDescent="0.5"/>
    <row r="759" ht="15.75" customHeight="1" x14ac:dyDescent="0.5"/>
    <row r="760" ht="15.75" customHeight="1" x14ac:dyDescent="0.5"/>
    <row r="761" ht="15.75" customHeight="1" x14ac:dyDescent="0.5"/>
    <row r="762" ht="15.75" customHeight="1" x14ac:dyDescent="0.5"/>
    <row r="763" ht="15.75" customHeight="1" x14ac:dyDescent="0.5"/>
    <row r="764" ht="15.75" customHeight="1" x14ac:dyDescent="0.5"/>
    <row r="765" ht="15.75" customHeight="1" x14ac:dyDescent="0.5"/>
    <row r="766" ht="15.75" customHeight="1" x14ac:dyDescent="0.5"/>
    <row r="767" ht="15.75" customHeight="1" x14ac:dyDescent="0.5"/>
    <row r="768" ht="15.75" customHeight="1" x14ac:dyDescent="0.5"/>
    <row r="769" ht="15.75" customHeight="1" x14ac:dyDescent="0.5"/>
    <row r="770" ht="15.75" customHeight="1" x14ac:dyDescent="0.5"/>
    <row r="771" ht="15.75" customHeight="1" x14ac:dyDescent="0.5"/>
    <row r="772" ht="15.75" customHeight="1" x14ac:dyDescent="0.5"/>
    <row r="773" ht="15.75" customHeight="1" x14ac:dyDescent="0.5"/>
    <row r="774" ht="15.75" customHeight="1" x14ac:dyDescent="0.5"/>
    <row r="775" ht="15.75" customHeight="1" x14ac:dyDescent="0.5"/>
    <row r="776" ht="15.75" customHeight="1" x14ac:dyDescent="0.5"/>
    <row r="777" ht="15.75" customHeight="1" x14ac:dyDescent="0.5"/>
    <row r="778" ht="15.75" customHeight="1" x14ac:dyDescent="0.5"/>
    <row r="779" ht="15.75" customHeight="1" x14ac:dyDescent="0.5"/>
    <row r="780" ht="15.75" customHeight="1" x14ac:dyDescent="0.5"/>
    <row r="781" ht="15.75" customHeight="1" x14ac:dyDescent="0.5"/>
    <row r="782" ht="15.75" customHeight="1" x14ac:dyDescent="0.5"/>
    <row r="783" ht="15.75" customHeight="1" x14ac:dyDescent="0.5"/>
    <row r="784" ht="15.75" customHeight="1" x14ac:dyDescent="0.5"/>
    <row r="785" ht="15.75" customHeight="1" x14ac:dyDescent="0.5"/>
    <row r="786" ht="15.75" customHeight="1" x14ac:dyDescent="0.5"/>
    <row r="787" ht="15.75" customHeight="1" x14ac:dyDescent="0.5"/>
    <row r="788" ht="15.75" customHeight="1" x14ac:dyDescent="0.5"/>
    <row r="789" ht="15.75" customHeight="1" x14ac:dyDescent="0.5"/>
    <row r="790" ht="15.75" customHeight="1" x14ac:dyDescent="0.5"/>
    <row r="791" ht="15.75" customHeight="1" x14ac:dyDescent="0.5"/>
    <row r="792" ht="15.75" customHeight="1" x14ac:dyDescent="0.5"/>
    <row r="793" ht="15.75" customHeight="1" x14ac:dyDescent="0.5"/>
    <row r="794" ht="15.75" customHeight="1" x14ac:dyDescent="0.5"/>
    <row r="795" ht="15.75" customHeight="1" x14ac:dyDescent="0.5"/>
    <row r="796" ht="15.75" customHeight="1" x14ac:dyDescent="0.5"/>
    <row r="797" ht="15.75" customHeight="1" x14ac:dyDescent="0.5"/>
    <row r="798" ht="15.75" customHeight="1" x14ac:dyDescent="0.5"/>
    <row r="799" ht="15.75" customHeight="1" x14ac:dyDescent="0.5"/>
    <row r="800" ht="15.75" customHeight="1" x14ac:dyDescent="0.5"/>
    <row r="801" ht="15.75" customHeight="1" x14ac:dyDescent="0.5"/>
    <row r="802" ht="15.75" customHeight="1" x14ac:dyDescent="0.5"/>
    <row r="803" ht="15.75" customHeight="1" x14ac:dyDescent="0.5"/>
    <row r="804" ht="15.75" customHeight="1" x14ac:dyDescent="0.5"/>
    <row r="805" ht="15.75" customHeight="1" x14ac:dyDescent="0.5"/>
    <row r="806" ht="15.75" customHeight="1" x14ac:dyDescent="0.5"/>
    <row r="807" ht="15.75" customHeight="1" x14ac:dyDescent="0.5"/>
    <row r="808" ht="15.75" customHeight="1" x14ac:dyDescent="0.5"/>
    <row r="809" ht="15.75" customHeight="1" x14ac:dyDescent="0.5"/>
    <row r="810" ht="15.75" customHeight="1" x14ac:dyDescent="0.5"/>
    <row r="811" ht="15.75" customHeight="1" x14ac:dyDescent="0.5"/>
    <row r="812" ht="15.75" customHeight="1" x14ac:dyDescent="0.5"/>
    <row r="813" ht="15.75" customHeight="1" x14ac:dyDescent="0.5"/>
    <row r="814" ht="15.75" customHeight="1" x14ac:dyDescent="0.5"/>
    <row r="815" ht="15.75" customHeight="1" x14ac:dyDescent="0.5"/>
    <row r="816" ht="15.75" customHeight="1" x14ac:dyDescent="0.5"/>
    <row r="817" ht="15.75" customHeight="1" x14ac:dyDescent="0.5"/>
    <row r="818" ht="15.75" customHeight="1" x14ac:dyDescent="0.5"/>
    <row r="819" ht="15.75" customHeight="1" x14ac:dyDescent="0.5"/>
    <row r="820" ht="15.75" customHeight="1" x14ac:dyDescent="0.5"/>
    <row r="821" ht="15.75" customHeight="1" x14ac:dyDescent="0.5"/>
    <row r="822" ht="15.75" customHeight="1" x14ac:dyDescent="0.5"/>
    <row r="823" ht="15.75" customHeight="1" x14ac:dyDescent="0.5"/>
    <row r="824" ht="15.75" customHeight="1" x14ac:dyDescent="0.5"/>
    <row r="825" ht="15.75" customHeight="1" x14ac:dyDescent="0.5"/>
    <row r="826" ht="15.75" customHeight="1" x14ac:dyDescent="0.5"/>
    <row r="827" ht="15.75" customHeight="1" x14ac:dyDescent="0.5"/>
    <row r="828" ht="15.75" customHeight="1" x14ac:dyDescent="0.5"/>
    <row r="829" ht="15.75" customHeight="1" x14ac:dyDescent="0.5"/>
    <row r="830" ht="15.75" customHeight="1" x14ac:dyDescent="0.5"/>
    <row r="831" ht="15.75" customHeight="1" x14ac:dyDescent="0.5"/>
    <row r="832" ht="15.75" customHeight="1" x14ac:dyDescent="0.5"/>
    <row r="833" ht="15.75" customHeight="1" x14ac:dyDescent="0.5"/>
    <row r="834" ht="15.75" customHeight="1" x14ac:dyDescent="0.5"/>
    <row r="835" ht="15.75" customHeight="1" x14ac:dyDescent="0.5"/>
    <row r="836" ht="15.75" customHeight="1" x14ac:dyDescent="0.5"/>
    <row r="837" ht="15.75" customHeight="1" x14ac:dyDescent="0.5"/>
    <row r="838" ht="15.75" customHeight="1" x14ac:dyDescent="0.5"/>
    <row r="839" ht="15.75" customHeight="1" x14ac:dyDescent="0.5"/>
    <row r="840" ht="15.75" customHeight="1" x14ac:dyDescent="0.5"/>
    <row r="841" ht="15.75" customHeight="1" x14ac:dyDescent="0.5"/>
    <row r="842" ht="15.75" customHeight="1" x14ac:dyDescent="0.5"/>
    <row r="843" ht="15.75" customHeight="1" x14ac:dyDescent="0.5"/>
    <row r="844" ht="15.75" customHeight="1" x14ac:dyDescent="0.5"/>
    <row r="845" ht="15.75" customHeight="1" x14ac:dyDescent="0.5"/>
    <row r="846" ht="15.75" customHeight="1" x14ac:dyDescent="0.5"/>
    <row r="847" ht="15.75" customHeight="1" x14ac:dyDescent="0.5"/>
    <row r="848" ht="15.75" customHeight="1" x14ac:dyDescent="0.5"/>
    <row r="849" ht="15.75" customHeight="1" x14ac:dyDescent="0.5"/>
    <row r="850" ht="15.75" customHeight="1" x14ac:dyDescent="0.5"/>
    <row r="851" ht="15.75" customHeight="1" x14ac:dyDescent="0.5"/>
    <row r="852" ht="15.75" customHeight="1" x14ac:dyDescent="0.5"/>
    <row r="853" ht="15.75" customHeight="1" x14ac:dyDescent="0.5"/>
    <row r="854" ht="15.75" customHeight="1" x14ac:dyDescent="0.5"/>
    <row r="855" ht="15.75" customHeight="1" x14ac:dyDescent="0.5"/>
    <row r="856" ht="15.75" customHeight="1" x14ac:dyDescent="0.5"/>
    <row r="857" ht="15.75" customHeight="1" x14ac:dyDescent="0.5"/>
    <row r="858" ht="15.75" customHeight="1" x14ac:dyDescent="0.5"/>
    <row r="859" ht="15.75" customHeight="1" x14ac:dyDescent="0.5"/>
    <row r="860" ht="15.75" customHeight="1" x14ac:dyDescent="0.5"/>
    <row r="861" ht="15.75" customHeight="1" x14ac:dyDescent="0.5"/>
    <row r="862" ht="15.75" customHeight="1" x14ac:dyDescent="0.5"/>
    <row r="863" ht="15.75" customHeight="1" x14ac:dyDescent="0.5"/>
    <row r="864" ht="15.75" customHeight="1" x14ac:dyDescent="0.5"/>
    <row r="865" ht="15.75" customHeight="1" x14ac:dyDescent="0.5"/>
    <row r="866" ht="15.75" customHeight="1" x14ac:dyDescent="0.5"/>
    <row r="867" ht="15.75" customHeight="1" x14ac:dyDescent="0.5"/>
    <row r="868" ht="15.75" customHeight="1" x14ac:dyDescent="0.5"/>
    <row r="869" ht="15.75" customHeight="1" x14ac:dyDescent="0.5"/>
    <row r="870" ht="15.75" customHeight="1" x14ac:dyDescent="0.5"/>
    <row r="871" ht="15.75" customHeight="1" x14ac:dyDescent="0.5"/>
    <row r="872" ht="15.75" customHeight="1" x14ac:dyDescent="0.5"/>
    <row r="873" ht="15.75" customHeight="1" x14ac:dyDescent="0.5"/>
    <row r="874" ht="15.75" customHeight="1" x14ac:dyDescent="0.5"/>
    <row r="875" ht="15.75" customHeight="1" x14ac:dyDescent="0.5"/>
    <row r="876" ht="15.75" customHeight="1" x14ac:dyDescent="0.5"/>
    <row r="877" ht="15.75" customHeight="1" x14ac:dyDescent="0.5"/>
    <row r="878" ht="15.75" customHeight="1" x14ac:dyDescent="0.5"/>
    <row r="879" ht="15.75" customHeight="1" x14ac:dyDescent="0.5"/>
    <row r="880" ht="15.75" customHeight="1" x14ac:dyDescent="0.5"/>
    <row r="881" ht="15.75" customHeight="1" x14ac:dyDescent="0.5"/>
    <row r="882" ht="15.75" customHeight="1" x14ac:dyDescent="0.5"/>
    <row r="883" ht="15.75" customHeight="1" x14ac:dyDescent="0.5"/>
    <row r="884" ht="15.75" customHeight="1" x14ac:dyDescent="0.5"/>
    <row r="885" ht="15.75" customHeight="1" x14ac:dyDescent="0.5"/>
    <row r="886" ht="15.75" customHeight="1" x14ac:dyDescent="0.5"/>
    <row r="887" ht="15.75" customHeight="1" x14ac:dyDescent="0.5"/>
    <row r="888" ht="15.75" customHeight="1" x14ac:dyDescent="0.5"/>
    <row r="889" ht="15.75" customHeight="1" x14ac:dyDescent="0.5"/>
    <row r="890" ht="15.75" customHeight="1" x14ac:dyDescent="0.5"/>
    <row r="891" ht="15.75" customHeight="1" x14ac:dyDescent="0.5"/>
    <row r="892" ht="15.75" customHeight="1" x14ac:dyDescent="0.5"/>
    <row r="893" ht="15.75" customHeight="1" x14ac:dyDescent="0.5"/>
    <row r="894" ht="15.75" customHeight="1" x14ac:dyDescent="0.5"/>
    <row r="895" ht="15.75" customHeight="1" x14ac:dyDescent="0.5"/>
    <row r="896" ht="15.75" customHeight="1" x14ac:dyDescent="0.5"/>
    <row r="897" ht="15.75" customHeight="1" x14ac:dyDescent="0.5"/>
    <row r="898" ht="15.75" customHeight="1" x14ac:dyDescent="0.5"/>
    <row r="899" ht="15.75" customHeight="1" x14ac:dyDescent="0.5"/>
    <row r="900" ht="15.75" customHeight="1" x14ac:dyDescent="0.5"/>
    <row r="901" ht="15.75" customHeight="1" x14ac:dyDescent="0.5"/>
    <row r="902" ht="15.75" customHeight="1" x14ac:dyDescent="0.5"/>
    <row r="903" ht="15.75" customHeight="1" x14ac:dyDescent="0.5"/>
    <row r="904" ht="15.75" customHeight="1" x14ac:dyDescent="0.5"/>
    <row r="905" ht="15.75" customHeight="1" x14ac:dyDescent="0.5"/>
    <row r="906" ht="15.75" customHeight="1" x14ac:dyDescent="0.5"/>
    <row r="907" ht="15.75" customHeight="1" x14ac:dyDescent="0.5"/>
    <row r="908" ht="15.75" customHeight="1" x14ac:dyDescent="0.5"/>
    <row r="909" ht="15.75" customHeight="1" x14ac:dyDescent="0.5"/>
    <row r="910" ht="15.75" customHeight="1" x14ac:dyDescent="0.5"/>
    <row r="911" ht="15.75" customHeight="1" x14ac:dyDescent="0.5"/>
    <row r="912" ht="15.75" customHeight="1" x14ac:dyDescent="0.5"/>
    <row r="913" ht="15.75" customHeight="1" x14ac:dyDescent="0.5"/>
    <row r="914" ht="15.75" customHeight="1" x14ac:dyDescent="0.5"/>
    <row r="915" ht="15.75" customHeight="1" x14ac:dyDescent="0.5"/>
    <row r="916" ht="15.75" customHeight="1" x14ac:dyDescent="0.5"/>
    <row r="917" ht="15.75" customHeight="1" x14ac:dyDescent="0.5"/>
    <row r="918" ht="15.75" customHeight="1" x14ac:dyDescent="0.5"/>
    <row r="919" ht="15.75" customHeight="1" x14ac:dyDescent="0.5"/>
    <row r="920" ht="15.75" customHeight="1" x14ac:dyDescent="0.5"/>
    <row r="921" ht="15.75" customHeight="1" x14ac:dyDescent="0.5"/>
    <row r="922" ht="15.75" customHeight="1" x14ac:dyDescent="0.5"/>
    <row r="923" ht="15.75" customHeight="1" x14ac:dyDescent="0.5"/>
    <row r="924" ht="15.75" customHeight="1" x14ac:dyDescent="0.5"/>
    <row r="925" ht="15.75" customHeight="1" x14ac:dyDescent="0.5"/>
    <row r="926" ht="15.75" customHeight="1" x14ac:dyDescent="0.5"/>
    <row r="927" ht="15.75" customHeight="1" x14ac:dyDescent="0.5"/>
    <row r="928" ht="15.75" customHeight="1" x14ac:dyDescent="0.5"/>
    <row r="929" ht="15.75" customHeight="1" x14ac:dyDescent="0.5"/>
    <row r="930" ht="15.75" customHeight="1" x14ac:dyDescent="0.5"/>
    <row r="931" ht="15.75" customHeight="1" x14ac:dyDescent="0.5"/>
    <row r="932" ht="15.75" customHeight="1" x14ac:dyDescent="0.5"/>
    <row r="933" ht="15.75" customHeight="1" x14ac:dyDescent="0.5"/>
    <row r="934" ht="15.75" customHeight="1" x14ac:dyDescent="0.5"/>
    <row r="935" ht="15.75" customHeight="1" x14ac:dyDescent="0.5"/>
    <row r="936" ht="15.75" customHeight="1" x14ac:dyDescent="0.5"/>
    <row r="937" ht="15.75" customHeight="1" x14ac:dyDescent="0.5"/>
    <row r="938" ht="15.75" customHeight="1" x14ac:dyDescent="0.5"/>
    <row r="939" ht="15.75" customHeight="1" x14ac:dyDescent="0.5"/>
    <row r="940" ht="15.75" customHeight="1" x14ac:dyDescent="0.5"/>
    <row r="941" ht="15.75" customHeight="1" x14ac:dyDescent="0.5"/>
    <row r="942" ht="15.75" customHeight="1" x14ac:dyDescent="0.5"/>
    <row r="943" ht="15.75" customHeight="1" x14ac:dyDescent="0.5"/>
    <row r="944" ht="15.75" customHeight="1" x14ac:dyDescent="0.5"/>
    <row r="945" ht="15.75" customHeight="1" x14ac:dyDescent="0.5"/>
    <row r="946" ht="15.75" customHeight="1" x14ac:dyDescent="0.5"/>
    <row r="947" ht="15.75" customHeight="1" x14ac:dyDescent="0.5"/>
    <row r="948" ht="15.75" customHeight="1" x14ac:dyDescent="0.5"/>
    <row r="949" ht="15.75" customHeight="1" x14ac:dyDescent="0.5"/>
    <row r="950" ht="15.75" customHeight="1" x14ac:dyDescent="0.5"/>
    <row r="951" ht="15.75" customHeight="1" x14ac:dyDescent="0.5"/>
    <row r="952" ht="15.75" customHeight="1" x14ac:dyDescent="0.5"/>
    <row r="953" ht="15.75" customHeight="1" x14ac:dyDescent="0.5"/>
    <row r="954" ht="15.75" customHeight="1" x14ac:dyDescent="0.5"/>
    <row r="955" ht="15.75" customHeight="1" x14ac:dyDescent="0.5"/>
    <row r="956" ht="15.75" customHeight="1" x14ac:dyDescent="0.5"/>
    <row r="957" ht="15.75" customHeight="1" x14ac:dyDescent="0.5"/>
    <row r="958" ht="15.75" customHeight="1" x14ac:dyDescent="0.5"/>
    <row r="959" ht="15.75" customHeight="1" x14ac:dyDescent="0.5"/>
    <row r="960" ht="15.75" customHeight="1" x14ac:dyDescent="0.5"/>
    <row r="961" ht="15.75" customHeight="1" x14ac:dyDescent="0.5"/>
    <row r="962" ht="15.75" customHeight="1" x14ac:dyDescent="0.5"/>
    <row r="963" ht="15.75" customHeight="1" x14ac:dyDescent="0.5"/>
    <row r="964" ht="15.75" customHeight="1" x14ac:dyDescent="0.5"/>
    <row r="965" ht="15.75" customHeight="1" x14ac:dyDescent="0.5"/>
    <row r="966" ht="15.75" customHeight="1" x14ac:dyDescent="0.5"/>
    <row r="967" ht="15.75" customHeight="1" x14ac:dyDescent="0.5"/>
    <row r="968" ht="15.75" customHeight="1" x14ac:dyDescent="0.5"/>
    <row r="969" ht="15.75" customHeight="1" x14ac:dyDescent="0.5"/>
    <row r="970" ht="15.75" customHeight="1" x14ac:dyDescent="0.5"/>
    <row r="971" ht="15.75" customHeight="1" x14ac:dyDescent="0.5"/>
    <row r="972" ht="15.75" customHeight="1" x14ac:dyDescent="0.5"/>
    <row r="973" ht="15.75" customHeight="1" x14ac:dyDescent="0.5"/>
    <row r="974" ht="15.75" customHeight="1" x14ac:dyDescent="0.5"/>
    <row r="975" ht="15.75" customHeight="1" x14ac:dyDescent="0.5"/>
    <row r="976" ht="15.75" customHeight="1" x14ac:dyDescent="0.5"/>
    <row r="977" ht="15.75" customHeight="1" x14ac:dyDescent="0.5"/>
    <row r="978" ht="15.75" customHeight="1" x14ac:dyDescent="0.5"/>
    <row r="979" ht="15.75" customHeight="1" x14ac:dyDescent="0.5"/>
    <row r="980" ht="15.75" customHeight="1" x14ac:dyDescent="0.5"/>
    <row r="981" ht="15.75" customHeight="1" x14ac:dyDescent="0.5"/>
    <row r="982" ht="15.75" customHeight="1" x14ac:dyDescent="0.5"/>
    <row r="983" ht="15.75" customHeight="1" x14ac:dyDescent="0.5"/>
    <row r="984" ht="15.75" customHeight="1" x14ac:dyDescent="0.5"/>
    <row r="985" ht="15.75" customHeight="1" x14ac:dyDescent="0.5"/>
    <row r="986" ht="15.75" customHeight="1" x14ac:dyDescent="0.5"/>
    <row r="987" ht="15.75" customHeight="1" x14ac:dyDescent="0.5"/>
    <row r="988" ht="15.75" customHeight="1" x14ac:dyDescent="0.5"/>
    <row r="989" ht="15.75" customHeight="1" x14ac:dyDescent="0.5"/>
    <row r="990" ht="15.75" customHeight="1" x14ac:dyDescent="0.5"/>
    <row r="991" ht="15.75" customHeight="1" x14ac:dyDescent="0.5"/>
    <row r="992" ht="15.75" customHeight="1" x14ac:dyDescent="0.5"/>
    <row r="993" ht="15.75" customHeight="1" x14ac:dyDescent="0.5"/>
    <row r="994" ht="15.75" customHeight="1" x14ac:dyDescent="0.5"/>
    <row r="995" ht="15.75" customHeight="1" x14ac:dyDescent="0.5"/>
    <row r="996" ht="15.75" customHeight="1" x14ac:dyDescent="0.5"/>
    <row r="997" ht="15.75" customHeight="1" x14ac:dyDescent="0.5"/>
    <row r="998" ht="15.75" customHeight="1" x14ac:dyDescent="0.5"/>
    <row r="999" ht="15.75" customHeight="1" x14ac:dyDescent="0.5"/>
    <row r="1000" ht="15.75" customHeight="1" x14ac:dyDescent="0.5"/>
  </sheetData>
  <sheetProtection password="DEBC" sheet="1" objects="1" scenarios="1"/>
  <mergeCells count="2">
    <mergeCell ref="AB2:AB3"/>
    <mergeCell ref="AC2:AC3"/>
  </mergeCells>
  <pageMargins left="0.7" right="0.7" top="0.75" bottom="0.75" header="0" footer="0"/>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U67"/>
  <sheetViews>
    <sheetView zoomScale="50" zoomScaleNormal="50" workbookViewId="0">
      <selection activeCell="J37" sqref="J37"/>
    </sheetView>
  </sheetViews>
  <sheetFormatPr baseColWidth="10" defaultRowHeight="14.4" x14ac:dyDescent="0.3"/>
  <cols>
    <col min="3" max="3" width="22.21875" customWidth="1"/>
    <col min="4" max="4" width="26.6640625" customWidth="1"/>
    <col min="5" max="5" width="27.44140625" customWidth="1"/>
    <col min="6" max="6" width="35.21875" customWidth="1"/>
    <col min="7" max="7" width="31.44140625" customWidth="1"/>
    <col min="8" max="8" width="34" customWidth="1"/>
    <col min="9" max="9" width="30.6640625" customWidth="1"/>
    <col min="10" max="10" width="27.88671875" customWidth="1"/>
    <col min="11" max="11" width="23.5546875" customWidth="1"/>
    <col min="12" max="13" width="26.6640625" customWidth="1"/>
    <col min="14" max="14" width="27.6640625" customWidth="1"/>
    <col min="15" max="15" width="24" customWidth="1"/>
    <col min="17" max="17" width="30.109375" customWidth="1"/>
  </cols>
  <sheetData>
    <row r="2" spans="3:17" ht="15" thickBot="1" x14ac:dyDescent="0.35"/>
    <row r="3" spans="3:17" ht="30" customHeight="1" thickBot="1" x14ac:dyDescent="0.35">
      <c r="C3" s="1201" t="s">
        <v>1489</v>
      </c>
      <c r="D3" s="1202"/>
      <c r="E3" s="1202"/>
      <c r="F3" s="1202"/>
      <c r="G3" s="1202"/>
      <c r="H3" s="1203"/>
      <c r="J3" s="1185" t="s">
        <v>2275</v>
      </c>
      <c r="K3" s="1186"/>
    </row>
    <row r="4" spans="3:17" ht="44.4" customHeight="1" thickBot="1" x14ac:dyDescent="0.35">
      <c r="C4" s="1135" t="s">
        <v>1490</v>
      </c>
      <c r="D4" s="11" t="s">
        <v>1491</v>
      </c>
      <c r="E4" s="11" t="s">
        <v>1492</v>
      </c>
      <c r="F4" s="1142" t="s">
        <v>1493</v>
      </c>
      <c r="G4" s="820" t="s">
        <v>1494</v>
      </c>
      <c r="H4" s="821" t="s">
        <v>1495</v>
      </c>
      <c r="J4" s="1187"/>
      <c r="K4" s="1188"/>
    </row>
    <row r="5" spans="3:17" ht="37.200000000000003" customHeight="1" thickBot="1" x14ac:dyDescent="0.35">
      <c r="C5" s="1136" t="s">
        <v>1496</v>
      </c>
      <c r="D5" s="12" t="s">
        <v>1497</v>
      </c>
      <c r="E5" s="12" t="s">
        <v>1498</v>
      </c>
      <c r="F5" s="1143" t="s">
        <v>1499</v>
      </c>
      <c r="G5" s="796" t="s">
        <v>1500</v>
      </c>
      <c r="H5" s="822" t="s">
        <v>1497</v>
      </c>
      <c r="J5" s="1187"/>
      <c r="K5" s="1188"/>
    </row>
    <row r="6" spans="3:17" ht="43.2" customHeight="1" thickBot="1" x14ac:dyDescent="0.35">
      <c r="C6" s="1157" t="s">
        <v>1501</v>
      </c>
      <c r="D6" s="1158" t="s">
        <v>1502</v>
      </c>
      <c r="E6" s="1158" t="s">
        <v>1503</v>
      </c>
      <c r="F6" s="1159" t="s">
        <v>1504</v>
      </c>
      <c r="G6" s="1160" t="s">
        <v>1505</v>
      </c>
      <c r="H6" s="1161" t="s">
        <v>1502</v>
      </c>
      <c r="J6" s="1187"/>
      <c r="K6" s="1188"/>
    </row>
    <row r="7" spans="3:17" ht="35.4" customHeight="1" thickBot="1" x14ac:dyDescent="0.35">
      <c r="C7" s="1137" t="s">
        <v>1506</v>
      </c>
      <c r="D7" s="14" t="s">
        <v>1507</v>
      </c>
      <c r="E7" s="14" t="s">
        <v>1508</v>
      </c>
      <c r="F7" s="1144" t="s">
        <v>1509</v>
      </c>
      <c r="G7" s="798" t="s">
        <v>1510</v>
      </c>
      <c r="H7" s="824" t="s">
        <v>1507</v>
      </c>
      <c r="J7" s="1187"/>
      <c r="K7" s="1188"/>
    </row>
    <row r="8" spans="3:17" ht="36" customHeight="1" thickBot="1" x14ac:dyDescent="0.35">
      <c r="C8" s="1138" t="s">
        <v>1511</v>
      </c>
      <c r="D8" s="15" t="s">
        <v>1512</v>
      </c>
      <c r="E8" s="15" t="s">
        <v>1513</v>
      </c>
      <c r="F8" s="1145" t="s">
        <v>1514</v>
      </c>
      <c r="G8" s="799" t="s">
        <v>1515</v>
      </c>
      <c r="H8" s="825" t="s">
        <v>1512</v>
      </c>
      <c r="J8" s="1187"/>
      <c r="K8" s="1188"/>
      <c r="Q8" s="713"/>
    </row>
    <row r="9" spans="3:17" ht="35.4" customHeight="1" thickBot="1" x14ac:dyDescent="0.35">
      <c r="C9" s="1139" t="s">
        <v>1516</v>
      </c>
      <c r="D9" s="1140" t="s">
        <v>1517</v>
      </c>
      <c r="E9" s="1140" t="s">
        <v>1518</v>
      </c>
      <c r="F9" s="1146" t="s">
        <v>1519</v>
      </c>
      <c r="G9" s="1141" t="s">
        <v>1520</v>
      </c>
      <c r="H9" s="826" t="s">
        <v>1521</v>
      </c>
      <c r="J9" s="1187"/>
      <c r="K9" s="1188"/>
    </row>
    <row r="10" spans="3:17" ht="15" thickBot="1" x14ac:dyDescent="0.35">
      <c r="J10" s="1187"/>
      <c r="K10" s="1188"/>
    </row>
    <row r="11" spans="3:17" ht="49.2" customHeight="1" thickBot="1" x14ac:dyDescent="0.35">
      <c r="D11" s="649"/>
      <c r="E11" s="650" t="s">
        <v>2280</v>
      </c>
      <c r="F11" s="1191" t="s">
        <v>2281</v>
      </c>
      <c r="G11" s="1192"/>
      <c r="J11" s="1187"/>
      <c r="K11" s="1188"/>
    </row>
    <row r="12" spans="3:17" ht="68.400000000000006" customHeight="1" x14ac:dyDescent="0.3">
      <c r="D12" s="1193" t="s">
        <v>2274</v>
      </c>
      <c r="E12" s="1195">
        <f>+'SEGUIMIENTO DEL PLAN DE DESARRO'!O3</f>
        <v>0.38817788553052263</v>
      </c>
      <c r="F12" s="1197" t="s">
        <v>2128</v>
      </c>
      <c r="G12" s="1198"/>
      <c r="I12" s="4"/>
      <c r="J12" s="1187"/>
      <c r="K12" s="1188"/>
      <c r="P12" s="728"/>
      <c r="Q12" s="6"/>
    </row>
    <row r="13" spans="3:17" ht="15" customHeight="1" thickBot="1" x14ac:dyDescent="0.35">
      <c r="D13" s="1194"/>
      <c r="E13" s="1196"/>
      <c r="F13" s="1199"/>
      <c r="G13" s="1200"/>
      <c r="J13" s="1189"/>
      <c r="K13" s="1190"/>
    </row>
    <row r="14" spans="3:17" ht="15" thickBot="1" x14ac:dyDescent="0.35"/>
    <row r="15" spans="3:17" ht="30.6" hidden="1" customHeight="1" thickBot="1" x14ac:dyDescent="0.35"/>
    <row r="16" spans="3:17" ht="50.4" customHeight="1" thickBot="1" x14ac:dyDescent="0.35">
      <c r="C16" s="58" t="s">
        <v>1523</v>
      </c>
      <c r="D16" s="59" t="s">
        <v>1524</v>
      </c>
      <c r="E16" s="59" t="s">
        <v>1525</v>
      </c>
      <c r="F16" s="642" t="s">
        <v>2270</v>
      </c>
      <c r="G16" s="60" t="s">
        <v>2282</v>
      </c>
      <c r="H16" s="61" t="s">
        <v>2283</v>
      </c>
      <c r="J16" s="1185" t="s">
        <v>2272</v>
      </c>
      <c r="K16" s="1186"/>
      <c r="P16" s="728"/>
      <c r="Q16" s="6"/>
    </row>
    <row r="17" spans="3:17" ht="14.4" customHeight="1" x14ac:dyDescent="0.3">
      <c r="C17" s="1204" t="s">
        <v>1526</v>
      </c>
      <c r="D17" s="1206"/>
      <c r="E17" s="1208" t="s">
        <v>1527</v>
      </c>
      <c r="F17" s="1210" t="s">
        <v>2298</v>
      </c>
      <c r="G17" s="1212">
        <f>+'SEGUIMIENTO DEL PLAN DE DESARRO'!K3</f>
        <v>0.57644411772037973</v>
      </c>
      <c r="H17" s="1215" t="s">
        <v>2305</v>
      </c>
      <c r="J17" s="1187"/>
      <c r="K17" s="1188"/>
      <c r="P17" s="742"/>
    </row>
    <row r="18" spans="3:17" ht="15" customHeight="1" thickBot="1" x14ac:dyDescent="0.35">
      <c r="C18" s="1205"/>
      <c r="D18" s="1207"/>
      <c r="E18" s="1209"/>
      <c r="F18" s="1211"/>
      <c r="G18" s="1213"/>
      <c r="H18" s="1216"/>
      <c r="J18" s="1187"/>
      <c r="K18" s="1188"/>
      <c r="P18" s="742"/>
    </row>
    <row r="19" spans="3:17" ht="24.6" customHeight="1" x14ac:dyDescent="0.3">
      <c r="C19" s="1204" t="s">
        <v>1528</v>
      </c>
      <c r="D19" s="1218"/>
      <c r="E19" s="1208" t="s">
        <v>1529</v>
      </c>
      <c r="F19" s="1220" t="s">
        <v>2297</v>
      </c>
      <c r="G19" s="1213"/>
      <c r="H19" s="1216"/>
      <c r="J19" s="1187"/>
      <c r="K19" s="1188"/>
      <c r="Q19" s="6"/>
    </row>
    <row r="20" spans="3:17" ht="15" customHeight="1" thickBot="1" x14ac:dyDescent="0.35">
      <c r="C20" s="1205"/>
      <c r="D20" s="1219"/>
      <c r="E20" s="1209"/>
      <c r="F20" s="1221"/>
      <c r="G20" s="1213"/>
      <c r="H20" s="1216"/>
      <c r="J20" s="1187"/>
      <c r="K20" s="1188"/>
    </row>
    <row r="21" spans="3:17" ht="27" thickBot="1" x14ac:dyDescent="0.35">
      <c r="C21" s="1053" t="s">
        <v>1506</v>
      </c>
      <c r="D21" s="17"/>
      <c r="E21" s="21" t="s">
        <v>1530</v>
      </c>
      <c r="F21" s="112" t="s">
        <v>2296</v>
      </c>
      <c r="G21" s="1213"/>
      <c r="H21" s="1216"/>
      <c r="J21" s="1187"/>
      <c r="K21" s="1188"/>
      <c r="Q21" s="713"/>
    </row>
    <row r="22" spans="3:17" ht="27" thickBot="1" x14ac:dyDescent="0.35">
      <c r="C22" s="1053" t="s">
        <v>1531</v>
      </c>
      <c r="D22" s="19"/>
      <c r="E22" s="18" t="s">
        <v>1532</v>
      </c>
      <c r="F22" s="731" t="s">
        <v>2295</v>
      </c>
      <c r="G22" s="1213"/>
      <c r="H22" s="1216"/>
      <c r="J22" s="1187"/>
      <c r="K22" s="1188"/>
      <c r="Q22" s="6"/>
    </row>
    <row r="23" spans="3:17" ht="37.200000000000003" customHeight="1" thickBot="1" x14ac:dyDescent="0.35">
      <c r="C23" s="1053" t="s">
        <v>1533</v>
      </c>
      <c r="D23" s="20"/>
      <c r="E23" s="18" t="s">
        <v>1534</v>
      </c>
      <c r="F23" s="113">
        <f>+L29*0.299</f>
        <v>0.23974996146755678</v>
      </c>
      <c r="G23" s="1214"/>
      <c r="H23" s="1217"/>
      <c r="J23" s="1189"/>
      <c r="K23" s="1190"/>
      <c r="P23" s="6"/>
      <c r="Q23" s="6"/>
    </row>
    <row r="24" spans="3:17" x14ac:dyDescent="0.3">
      <c r="F24" s="70"/>
    </row>
    <row r="25" spans="3:17" ht="15" thickBot="1" x14ac:dyDescent="0.35">
      <c r="F25" s="73"/>
      <c r="G25" s="73"/>
      <c r="H25" s="654"/>
      <c r="I25" s="73"/>
      <c r="P25" s="73"/>
    </row>
    <row r="26" spans="3:17" ht="49.8" customHeight="1" thickBot="1" x14ac:dyDescent="0.35">
      <c r="C26" s="50" t="s">
        <v>1523</v>
      </c>
      <c r="D26" s="51" t="s">
        <v>1524</v>
      </c>
      <c r="E26" s="52" t="s">
        <v>1525</v>
      </c>
      <c r="H26" s="71"/>
      <c r="N26" s="6"/>
      <c r="O26" s="6"/>
      <c r="Q26" s="651"/>
    </row>
    <row r="27" spans="3:17" ht="20.399999999999999" customHeight="1" x14ac:dyDescent="0.3">
      <c r="C27" s="1225" t="s">
        <v>1526</v>
      </c>
      <c r="D27" s="1206"/>
      <c r="E27" s="1208" t="s">
        <v>1527</v>
      </c>
      <c r="G27" s="1175" t="s">
        <v>1970</v>
      </c>
      <c r="H27" s="1175" t="s">
        <v>1971</v>
      </c>
      <c r="I27" s="1175" t="s">
        <v>1977</v>
      </c>
      <c r="J27" s="1175" t="s">
        <v>2268</v>
      </c>
      <c r="K27" s="1175" t="s">
        <v>2269</v>
      </c>
      <c r="L27" s="1175" t="s">
        <v>2270</v>
      </c>
      <c r="M27" s="1175" t="s">
        <v>2271</v>
      </c>
      <c r="N27" s="1175" t="s">
        <v>2284</v>
      </c>
    </row>
    <row r="28" spans="3:17" ht="28.2" customHeight="1" thickBot="1" x14ac:dyDescent="0.35">
      <c r="C28" s="1226"/>
      <c r="D28" s="1207"/>
      <c r="E28" s="1209"/>
      <c r="G28" s="1176"/>
      <c r="H28" s="1176"/>
      <c r="I28" s="1176"/>
      <c r="J28" s="1176"/>
      <c r="K28" s="1176"/>
      <c r="L28" s="1176"/>
      <c r="M28" s="1176"/>
      <c r="N28" s="1176"/>
    </row>
    <row r="29" spans="3:17" ht="26.4" customHeight="1" x14ac:dyDescent="0.3">
      <c r="C29" s="1225" t="s">
        <v>1528</v>
      </c>
      <c r="D29" s="1227"/>
      <c r="E29" s="1208" t="s">
        <v>1529</v>
      </c>
      <c r="G29" s="1229">
        <v>0.2014</v>
      </c>
      <c r="H29" s="1231">
        <f>+'SEGUIMIENTO DEL PLAN DE DESARRO'!E3</f>
        <v>0.29256753414565928</v>
      </c>
      <c r="I29" s="1231">
        <f>+G29+H29</f>
        <v>0.4939675341456593</v>
      </c>
      <c r="J29" s="1231">
        <v>0.4849</v>
      </c>
      <c r="K29" s="1233">
        <f>+'SEGUIMIENTO DEL PLAN DE DESARRO'!F3</f>
        <v>0.31693933601189556</v>
      </c>
      <c r="L29" s="1233">
        <f>+J29+K29</f>
        <v>0.80183933601189561</v>
      </c>
      <c r="M29" s="1235">
        <v>0.52319293972307812</v>
      </c>
      <c r="N29" s="1233">
        <f>+G17</f>
        <v>0.57644411772037973</v>
      </c>
    </row>
    <row r="30" spans="3:17" ht="25.8" customHeight="1" thickBot="1" x14ac:dyDescent="0.35">
      <c r="C30" s="1226"/>
      <c r="D30" s="1228"/>
      <c r="E30" s="1209"/>
      <c r="G30" s="1230"/>
      <c r="H30" s="1232"/>
      <c r="I30" s="1232"/>
      <c r="J30" s="1232"/>
      <c r="K30" s="1234"/>
      <c r="L30" s="1234"/>
      <c r="M30" s="1236"/>
      <c r="N30" s="1234"/>
    </row>
    <row r="31" spans="3:17" ht="31.8" customHeight="1" thickBot="1" x14ac:dyDescent="0.35">
      <c r="C31" s="1052" t="s">
        <v>1506</v>
      </c>
      <c r="D31" s="17"/>
      <c r="E31" s="54" t="s">
        <v>1530</v>
      </c>
      <c r="L31" s="651"/>
      <c r="M31" s="651"/>
    </row>
    <row r="32" spans="3:17" ht="34.200000000000003" customHeight="1" thickBot="1" x14ac:dyDescent="0.35">
      <c r="C32" s="1052" t="s">
        <v>1531</v>
      </c>
      <c r="D32" s="19"/>
      <c r="E32" s="54" t="s">
        <v>1532</v>
      </c>
      <c r="G32" s="1175" t="s">
        <v>2286</v>
      </c>
      <c r="H32" s="1182">
        <f>+K29/4</f>
        <v>7.9234834002973889E-2</v>
      </c>
    </row>
    <row r="33" spans="3:21" ht="31.8" customHeight="1" thickBot="1" x14ac:dyDescent="0.35">
      <c r="C33" s="55" t="s">
        <v>1533</v>
      </c>
      <c r="D33" s="56"/>
      <c r="E33" s="57" t="s">
        <v>1534</v>
      </c>
      <c r="G33" s="1176"/>
      <c r="H33" s="1184"/>
      <c r="Q33" s="6"/>
      <c r="U33" s="651"/>
    </row>
    <row r="34" spans="3:21" ht="14.4" customHeight="1" x14ac:dyDescent="0.3">
      <c r="G34" s="1175" t="s">
        <v>2285</v>
      </c>
      <c r="H34" s="1222">
        <v>3.8292939723078123E-2</v>
      </c>
    </row>
    <row r="35" spans="3:21" ht="25.8" customHeight="1" x14ac:dyDescent="0.3">
      <c r="G35" s="1181"/>
      <c r="H35" s="1223"/>
    </row>
    <row r="36" spans="3:21" ht="25.8" customHeight="1" thickBot="1" x14ac:dyDescent="0.35">
      <c r="G36" s="1176"/>
      <c r="H36" s="1224"/>
      <c r="K36" s="6"/>
    </row>
    <row r="37" spans="3:21" ht="49.8" customHeight="1" x14ac:dyDescent="0.3">
      <c r="G37" s="1175" t="s">
        <v>2289</v>
      </c>
      <c r="H37" s="1179">
        <f>+H34-H32</f>
        <v>-4.0941894279895766E-2</v>
      </c>
      <c r="K37" s="6"/>
    </row>
    <row r="38" spans="3:21" ht="37.799999999999997" customHeight="1" thickBot="1" x14ac:dyDescent="0.35">
      <c r="G38" s="1176"/>
      <c r="H38" s="1180"/>
      <c r="K38" s="6"/>
    </row>
    <row r="39" spans="3:21" ht="24.6" customHeight="1" x14ac:dyDescent="0.3">
      <c r="G39" s="1175" t="s">
        <v>2287</v>
      </c>
      <c r="H39" s="1182">
        <f>+N29-M29</f>
        <v>5.3251177997301613E-2</v>
      </c>
    </row>
    <row r="40" spans="3:21" ht="24.6" customHeight="1" x14ac:dyDescent="0.3">
      <c r="G40" s="1181"/>
      <c r="H40" s="1183"/>
      <c r="R40" s="6"/>
    </row>
    <row r="41" spans="3:21" ht="24.6" customHeight="1" thickBot="1" x14ac:dyDescent="0.35">
      <c r="G41" s="1176"/>
      <c r="H41" s="1184"/>
      <c r="R41" s="651"/>
    </row>
    <row r="42" spans="3:21" ht="42.6" customHeight="1" x14ac:dyDescent="0.3">
      <c r="G42" s="1175" t="s">
        <v>2288</v>
      </c>
      <c r="H42" s="1177">
        <f>+H39-H32</f>
        <v>-2.5983656005672276E-2</v>
      </c>
      <c r="Q42" s="6"/>
    </row>
    <row r="43" spans="3:21" ht="38.4" customHeight="1" thickBot="1" x14ac:dyDescent="0.35">
      <c r="G43" s="1176"/>
      <c r="H43" s="1178"/>
    </row>
    <row r="44" spans="3:21" ht="60.6" customHeight="1" x14ac:dyDescent="0.3"/>
    <row r="45" spans="3:21" ht="36" customHeight="1" x14ac:dyDescent="0.3"/>
    <row r="46" spans="3:21" ht="15" customHeight="1" x14ac:dyDescent="0.3"/>
    <row r="47" spans="3:21" ht="31.2" customHeight="1" x14ac:dyDescent="0.3">
      <c r="J47" s="73"/>
      <c r="K47" s="73"/>
      <c r="N47" s="6"/>
      <c r="O47" s="6"/>
    </row>
    <row r="48" spans="3:21" ht="15" customHeight="1" x14ac:dyDescent="0.3"/>
    <row r="49" spans="8:8" ht="14.4" customHeight="1" x14ac:dyDescent="0.3"/>
    <row r="50" spans="8:8" ht="44.4" customHeight="1" x14ac:dyDescent="0.3"/>
    <row r="61" spans="8:8" x14ac:dyDescent="0.3">
      <c r="H61" s="66"/>
    </row>
    <row r="63" spans="8:8" x14ac:dyDescent="0.3">
      <c r="H63" s="66"/>
    </row>
    <row r="67" spans="8:8" x14ac:dyDescent="0.3">
      <c r="H67" s="66"/>
    </row>
  </sheetData>
  <sheetProtection password="DF7C" sheet="1" objects="1" scenarios="1"/>
  <mergeCells count="49">
    <mergeCell ref="L27:L28"/>
    <mergeCell ref="J29:J30"/>
    <mergeCell ref="K29:K30"/>
    <mergeCell ref="L29:L30"/>
    <mergeCell ref="N27:N28"/>
    <mergeCell ref="N29:N30"/>
    <mergeCell ref="M27:M28"/>
    <mergeCell ref="M29:M30"/>
    <mergeCell ref="I27:I28"/>
    <mergeCell ref="I29:I30"/>
    <mergeCell ref="H27:H28"/>
    <mergeCell ref="J27:J28"/>
    <mergeCell ref="K27:K28"/>
    <mergeCell ref="H29:H30"/>
    <mergeCell ref="G32:G33"/>
    <mergeCell ref="H32:H33"/>
    <mergeCell ref="G34:G36"/>
    <mergeCell ref="H34:H36"/>
    <mergeCell ref="C27:C28"/>
    <mergeCell ref="D27:D28"/>
    <mergeCell ref="E27:E28"/>
    <mergeCell ref="G27:G28"/>
    <mergeCell ref="C29:C30"/>
    <mergeCell ref="D29:D30"/>
    <mergeCell ref="E29:E30"/>
    <mergeCell ref="G29:G30"/>
    <mergeCell ref="J16:K23"/>
    <mergeCell ref="C17:C18"/>
    <mergeCell ref="D17:D18"/>
    <mergeCell ref="E17:E18"/>
    <mergeCell ref="F17:F18"/>
    <mergeCell ref="G17:G23"/>
    <mergeCell ref="H17:H23"/>
    <mergeCell ref="C19:C20"/>
    <mergeCell ref="D19:D20"/>
    <mergeCell ref="E19:E20"/>
    <mergeCell ref="F19:F20"/>
    <mergeCell ref="J3:K13"/>
    <mergeCell ref="F11:G11"/>
    <mergeCell ref="D12:D13"/>
    <mergeCell ref="E12:E13"/>
    <mergeCell ref="F12:G13"/>
    <mergeCell ref="C3:H3"/>
    <mergeCell ref="G42:G43"/>
    <mergeCell ref="H42:H43"/>
    <mergeCell ref="G37:G38"/>
    <mergeCell ref="H37:H38"/>
    <mergeCell ref="G39:G41"/>
    <mergeCell ref="H39:H41"/>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T67"/>
  <sheetViews>
    <sheetView zoomScale="60" zoomScaleNormal="60" workbookViewId="0">
      <selection activeCell="P12" sqref="P12"/>
    </sheetView>
  </sheetViews>
  <sheetFormatPr baseColWidth="10" defaultRowHeight="14.4" x14ac:dyDescent="0.3"/>
  <cols>
    <col min="3" max="3" width="22.21875" customWidth="1"/>
    <col min="4" max="4" width="26.6640625" customWidth="1"/>
    <col min="5" max="5" width="26.109375" customWidth="1"/>
    <col min="6" max="6" width="19.88671875" customWidth="1"/>
    <col min="7" max="7" width="31.44140625" customWidth="1"/>
    <col min="8" max="8" width="34" customWidth="1"/>
    <col min="9" max="9" width="25.6640625" customWidth="1"/>
    <col min="10" max="10" width="13" bestFit="1" customWidth="1"/>
    <col min="16" max="16" width="30.109375" customWidth="1"/>
  </cols>
  <sheetData>
    <row r="2" spans="3:16" ht="15" thickBot="1" x14ac:dyDescent="0.35"/>
    <row r="3" spans="3:16" ht="30" customHeight="1" thickBot="1" x14ac:dyDescent="0.35">
      <c r="C3" s="1201" t="s">
        <v>1489</v>
      </c>
      <c r="D3" s="1202"/>
      <c r="E3" s="1202"/>
      <c r="F3" s="1202"/>
      <c r="G3" s="1202"/>
      <c r="H3" s="1202"/>
      <c r="I3" s="1203"/>
      <c r="J3" s="1264" t="s">
        <v>1522</v>
      </c>
      <c r="K3" s="1265"/>
    </row>
    <row r="4" spans="3:16" ht="44.4" customHeight="1" thickBot="1" x14ac:dyDescent="0.35">
      <c r="C4" s="106" t="s">
        <v>1490</v>
      </c>
      <c r="D4" s="11" t="s">
        <v>1491</v>
      </c>
      <c r="E4" s="11" t="s">
        <v>1492</v>
      </c>
      <c r="F4" s="11" t="s">
        <v>1493</v>
      </c>
      <c r="G4" s="820" t="s">
        <v>1494</v>
      </c>
      <c r="H4" s="821" t="s">
        <v>2165</v>
      </c>
      <c r="I4" s="827" t="s">
        <v>1495</v>
      </c>
      <c r="J4" s="1266"/>
      <c r="K4" s="1267"/>
    </row>
    <row r="5" spans="3:16" ht="37.200000000000003" customHeight="1" thickBot="1" x14ac:dyDescent="0.35">
      <c r="C5" s="107" t="s">
        <v>1496</v>
      </c>
      <c r="D5" s="12" t="s">
        <v>1497</v>
      </c>
      <c r="E5" s="12" t="s">
        <v>1498</v>
      </c>
      <c r="F5" s="12" t="s">
        <v>1499</v>
      </c>
      <c r="G5" s="796" t="s">
        <v>1500</v>
      </c>
      <c r="H5" s="822" t="s">
        <v>2170</v>
      </c>
      <c r="I5" s="828" t="s">
        <v>1497</v>
      </c>
      <c r="J5" s="1266"/>
      <c r="K5" s="1267"/>
    </row>
    <row r="6" spans="3:16" ht="43.2" customHeight="1" thickBot="1" x14ac:dyDescent="0.35">
      <c r="C6" s="108" t="s">
        <v>1501</v>
      </c>
      <c r="D6" s="13" t="s">
        <v>1502</v>
      </c>
      <c r="E6" s="13" t="s">
        <v>1503</v>
      </c>
      <c r="F6" s="13" t="s">
        <v>1504</v>
      </c>
      <c r="G6" s="797" t="s">
        <v>1505</v>
      </c>
      <c r="H6" s="823" t="s">
        <v>2169</v>
      </c>
      <c r="I6" s="829" t="s">
        <v>1502</v>
      </c>
      <c r="J6" s="1266"/>
      <c r="K6" s="1267"/>
    </row>
    <row r="7" spans="3:16" ht="35.4" customHeight="1" thickBot="1" x14ac:dyDescent="0.35">
      <c r="C7" s="109" t="s">
        <v>1506</v>
      </c>
      <c r="D7" s="14" t="s">
        <v>1507</v>
      </c>
      <c r="E7" s="14" t="s">
        <v>1508</v>
      </c>
      <c r="F7" s="14" t="s">
        <v>1509</v>
      </c>
      <c r="G7" s="798" t="s">
        <v>1510</v>
      </c>
      <c r="H7" s="824" t="s">
        <v>2168</v>
      </c>
      <c r="I7" s="830" t="s">
        <v>1507</v>
      </c>
      <c r="J7" s="1266"/>
      <c r="K7" s="1267"/>
    </row>
    <row r="8" spans="3:16" ht="36" customHeight="1" thickBot="1" x14ac:dyDescent="0.35">
      <c r="C8" s="110" t="s">
        <v>1511</v>
      </c>
      <c r="D8" s="15" t="s">
        <v>1512</v>
      </c>
      <c r="E8" s="15" t="s">
        <v>1513</v>
      </c>
      <c r="F8" s="15" t="s">
        <v>1514</v>
      </c>
      <c r="G8" s="799" t="s">
        <v>1515</v>
      </c>
      <c r="H8" s="825" t="s">
        <v>2167</v>
      </c>
      <c r="I8" s="831" t="s">
        <v>1512</v>
      </c>
      <c r="J8" s="1266"/>
      <c r="K8" s="1267"/>
      <c r="P8" s="713"/>
    </row>
    <row r="9" spans="3:16" ht="35.4" customHeight="1" thickBot="1" x14ac:dyDescent="0.35">
      <c r="C9" s="111" t="s">
        <v>1516</v>
      </c>
      <c r="D9" s="16" t="s">
        <v>1517</v>
      </c>
      <c r="E9" s="16" t="s">
        <v>1518</v>
      </c>
      <c r="F9" s="16" t="s">
        <v>1519</v>
      </c>
      <c r="G9" s="800" t="s">
        <v>1520</v>
      </c>
      <c r="H9" s="826" t="s">
        <v>2166</v>
      </c>
      <c r="I9" s="832" t="s">
        <v>1521</v>
      </c>
      <c r="J9" s="1266"/>
      <c r="K9" s="1267"/>
    </row>
    <row r="10" spans="3:16" ht="15" thickBot="1" x14ac:dyDescent="0.35">
      <c r="J10" s="1266"/>
      <c r="K10" s="1267"/>
    </row>
    <row r="11" spans="3:16" ht="49.2" customHeight="1" thickBot="1" x14ac:dyDescent="0.35">
      <c r="D11" s="649"/>
      <c r="E11" s="650" t="s">
        <v>2005</v>
      </c>
      <c r="F11" s="1191" t="s">
        <v>2185</v>
      </c>
      <c r="G11" s="1192"/>
      <c r="J11" s="1266"/>
      <c r="K11" s="1267"/>
    </row>
    <row r="12" spans="3:16" ht="68.400000000000006" customHeight="1" x14ac:dyDescent="0.3">
      <c r="D12" s="1193" t="s">
        <v>1975</v>
      </c>
      <c r="E12" s="1280">
        <f>+'PLAN DE DESARROLLO 2024 - 2027'!K3</f>
        <v>0.84057533830791298</v>
      </c>
      <c r="F12" s="1282" t="s">
        <v>2128</v>
      </c>
      <c r="G12" s="1283"/>
      <c r="I12" s="4"/>
      <c r="J12" s="1266"/>
      <c r="K12" s="1267"/>
      <c r="O12" s="728"/>
      <c r="P12" s="6"/>
    </row>
    <row r="13" spans="3:16" ht="15" customHeight="1" thickBot="1" x14ac:dyDescent="0.35">
      <c r="D13" s="1194"/>
      <c r="E13" s="1281"/>
      <c r="F13" s="1284"/>
      <c r="G13" s="1285"/>
      <c r="J13" s="1268"/>
      <c r="K13" s="1269"/>
    </row>
    <row r="14" spans="3:16" ht="15" thickBot="1" x14ac:dyDescent="0.35"/>
    <row r="15" spans="3:16" ht="30.6" hidden="1" customHeight="1" thickBot="1" x14ac:dyDescent="0.35"/>
    <row r="16" spans="3:16" ht="50.4" customHeight="1" thickBot="1" x14ac:dyDescent="0.35">
      <c r="C16" s="58" t="s">
        <v>1523</v>
      </c>
      <c r="D16" s="59" t="s">
        <v>1524</v>
      </c>
      <c r="E16" s="59" t="s">
        <v>1525</v>
      </c>
      <c r="F16" s="642" t="str">
        <f>+I27</f>
        <v>ESPERADO ACUMULADO A  DICIEMBRE 2025</v>
      </c>
      <c r="G16" s="60" t="s">
        <v>2186</v>
      </c>
      <c r="H16" s="61" t="s">
        <v>2187</v>
      </c>
      <c r="J16" s="1264" t="s">
        <v>2273</v>
      </c>
      <c r="K16" s="1265"/>
      <c r="O16" s="728"/>
      <c r="P16" s="6"/>
    </row>
    <row r="17" spans="3:16" ht="14.4" customHeight="1" x14ac:dyDescent="0.3">
      <c r="C17" s="1204" t="s">
        <v>1526</v>
      </c>
      <c r="D17" s="1206"/>
      <c r="E17" s="1208" t="s">
        <v>1527</v>
      </c>
      <c r="F17" s="1210" t="s">
        <v>2154</v>
      </c>
      <c r="G17" s="1272">
        <f>+'PLAN DE DESARROLLO 2024 - 2027'!O3</f>
        <v>0.4849477038031102</v>
      </c>
      <c r="H17" s="1275" t="s">
        <v>2202</v>
      </c>
      <c r="J17" s="1266"/>
      <c r="K17" s="1267"/>
      <c r="O17" s="742"/>
    </row>
    <row r="18" spans="3:16" ht="15" customHeight="1" thickBot="1" x14ac:dyDescent="0.35">
      <c r="C18" s="1205"/>
      <c r="D18" s="1207"/>
      <c r="E18" s="1209"/>
      <c r="F18" s="1211"/>
      <c r="G18" s="1273"/>
      <c r="H18" s="1276"/>
      <c r="J18" s="1266"/>
      <c r="K18" s="1267"/>
      <c r="O18" s="742"/>
    </row>
    <row r="19" spans="3:16" ht="24.6" customHeight="1" x14ac:dyDescent="0.3">
      <c r="C19" s="1204" t="s">
        <v>1528</v>
      </c>
      <c r="D19" s="1227"/>
      <c r="E19" s="1208" t="s">
        <v>1529</v>
      </c>
      <c r="F19" s="1220" t="s">
        <v>2153</v>
      </c>
      <c r="G19" s="1273"/>
      <c r="H19" s="1276"/>
      <c r="J19" s="1266"/>
      <c r="K19" s="1267"/>
      <c r="P19" s="6"/>
    </row>
    <row r="20" spans="3:16" ht="15" customHeight="1" thickBot="1" x14ac:dyDescent="0.35">
      <c r="C20" s="1205"/>
      <c r="D20" s="1228"/>
      <c r="E20" s="1209"/>
      <c r="F20" s="1221"/>
      <c r="G20" s="1273"/>
      <c r="H20" s="1276"/>
      <c r="J20" s="1266"/>
      <c r="K20" s="1267"/>
    </row>
    <row r="21" spans="3:16" ht="27" thickBot="1" x14ac:dyDescent="0.35">
      <c r="C21" s="712" t="s">
        <v>1506</v>
      </c>
      <c r="D21" s="17"/>
      <c r="E21" s="21" t="s">
        <v>1530</v>
      </c>
      <c r="F21" s="112" t="s">
        <v>2152</v>
      </c>
      <c r="G21" s="1273"/>
      <c r="H21" s="1276"/>
      <c r="J21" s="1266"/>
      <c r="K21" s="1267"/>
      <c r="P21" s="713"/>
    </row>
    <row r="22" spans="3:16" ht="27" thickBot="1" x14ac:dyDescent="0.35">
      <c r="C22" s="712" t="s">
        <v>1531</v>
      </c>
      <c r="D22" s="19"/>
      <c r="E22" s="18" t="s">
        <v>1532</v>
      </c>
      <c r="F22" s="731" t="s">
        <v>2151</v>
      </c>
      <c r="G22" s="1273"/>
      <c r="H22" s="1276"/>
      <c r="J22" s="1266"/>
      <c r="K22" s="1267"/>
      <c r="P22" s="6"/>
    </row>
    <row r="23" spans="3:16" ht="37.200000000000003" customHeight="1" thickBot="1" x14ac:dyDescent="0.35">
      <c r="C23" s="712" t="s">
        <v>1533</v>
      </c>
      <c r="D23" s="20"/>
      <c r="E23" s="18" t="s">
        <v>1534</v>
      </c>
      <c r="F23" s="113">
        <f>+I29*0.299</f>
        <v>0.14769629270955212</v>
      </c>
      <c r="G23" s="1274"/>
      <c r="H23" s="1277"/>
      <c r="J23" s="1268"/>
      <c r="K23" s="1269"/>
      <c r="O23" s="6"/>
      <c r="P23" s="6"/>
    </row>
    <row r="24" spans="3:16" x14ac:dyDescent="0.3">
      <c r="F24" s="70"/>
    </row>
    <row r="25" spans="3:16" ht="15" thickBot="1" x14ac:dyDescent="0.35">
      <c r="F25" s="73"/>
      <c r="G25" s="73"/>
      <c r="H25" s="654"/>
      <c r="I25" s="73"/>
      <c r="O25" s="73"/>
    </row>
    <row r="26" spans="3:16" ht="49.8" customHeight="1" thickBot="1" x14ac:dyDescent="0.35">
      <c r="C26" s="50" t="s">
        <v>1523</v>
      </c>
      <c r="D26" s="51" t="s">
        <v>1524</v>
      </c>
      <c r="E26" s="52" t="s">
        <v>1525</v>
      </c>
      <c r="H26" s="71"/>
      <c r="M26" s="6"/>
      <c r="N26" s="6"/>
      <c r="P26" s="651"/>
    </row>
    <row r="27" spans="3:16" ht="20.399999999999999" customHeight="1" x14ac:dyDescent="0.3">
      <c r="C27" s="1225" t="s">
        <v>1526</v>
      </c>
      <c r="D27" s="1206"/>
      <c r="E27" s="1208" t="s">
        <v>1527</v>
      </c>
      <c r="G27" s="1175" t="s">
        <v>1970</v>
      </c>
      <c r="H27" s="1175" t="s">
        <v>1971</v>
      </c>
      <c r="I27" s="1175" t="s">
        <v>1977</v>
      </c>
    </row>
    <row r="28" spans="3:16" ht="28.2" customHeight="1" thickBot="1" x14ac:dyDescent="0.35">
      <c r="C28" s="1226"/>
      <c r="D28" s="1207"/>
      <c r="E28" s="1209"/>
      <c r="G28" s="1176"/>
      <c r="H28" s="1176"/>
      <c r="I28" s="1176"/>
      <c r="M28" s="73"/>
    </row>
    <row r="29" spans="3:16" ht="26.4" customHeight="1" x14ac:dyDescent="0.3">
      <c r="C29" s="1225" t="s">
        <v>1528</v>
      </c>
      <c r="D29" s="1227"/>
      <c r="E29" s="1208" t="s">
        <v>1529</v>
      </c>
      <c r="G29" s="1278">
        <v>0.2014</v>
      </c>
      <c r="H29" s="1270">
        <f>+'SEGUIMIENTO DEL PLAN DE DESARRO'!E3</f>
        <v>0.29256753414565928</v>
      </c>
      <c r="I29" s="1270">
        <f>+G29+H29</f>
        <v>0.4939675341456593</v>
      </c>
      <c r="K29" s="6"/>
      <c r="N29" s="6"/>
    </row>
    <row r="30" spans="3:16" ht="25.8" customHeight="1" thickBot="1" x14ac:dyDescent="0.35">
      <c r="C30" s="1226"/>
      <c r="D30" s="1228"/>
      <c r="E30" s="1209"/>
      <c r="G30" s="1279"/>
      <c r="H30" s="1271"/>
      <c r="I30" s="1271"/>
    </row>
    <row r="31" spans="3:16" ht="27" thickBot="1" x14ac:dyDescent="0.35">
      <c r="C31" s="53" t="s">
        <v>1506</v>
      </c>
      <c r="D31" s="17"/>
      <c r="E31" s="54" t="s">
        <v>1530</v>
      </c>
      <c r="L31" s="651"/>
    </row>
    <row r="32" spans="3:16" ht="27" customHeight="1" thickBot="1" x14ac:dyDescent="0.35">
      <c r="C32" s="53" t="s">
        <v>1531</v>
      </c>
      <c r="D32" s="19"/>
      <c r="E32" s="54" t="s">
        <v>1532</v>
      </c>
      <c r="G32" s="1175" t="s">
        <v>1972</v>
      </c>
      <c r="H32" s="1270">
        <f>+H29/4</f>
        <v>7.314188353641482E-2</v>
      </c>
      <c r="J32" s="1247" t="s">
        <v>1993</v>
      </c>
      <c r="K32" s="1248"/>
      <c r="L32" s="1249"/>
      <c r="M32" s="1253">
        <v>0.23949999999999999</v>
      </c>
      <c r="N32" s="1254"/>
    </row>
    <row r="33" spans="3:20" ht="15" customHeight="1" thickBot="1" x14ac:dyDescent="0.35">
      <c r="C33" s="55" t="s">
        <v>1533</v>
      </c>
      <c r="D33" s="56"/>
      <c r="E33" s="57" t="s">
        <v>1534</v>
      </c>
      <c r="G33" s="1176"/>
      <c r="H33" s="1271"/>
      <c r="J33" s="1250"/>
      <c r="K33" s="1251"/>
      <c r="L33" s="1252"/>
      <c r="M33" s="1255"/>
      <c r="N33" s="1256"/>
      <c r="P33" s="6"/>
      <c r="T33" s="651"/>
    </row>
    <row r="34" spans="3:20" ht="14.4" customHeight="1" x14ac:dyDescent="0.3">
      <c r="G34" s="1175" t="s">
        <v>1973</v>
      </c>
      <c r="H34" s="1261">
        <f>+M32-G29</f>
        <v>3.8099999999999995E-2</v>
      </c>
      <c r="J34" s="1247" t="s">
        <v>2036</v>
      </c>
      <c r="K34" s="1248"/>
      <c r="L34" s="1249"/>
      <c r="M34" s="1253">
        <v>0.3135</v>
      </c>
      <c r="N34" s="1254"/>
    </row>
    <row r="35" spans="3:20" ht="15" thickBot="1" x14ac:dyDescent="0.35">
      <c r="G35" s="1181"/>
      <c r="H35" s="1262"/>
      <c r="J35" s="1250"/>
      <c r="K35" s="1251"/>
      <c r="L35" s="1252"/>
      <c r="M35" s="1255"/>
      <c r="N35" s="1256"/>
    </row>
    <row r="36" spans="3:20" ht="15" customHeight="1" thickBot="1" x14ac:dyDescent="0.35">
      <c r="G36" s="1176"/>
      <c r="H36" s="1263"/>
      <c r="J36" s="1247" t="s">
        <v>2060</v>
      </c>
      <c r="K36" s="1248"/>
      <c r="L36" s="1249"/>
      <c r="M36" s="1253">
        <v>0.38419999999999999</v>
      </c>
      <c r="N36" s="1254"/>
    </row>
    <row r="37" spans="3:20" ht="15" customHeight="1" thickBot="1" x14ac:dyDescent="0.35">
      <c r="G37" s="1175" t="s">
        <v>2006</v>
      </c>
      <c r="H37" s="1245">
        <f>+M34-M32</f>
        <v>7.400000000000001E-2</v>
      </c>
      <c r="J37" s="1250"/>
      <c r="K37" s="1251"/>
      <c r="L37" s="1252"/>
      <c r="M37" s="1255"/>
      <c r="N37" s="1256"/>
    </row>
    <row r="38" spans="3:20" ht="24.6" customHeight="1" thickBot="1" x14ac:dyDescent="0.35">
      <c r="G38" s="1176"/>
      <c r="H38" s="1246"/>
      <c r="I38" s="6"/>
      <c r="J38" s="1247" t="s">
        <v>2188</v>
      </c>
      <c r="K38" s="1248"/>
      <c r="L38" s="1249"/>
      <c r="M38" s="1257">
        <f>+G17</f>
        <v>0.4849477038031102</v>
      </c>
      <c r="N38" s="1258"/>
    </row>
    <row r="39" spans="3:20" ht="24.6" customHeight="1" thickBot="1" x14ac:dyDescent="0.35">
      <c r="G39" s="1175" t="s">
        <v>2146</v>
      </c>
      <c r="H39" s="1243">
        <f>+M36-M34</f>
        <v>7.0699999999999985E-2</v>
      </c>
      <c r="I39" s="6"/>
      <c r="J39" s="1250"/>
      <c r="K39" s="1251"/>
      <c r="L39" s="1252"/>
      <c r="M39" s="1259"/>
      <c r="N39" s="1260"/>
    </row>
    <row r="40" spans="3:20" ht="24.6" customHeight="1" thickBot="1" x14ac:dyDescent="0.35">
      <c r="G40" s="1176"/>
      <c r="H40" s="1244"/>
      <c r="I40" s="6"/>
      <c r="K40" s="651"/>
      <c r="L40" s="6"/>
      <c r="Q40" s="6"/>
    </row>
    <row r="41" spans="3:20" ht="24.6" customHeight="1" x14ac:dyDescent="0.3">
      <c r="G41" s="1175" t="s">
        <v>2193</v>
      </c>
      <c r="H41" s="1243">
        <f>+M38-M36</f>
        <v>0.10074770380311021</v>
      </c>
      <c r="I41" s="6"/>
      <c r="K41" s="651"/>
      <c r="L41" s="6"/>
      <c r="Q41" s="651"/>
    </row>
    <row r="42" spans="3:20" ht="24.6" customHeight="1" thickBot="1" x14ac:dyDescent="0.35">
      <c r="G42" s="1176"/>
      <c r="H42" s="1244"/>
      <c r="I42" s="6"/>
      <c r="K42" s="651"/>
      <c r="L42" s="6"/>
      <c r="N42" s="6"/>
      <c r="P42" s="6"/>
    </row>
    <row r="43" spans="3:20" ht="38.4" customHeight="1" thickBot="1" x14ac:dyDescent="0.35">
      <c r="G43" s="1175" t="s">
        <v>1974</v>
      </c>
      <c r="H43" s="1222">
        <f>+H34-H32</f>
        <v>-3.5041883536414825E-2</v>
      </c>
      <c r="J43" s="6"/>
      <c r="M43" s="651"/>
      <c r="N43" s="6"/>
    </row>
    <row r="44" spans="3:20" ht="36.6" customHeight="1" thickBot="1" x14ac:dyDescent="0.45">
      <c r="G44" s="1176"/>
      <c r="H44" s="1224"/>
      <c r="J44" s="706"/>
      <c r="K44" s="1239" t="s">
        <v>2192</v>
      </c>
      <c r="L44" s="1240"/>
      <c r="M44" s="1237">
        <v>0.43159999999999998</v>
      </c>
      <c r="N44" s="1238"/>
    </row>
    <row r="45" spans="3:20" ht="36" customHeight="1" x14ac:dyDescent="0.3">
      <c r="G45" s="1175" t="s">
        <v>2007</v>
      </c>
      <c r="H45" s="1241">
        <f>H37-H32</f>
        <v>8.5811646358519011E-4</v>
      </c>
      <c r="K45" s="654"/>
      <c r="M45" s="651"/>
    </row>
    <row r="46" spans="3:20" ht="15" customHeight="1" thickBot="1" x14ac:dyDescent="0.35">
      <c r="G46" s="1176"/>
      <c r="H46" s="1242"/>
    </row>
    <row r="47" spans="3:20" ht="31.2" customHeight="1" x14ac:dyDescent="0.3">
      <c r="G47" s="1175" t="s">
        <v>2147</v>
      </c>
      <c r="H47" s="1222">
        <f>+H39-H32</f>
        <v>-2.441883536414835E-3</v>
      </c>
      <c r="J47" s="73"/>
      <c r="K47" s="73"/>
      <c r="M47" s="6"/>
      <c r="N47" s="6"/>
    </row>
    <row r="48" spans="3:20" ht="15" thickBot="1" x14ac:dyDescent="0.35">
      <c r="G48" s="1176"/>
      <c r="H48" s="1224"/>
    </row>
    <row r="49" spans="7:8" ht="14.4" customHeight="1" x14ac:dyDescent="0.3">
      <c r="G49" s="1175" t="s">
        <v>2189</v>
      </c>
      <c r="H49" s="1241">
        <f>+H41-H32</f>
        <v>2.7605820266695391E-2</v>
      </c>
    </row>
    <row r="50" spans="7:8" ht="44.4" customHeight="1" thickBot="1" x14ac:dyDescent="0.35">
      <c r="G50" s="1176"/>
      <c r="H50" s="1242"/>
    </row>
    <row r="61" spans="7:8" x14ac:dyDescent="0.3">
      <c r="H61" s="66"/>
    </row>
    <row r="63" spans="7:8" x14ac:dyDescent="0.3">
      <c r="H63" s="66"/>
    </row>
    <row r="67" spans="8:8" x14ac:dyDescent="0.3">
      <c r="H67" s="66"/>
    </row>
  </sheetData>
  <sheetProtection password="DF7C" sheet="1" objects="1" scenarios="1"/>
  <mergeCells count="57">
    <mergeCell ref="J3:K13"/>
    <mergeCell ref="J32:L33"/>
    <mergeCell ref="G32:G33"/>
    <mergeCell ref="H32:H33"/>
    <mergeCell ref="G17:G23"/>
    <mergeCell ref="H17:H23"/>
    <mergeCell ref="G27:G28"/>
    <mergeCell ref="G29:G30"/>
    <mergeCell ref="H27:H28"/>
    <mergeCell ref="H29:H30"/>
    <mergeCell ref="I27:I28"/>
    <mergeCell ref="C3:I3"/>
    <mergeCell ref="D12:D13"/>
    <mergeCell ref="E12:E13"/>
    <mergeCell ref="F11:G11"/>
    <mergeCell ref="F12:G13"/>
    <mergeCell ref="C29:C30"/>
    <mergeCell ref="D29:D30"/>
    <mergeCell ref="E29:E30"/>
    <mergeCell ref="M32:N33"/>
    <mergeCell ref="J16:K23"/>
    <mergeCell ref="F17:F18"/>
    <mergeCell ref="F19:F20"/>
    <mergeCell ref="C17:C18"/>
    <mergeCell ref="E27:E28"/>
    <mergeCell ref="I29:I30"/>
    <mergeCell ref="D17:D18"/>
    <mergeCell ref="E17:E18"/>
    <mergeCell ref="C19:C20"/>
    <mergeCell ref="D19:D20"/>
    <mergeCell ref="E19:E20"/>
    <mergeCell ref="C27:C28"/>
    <mergeCell ref="M34:N35"/>
    <mergeCell ref="J38:L39"/>
    <mergeCell ref="M38:N39"/>
    <mergeCell ref="G34:G36"/>
    <mergeCell ref="H34:H36"/>
    <mergeCell ref="J36:L37"/>
    <mergeCell ref="M36:N37"/>
    <mergeCell ref="G39:G40"/>
    <mergeCell ref="H39:H40"/>
    <mergeCell ref="M44:N44"/>
    <mergeCell ref="K44:L44"/>
    <mergeCell ref="G49:G50"/>
    <mergeCell ref="H49:H50"/>
    <mergeCell ref="D27:D28"/>
    <mergeCell ref="G47:G48"/>
    <mergeCell ref="H47:H48"/>
    <mergeCell ref="H43:H44"/>
    <mergeCell ref="G43:G44"/>
    <mergeCell ref="G41:G42"/>
    <mergeCell ref="H41:H42"/>
    <mergeCell ref="G45:G46"/>
    <mergeCell ref="H45:H46"/>
    <mergeCell ref="G37:G38"/>
    <mergeCell ref="H37:H38"/>
    <mergeCell ref="J34:L3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Seguridad Humana</vt:lpstr>
      <vt:lpstr>Vida Digna</vt:lpstr>
      <vt:lpstr>Desarrollo Economico</vt:lpstr>
      <vt:lpstr>Ciudad Conectada</vt:lpstr>
      <vt:lpstr>Innovación Pública</vt:lpstr>
      <vt:lpstr>Capitulo Etnico</vt:lpstr>
      <vt:lpstr>PLAN DE DESARROLLO 2024 - 2027</vt:lpstr>
      <vt:lpstr>SEGUIMIENTO DEL PLAN DE DESARRO</vt:lpstr>
      <vt:lpstr>CRITERIOS DE EVALUACIÓN 2026</vt:lpstr>
      <vt:lpstr>CRITERIOS DE EVALUACIÓN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Yamil Gomez Rocha</dc:creator>
  <cp:lastModifiedBy>Yamil Gomez Rocha</cp:lastModifiedBy>
  <dcterms:created xsi:type="dcterms:W3CDTF">2024-09-07T07:59:19Z</dcterms:created>
  <dcterms:modified xsi:type="dcterms:W3CDTF">2026-08-21T05:55:56Z</dcterms:modified>
</cp:coreProperties>
</file>