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EDUCACIÓN\PLANES DE ACCIÓN INSTITUCIONAL 2026\1. SECRETARÍA DE PLANEACIÓN\2. REPORTE MARZO 2026\"/>
    </mc:Choice>
  </mc:AlternateContent>
  <xr:revisionPtr revIDLastSave="0" documentId="13_ncr:1_{C0478C54-5A99-4CE4-B123-F986B829F19E}" xr6:coauthVersionLast="47" xr6:coauthVersionMax="47" xr10:uidLastSave="{00000000-0000-0000-0000-000000000000}"/>
  <bookViews>
    <workbookView xWindow="-120" yWindow="-120" windowWidth="20730" windowHeight="10845" firstSheet="1" activeTab="1" xr2:uid="{00000000-000D-0000-FFFF-FFFF00000000}"/>
  </bookViews>
  <sheets>
    <sheet name="INSTRUCTIVO" sheetId="2" r:id="rId1"/>
    <sheet name="1. ESTRATÉGICO" sheetId="1" r:id="rId2"/>
    <sheet name="2. GESTIÓN-MIPG (2)" sheetId="7"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ESTRATÉGICO'!$A$1:$AF$7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4" i="1" l="1"/>
  <c r="Q14" i="1"/>
  <c r="AE89" i="1"/>
  <c r="AC89" i="1" l="1"/>
  <c r="AE90" i="1"/>
  <c r="AC90" i="1" s="1"/>
  <c r="AR233" i="6" l="1"/>
  <c r="AP233" i="6"/>
  <c r="AS225" i="6"/>
  <c r="AS233" i="6" s="1"/>
  <c r="AQ225" i="6"/>
  <c r="AQ233" i="6" s="1"/>
  <c r="AJ233" i="6"/>
  <c r="AR224" i="6"/>
  <c r="AP224" i="6"/>
  <c r="AJ224" i="6"/>
  <c r="AS218" i="6"/>
  <c r="AS224" i="6" s="1"/>
  <c r="AQ218" i="6"/>
  <c r="AQ224" i="6" s="1"/>
  <c r="AR217" i="6"/>
  <c r="AP217" i="6"/>
  <c r="AS214" i="6"/>
  <c r="AS217" i="6" s="1"/>
  <c r="AQ214" i="6"/>
  <c r="AQ217" i="6" s="1"/>
  <c r="AJ217" i="6"/>
  <c r="AR213" i="6"/>
  <c r="AP213" i="6"/>
  <c r="AJ213" i="6"/>
  <c r="AS196" i="6"/>
  <c r="AS213" i="6" s="1"/>
  <c r="AQ196" i="6"/>
  <c r="AQ213" i="6" s="1"/>
  <c r="AJ195" i="6"/>
  <c r="AS180" i="6"/>
  <c r="AS195" i="6" s="1"/>
  <c r="AQ180" i="6"/>
  <c r="AQ195" i="6" s="1"/>
  <c r="AR195" i="6"/>
  <c r="AP195" i="6"/>
  <c r="AR179" i="6"/>
  <c r="AP179" i="6"/>
  <c r="AJ179" i="6"/>
  <c r="AS172" i="6"/>
  <c r="AS179" i="6" s="1"/>
  <c r="AQ172" i="6"/>
  <c r="AQ179" i="6" s="1"/>
  <c r="AR171" i="6"/>
  <c r="AP171" i="6"/>
  <c r="AJ171" i="6"/>
  <c r="AS166" i="6" s="1"/>
  <c r="AS171" i="6" s="1"/>
  <c r="AR165" i="6"/>
  <c r="AP165" i="6"/>
  <c r="AJ165" i="6"/>
  <c r="AS153" i="6" s="1"/>
  <c r="AS165" i="6" s="1"/>
  <c r="AR152" i="6"/>
  <c r="AP152" i="6"/>
  <c r="AJ152" i="6"/>
  <c r="AS146" i="6"/>
  <c r="AS152" i="6" s="1"/>
  <c r="AQ146" i="6"/>
  <c r="AQ152" i="6" s="1"/>
  <c r="AR141" i="6"/>
  <c r="AP141" i="6"/>
  <c r="AJ141" i="6"/>
  <c r="AS136" i="6"/>
  <c r="AS141" i="6" s="1"/>
  <c r="AQ136" i="6"/>
  <c r="AQ141" i="6" s="1"/>
  <c r="AR135" i="6"/>
  <c r="AP135" i="6"/>
  <c r="AJ135" i="6"/>
  <c r="AS123" i="6"/>
  <c r="AS135" i="6" s="1"/>
  <c r="AQ123" i="6"/>
  <c r="AQ135" i="6" s="1"/>
  <c r="AR122" i="6"/>
  <c r="AP122" i="6"/>
  <c r="AJ122" i="6"/>
  <c r="AS116" i="6"/>
  <c r="AS122" i="6" s="1"/>
  <c r="AQ116" i="6"/>
  <c r="AQ122" i="6" s="1"/>
  <c r="AR115" i="6"/>
  <c r="AP115" i="6"/>
  <c r="AJ115" i="6"/>
  <c r="AS111" i="6"/>
  <c r="AS115" i="6" s="1"/>
  <c r="AQ111" i="6"/>
  <c r="AQ115" i="6" s="1"/>
  <c r="AR110" i="6"/>
  <c r="AP110" i="6"/>
  <c r="AS96" i="6"/>
  <c r="AS110" i="6" s="1"/>
  <c r="AQ96" i="6"/>
  <c r="AQ110" i="6" s="1"/>
  <c r="AJ110" i="6"/>
  <c r="AR95" i="6"/>
  <c r="AP95" i="6"/>
  <c r="AJ95" i="6"/>
  <c r="AS88" i="6"/>
  <c r="AS95" i="6" s="1"/>
  <c r="AQ88" i="6"/>
  <c r="AQ95" i="6" s="1"/>
  <c r="AS87" i="6"/>
  <c r="AR87" i="6"/>
  <c r="AQ87" i="6"/>
  <c r="AP87" i="6"/>
  <c r="AM87" i="6"/>
  <c r="AL87" i="6"/>
  <c r="AK87" i="6"/>
  <c r="AJ87" i="6"/>
  <c r="AK81" i="6"/>
  <c r="AL81" i="6"/>
  <c r="AM81" i="6"/>
  <c r="AP81" i="6"/>
  <c r="AR81" i="6"/>
  <c r="AJ81" i="6"/>
  <c r="AS43" i="6"/>
  <c r="AS81" i="6" s="1"/>
  <c r="AQ43" i="6"/>
  <c r="AQ81" i="6" s="1"/>
  <c r="W64" i="6"/>
  <c r="W59" i="6"/>
  <c r="AR42" i="6"/>
  <c r="AP42" i="6"/>
  <c r="AS37" i="6"/>
  <c r="AS42" i="6" s="1"/>
  <c r="AQ37" i="6"/>
  <c r="AQ42" i="6" s="1"/>
  <c r="AJ42" i="6"/>
  <c r="AR36" i="6"/>
  <c r="AT36" i="6"/>
  <c r="AU36" i="6"/>
  <c r="AV36" i="6"/>
  <c r="AW36" i="6"/>
  <c r="AX36" i="6"/>
  <c r="AY36" i="6"/>
  <c r="AZ36" i="6"/>
  <c r="BA36" i="6"/>
  <c r="BB36" i="6"/>
  <c r="BC36" i="6"/>
  <c r="BD36" i="6"/>
  <c r="BE36" i="6"/>
  <c r="AP36" i="6"/>
  <c r="AJ36" i="6"/>
  <c r="AS27" i="6"/>
  <c r="AS36" i="6" s="1"/>
  <c r="AQ27" i="6"/>
  <c r="AQ36" i="6" s="1"/>
  <c r="AR26" i="6"/>
  <c r="AP26" i="6"/>
  <c r="AJ26" i="6"/>
  <c r="AS18" i="6" s="1"/>
  <c r="AS26" i="6" s="1"/>
  <c r="AQ153" i="6" l="1"/>
  <c r="AQ165" i="6" s="1"/>
  <c r="AQ166" i="6"/>
  <c r="AQ171" i="6" s="1"/>
  <c r="AQ18" i="6"/>
  <c r="AQ26" i="6" s="1"/>
  <c r="AR13" i="6"/>
  <c r="AR237" i="6" s="1"/>
  <c r="AS237" i="6" s="1"/>
  <c r="AS9" i="6"/>
  <c r="AS13" i="6" s="1"/>
  <c r="AQ9" i="6"/>
  <c r="AQ13" i="6" s="1"/>
  <c r="AP13" i="6"/>
  <c r="AP237" i="6" s="1"/>
  <c r="AQ237" i="6" s="1"/>
  <c r="AJ13" i="6"/>
  <c r="AJ237" i="6" s="1"/>
  <c r="S9" i="6"/>
  <c r="T9" i="6" s="1"/>
  <c r="S10" i="6"/>
  <c r="T10" i="6" s="1"/>
  <c r="S14" i="6"/>
  <c r="S15" i="6"/>
  <c r="S16" i="6"/>
  <c r="S18" i="6"/>
  <c r="T18" i="6" s="1"/>
  <c r="S19" i="6"/>
  <c r="T19" i="6" s="1"/>
  <c r="S20" i="6"/>
  <c r="T20" i="6" s="1"/>
  <c r="S22" i="6"/>
  <c r="T22" i="6" s="1"/>
  <c r="S23" i="6"/>
  <c r="T23" i="6" s="1"/>
  <c r="S24" i="6"/>
  <c r="T24" i="6" s="1"/>
  <c r="S28" i="6"/>
  <c r="T28" i="6" s="1"/>
  <c r="T36" i="6" s="1"/>
  <c r="S32" i="6"/>
  <c r="T32" i="6" s="1"/>
  <c r="S35" i="6"/>
  <c r="T35" i="6" s="1"/>
  <c r="S37" i="6"/>
  <c r="T37" i="6" s="1"/>
  <c r="S38" i="6"/>
  <c r="T38" i="6" s="1"/>
  <c r="S49" i="6"/>
  <c r="T49" i="6" s="1"/>
  <c r="S68" i="6"/>
  <c r="T68" i="6" s="1"/>
  <c r="S69" i="6"/>
  <c r="T69" i="6" s="1"/>
  <c r="S76" i="6"/>
  <c r="T76" i="6" s="1"/>
  <c r="S80" i="6"/>
  <c r="T80" i="6" s="1"/>
  <c r="S88" i="6"/>
  <c r="T88" i="6" s="1"/>
  <c r="S91" i="6"/>
  <c r="T91" i="6" s="1"/>
  <c r="T95" i="6" s="1"/>
  <c r="S97" i="6"/>
  <c r="T97" i="6" s="1"/>
  <c r="S98" i="6"/>
  <c r="T98" i="6" s="1"/>
  <c r="S100" i="6"/>
  <c r="T100" i="6" s="1"/>
  <c r="S101" i="6"/>
  <c r="T101" i="6" s="1"/>
  <c r="S102" i="6"/>
  <c r="T102" i="6" s="1"/>
  <c r="S103" i="6"/>
  <c r="T103" i="6" s="1"/>
  <c r="S104" i="6"/>
  <c r="T104" i="6" s="1"/>
  <c r="S105" i="6"/>
  <c r="T105" i="6" s="1"/>
  <c r="S106" i="6"/>
  <c r="T106" i="6" s="1"/>
  <c r="S108" i="6"/>
  <c r="T108" i="6" s="1"/>
  <c r="S109" i="6"/>
  <c r="T109" i="6" s="1"/>
  <c r="S111" i="6"/>
  <c r="T111" i="6" s="1"/>
  <c r="T115" i="6" s="1"/>
  <c r="S117" i="6"/>
  <c r="T117" i="6" s="1"/>
  <c r="T122" i="6" s="1"/>
  <c r="S125" i="6"/>
  <c r="T125" i="6" s="1"/>
  <c r="S126" i="6"/>
  <c r="T126" i="6" s="1"/>
  <c r="S127" i="6"/>
  <c r="T127" i="6" s="1"/>
  <c r="S128" i="6"/>
  <c r="T128" i="6" s="1"/>
  <c r="S130" i="6"/>
  <c r="T130" i="6" s="1"/>
  <c r="S136" i="6"/>
  <c r="T136" i="6" s="1"/>
  <c r="S137" i="6"/>
  <c r="T137" i="6" s="1"/>
  <c r="S142" i="6"/>
  <c r="S143" i="6"/>
  <c r="S144" i="6"/>
  <c r="S146" i="6"/>
  <c r="T146" i="6" s="1"/>
  <c r="S147" i="6"/>
  <c r="T147" i="6" s="1"/>
  <c r="S148" i="6"/>
  <c r="T148" i="6" s="1"/>
  <c r="S149" i="6"/>
  <c r="S150" i="6"/>
  <c r="T150" i="6" s="1"/>
  <c r="S151" i="6"/>
  <c r="T151" i="6" s="1"/>
  <c r="S155" i="6"/>
  <c r="T155" i="6" s="1"/>
  <c r="S156" i="6"/>
  <c r="T156" i="6" s="1"/>
  <c r="S157" i="6"/>
  <c r="T157" i="6" s="1"/>
  <c r="S159" i="6"/>
  <c r="T159" i="6" s="1"/>
  <c r="S160" i="6"/>
  <c r="T160" i="6" s="1"/>
  <c r="S162" i="6"/>
  <c r="T162" i="6" s="1"/>
  <c r="S163" i="6"/>
  <c r="T163" i="6" s="1"/>
  <c r="S164" i="6"/>
  <c r="T164" i="6" s="1"/>
  <c r="S166" i="6"/>
  <c r="T166" i="6" s="1"/>
  <c r="S167" i="6"/>
  <c r="T167" i="6" s="1"/>
  <c r="S168" i="6"/>
  <c r="T168" i="6" s="1"/>
  <c r="S169" i="6"/>
  <c r="T169" i="6" s="1"/>
  <c r="S172" i="6"/>
  <c r="T172" i="6" s="1"/>
  <c r="S173" i="6"/>
  <c r="T173" i="6" s="1"/>
  <c r="S174" i="6"/>
  <c r="T174" i="6" s="1"/>
  <c r="S175" i="6"/>
  <c r="T175" i="6" s="1"/>
  <c r="S176" i="6"/>
  <c r="T176" i="6" s="1"/>
  <c r="S177" i="6"/>
  <c r="T177" i="6" s="1"/>
  <c r="S178" i="6"/>
  <c r="T178" i="6" s="1"/>
  <c r="S180" i="6"/>
  <c r="T180" i="6" s="1"/>
  <c r="S181" i="6"/>
  <c r="T181" i="6" s="1"/>
  <c r="S182" i="6"/>
  <c r="T182" i="6" s="1"/>
  <c r="S183" i="6"/>
  <c r="T183" i="6" s="1"/>
  <c r="S184" i="6"/>
  <c r="T184" i="6" s="1"/>
  <c r="S185" i="6"/>
  <c r="T185" i="6" s="1"/>
  <c r="S186" i="6"/>
  <c r="T186" i="6" s="1"/>
  <c r="S187" i="6"/>
  <c r="T187" i="6" s="1"/>
  <c r="S188" i="6"/>
  <c r="T188" i="6" s="1"/>
  <c r="S189" i="6"/>
  <c r="T189" i="6" s="1"/>
  <c r="S190" i="6"/>
  <c r="T190" i="6" s="1"/>
  <c r="S191" i="6"/>
  <c r="T191" i="6" s="1"/>
  <c r="S192" i="6"/>
  <c r="T192" i="6" s="1"/>
  <c r="S193" i="6"/>
  <c r="T193" i="6" s="1"/>
  <c r="S194" i="6"/>
  <c r="T194" i="6" s="1"/>
  <c r="S196" i="6"/>
  <c r="T196" i="6" s="1"/>
  <c r="S197" i="6"/>
  <c r="T197" i="6" s="1"/>
  <c r="S198" i="6"/>
  <c r="T198" i="6" s="1"/>
  <c r="S199" i="6"/>
  <c r="T199" i="6" s="1"/>
  <c r="S200" i="6"/>
  <c r="T200" i="6" s="1"/>
  <c r="S201" i="6"/>
  <c r="T201" i="6" s="1"/>
  <c r="S202" i="6"/>
  <c r="T202" i="6" s="1"/>
  <c r="S203" i="6"/>
  <c r="S204" i="6"/>
  <c r="T204" i="6" s="1"/>
  <c r="S205" i="6"/>
  <c r="T205" i="6" s="1"/>
  <c r="S206" i="6"/>
  <c r="T206" i="6" s="1"/>
  <c r="S208" i="6"/>
  <c r="T208" i="6" s="1"/>
  <c r="S209" i="6"/>
  <c r="T209" i="6" s="1"/>
  <c r="S210" i="6"/>
  <c r="T210" i="6" s="1"/>
  <c r="S211" i="6"/>
  <c r="T211" i="6" s="1"/>
  <c r="S212" i="6"/>
  <c r="T212" i="6" s="1"/>
  <c r="S214" i="6"/>
  <c r="T214" i="6" s="1"/>
  <c r="S215" i="6"/>
  <c r="T215" i="6" s="1"/>
  <c r="S216" i="6"/>
  <c r="T216" i="6" s="1"/>
  <c r="S218" i="6"/>
  <c r="T218" i="6" s="1"/>
  <c r="S219" i="6"/>
  <c r="T219" i="6" s="1"/>
  <c r="S220" i="6"/>
  <c r="T220" i="6" s="1"/>
  <c r="S221" i="6"/>
  <c r="T221" i="6" s="1"/>
  <c r="S222" i="6"/>
  <c r="T222" i="6" s="1"/>
  <c r="S223" i="6"/>
  <c r="T223" i="6" s="1"/>
  <c r="T226" i="6"/>
  <c r="T233" i="6" s="1"/>
  <c r="S227" i="6"/>
  <c r="T227" i="6" s="1"/>
  <c r="S228" i="6"/>
  <c r="T228" i="6" s="1"/>
  <c r="S229" i="6"/>
  <c r="T229" i="6" s="1"/>
  <c r="S230" i="6"/>
  <c r="T230" i="6" s="1"/>
  <c r="S231" i="6"/>
  <c r="T231" i="6" s="1"/>
  <c r="S232" i="6"/>
  <c r="T232" i="6" s="1"/>
  <c r="AC78" i="1"/>
  <c r="AC74" i="1"/>
  <c r="AJ74" i="1"/>
  <c r="AL74" i="1" s="1"/>
  <c r="T224" i="6" l="1"/>
  <c r="T217" i="6"/>
  <c r="T195" i="6"/>
  <c r="T171" i="6"/>
  <c r="T179" i="6"/>
  <c r="T165" i="6"/>
  <c r="T141" i="6"/>
  <c r="T152" i="6"/>
  <c r="T135" i="6"/>
  <c r="T110" i="6"/>
  <c r="T42" i="6"/>
  <c r="T13" i="6"/>
  <c r="T26" i="6"/>
  <c r="V11" i="1"/>
  <c r="V12" i="1"/>
  <c r="V14" i="1"/>
  <c r="V15" i="1"/>
  <c r="V16" i="1"/>
  <c r="V17" i="1"/>
  <c r="V18" i="1"/>
  <c r="V19" i="1"/>
  <c r="V20" i="1"/>
  <c r="V21" i="1"/>
  <c r="V22" i="1"/>
  <c r="V23" i="1"/>
  <c r="V24" i="1"/>
  <c r="V26" i="1"/>
  <c r="V27" i="1"/>
  <c r="V28" i="1"/>
  <c r="V29" i="1"/>
  <c r="V31" i="1"/>
  <c r="V32" i="1"/>
  <c r="V33" i="1"/>
  <c r="V35" i="1"/>
  <c r="V36" i="1"/>
  <c r="V37" i="1"/>
  <c r="V39" i="1"/>
  <c r="V41" i="1"/>
  <c r="V43" i="1"/>
  <c r="V45" i="1"/>
  <c r="V46" i="1"/>
  <c r="V47" i="1"/>
  <c r="V48" i="1"/>
  <c r="V49" i="1"/>
  <c r="V51" i="1"/>
  <c r="V52" i="1"/>
  <c r="V53" i="1"/>
  <c r="V54" i="1"/>
  <c r="V55" i="1"/>
  <c r="V57" i="1"/>
  <c r="V58" i="1"/>
  <c r="V60" i="1"/>
  <c r="V61" i="1"/>
  <c r="V62" i="1"/>
  <c r="V63" i="1"/>
  <c r="V64" i="1"/>
  <c r="V66" i="1"/>
  <c r="V67" i="1"/>
  <c r="V68" i="1"/>
  <c r="V69" i="1"/>
  <c r="V71" i="1"/>
  <c r="V73" i="1"/>
  <c r="V74" i="1"/>
  <c r="V75" i="1"/>
  <c r="V76" i="1"/>
  <c r="V77" i="1"/>
  <c r="V78" i="1"/>
  <c r="V79" i="1"/>
  <c r="V81" i="1"/>
  <c r="V82" i="1"/>
  <c r="V84" i="1"/>
  <c r="V85" i="1"/>
  <c r="V86" i="1"/>
  <c r="V87" i="1"/>
  <c r="V89" i="1"/>
  <c r="V90" i="1"/>
  <c r="V92" i="1"/>
  <c r="V93" i="1"/>
  <c r="V9" i="1"/>
  <c r="AF89" i="1" l="1"/>
  <c r="AD89" i="1"/>
  <c r="AD90" i="1"/>
  <c r="AF90" i="1"/>
  <c r="AE78" i="1"/>
  <c r="AE74" i="1"/>
  <c r="AD74" i="1"/>
  <c r="AF74" i="1"/>
  <c r="X85" i="1"/>
  <c r="AC75" i="1"/>
  <c r="AE75" i="1"/>
  <c r="X75" i="1"/>
  <c r="AF75" i="1" s="1"/>
  <c r="AE64" i="1"/>
  <c r="X64" i="1"/>
  <c r="AC64" i="1"/>
  <c r="AE60" i="1"/>
  <c r="X60" i="1"/>
  <c r="AC60" i="1"/>
  <c r="X49" i="1"/>
  <c r="AE37" i="1"/>
  <c r="X37" i="1"/>
  <c r="AF37" i="1" s="1"/>
  <c r="AC37" i="1"/>
  <c r="AE27" i="1"/>
  <c r="X27" i="1"/>
  <c r="AC27" i="1"/>
  <c r="X18" i="1"/>
  <c r="AC18" i="1"/>
  <c r="AE18" i="1"/>
  <c r="X9" i="1"/>
  <c r="AE9" i="1"/>
  <c r="AE10" i="1" s="1"/>
  <c r="AC9" i="1"/>
  <c r="AC10" i="1" s="1"/>
  <c r="AE84" i="1"/>
  <c r="X84" i="1"/>
  <c r="AC84" i="1"/>
  <c r="X74" i="1"/>
  <c r="X63" i="1"/>
  <c r="AC63" i="1"/>
  <c r="AE63" i="1"/>
  <c r="X53" i="1"/>
  <c r="X48" i="1"/>
  <c r="X31" i="1"/>
  <c r="AC21" i="1"/>
  <c r="AE21" i="1"/>
  <c r="X21" i="1"/>
  <c r="AC12" i="1"/>
  <c r="AE12" i="1"/>
  <c r="X12" i="1"/>
  <c r="AC92" i="1"/>
  <c r="AE92" i="1"/>
  <c r="X92" i="1"/>
  <c r="AC86" i="1"/>
  <c r="X86" i="1"/>
  <c r="AE86" i="1"/>
  <c r="AC81" i="1"/>
  <c r="AC83" i="1" s="1"/>
  <c r="AE81" i="1"/>
  <c r="X81" i="1"/>
  <c r="AC76" i="1"/>
  <c r="X76" i="1"/>
  <c r="AE76" i="1"/>
  <c r="AC71" i="1"/>
  <c r="AE71" i="1"/>
  <c r="X71" i="1"/>
  <c r="AC66" i="1"/>
  <c r="AE66" i="1"/>
  <c r="AC61" i="1"/>
  <c r="AE61" i="1"/>
  <c r="X61" i="1"/>
  <c r="X55" i="1"/>
  <c r="X51" i="1"/>
  <c r="X46" i="1"/>
  <c r="AC39" i="1"/>
  <c r="AC40" i="1" s="1"/>
  <c r="AE39" i="1"/>
  <c r="AE40" i="1" s="1"/>
  <c r="X39" i="1"/>
  <c r="X33" i="1"/>
  <c r="AC28" i="1"/>
  <c r="AE28" i="1"/>
  <c r="X28" i="1"/>
  <c r="X23" i="1"/>
  <c r="X19" i="1"/>
  <c r="AE15" i="1"/>
  <c r="X15" i="1"/>
  <c r="AC15" i="1"/>
  <c r="X90" i="1"/>
  <c r="AC79" i="1"/>
  <c r="AE79" i="1"/>
  <c r="AE69" i="1"/>
  <c r="X69" i="1"/>
  <c r="AC69" i="1"/>
  <c r="AE54" i="1"/>
  <c r="AE56" i="1" s="1"/>
  <c r="X54" i="1"/>
  <c r="AC54" i="1"/>
  <c r="AC56" i="1" s="1"/>
  <c r="AE45" i="1"/>
  <c r="X45" i="1"/>
  <c r="AC45" i="1"/>
  <c r="AE32" i="1"/>
  <c r="AE34" i="1" s="1"/>
  <c r="X32" i="1"/>
  <c r="AC32" i="1"/>
  <c r="AC34" i="1" s="1"/>
  <c r="X22" i="1"/>
  <c r="AC14" i="1"/>
  <c r="AE14" i="1"/>
  <c r="X89" i="1"/>
  <c r="X78" i="1"/>
  <c r="AC68" i="1"/>
  <c r="AE68" i="1"/>
  <c r="X58" i="1"/>
  <c r="X43" i="1"/>
  <c r="AC43" i="1"/>
  <c r="AC44" i="1" s="1"/>
  <c r="AE43" i="1"/>
  <c r="AE44" i="1" s="1"/>
  <c r="X36" i="1"/>
  <c r="X26" i="1"/>
  <c r="AC17" i="1"/>
  <c r="X17" i="1"/>
  <c r="AE17" i="1"/>
  <c r="X93" i="1"/>
  <c r="AC93" i="1"/>
  <c r="AE93" i="1"/>
  <c r="X87" i="1"/>
  <c r="AC87" i="1"/>
  <c r="AE87" i="1"/>
  <c r="X82" i="1"/>
  <c r="AC82" i="1"/>
  <c r="AE82" i="1"/>
  <c r="X77" i="1"/>
  <c r="AE77" i="1"/>
  <c r="AC77" i="1"/>
  <c r="X73" i="1"/>
  <c r="AC73" i="1"/>
  <c r="AE73" i="1"/>
  <c r="AC67" i="1"/>
  <c r="X67" i="1"/>
  <c r="AE67" i="1"/>
  <c r="AC62" i="1"/>
  <c r="AE62" i="1"/>
  <c r="X62" i="1"/>
  <c r="AC57" i="1"/>
  <c r="AC59" i="1" s="1"/>
  <c r="X57" i="1"/>
  <c r="AE57" i="1"/>
  <c r="AE59" i="1" s="1"/>
  <c r="X52" i="1"/>
  <c r="AC47" i="1"/>
  <c r="X47" i="1"/>
  <c r="AE47" i="1"/>
  <c r="AC41" i="1"/>
  <c r="AC42" i="1" s="1"/>
  <c r="AE41" i="1"/>
  <c r="AE42" i="1" s="1"/>
  <c r="X41" i="1"/>
  <c r="AC35" i="1"/>
  <c r="X35" i="1"/>
  <c r="AE35" i="1"/>
  <c r="AE38" i="1" s="1"/>
  <c r="X29" i="1"/>
  <c r="X24" i="1"/>
  <c r="AC20" i="1"/>
  <c r="AE20" i="1"/>
  <c r="X20" i="1"/>
  <c r="AE16" i="1"/>
  <c r="AC16" i="1"/>
  <c r="X16" i="1"/>
  <c r="AE11" i="1"/>
  <c r="X11" i="1"/>
  <c r="AC11" i="1"/>
  <c r="AC13" i="1" s="1"/>
  <c r="AC88" i="1" l="1"/>
  <c r="AE50" i="1"/>
  <c r="AC50" i="1"/>
  <c r="AC65" i="1"/>
  <c r="AC80" i="1"/>
  <c r="AE91" i="1"/>
  <c r="AE94" i="1"/>
  <c r="AE80" i="1"/>
  <c r="AE13" i="1"/>
  <c r="AC94" i="1"/>
  <c r="AE88" i="1"/>
  <c r="AE65" i="1"/>
  <c r="AC38" i="1"/>
  <c r="AC91" i="1"/>
  <c r="AE83" i="1"/>
  <c r="AF36" i="1"/>
  <c r="AD36" i="1"/>
  <c r="AD81" i="1"/>
  <c r="AF81" i="1"/>
  <c r="AD21" i="1"/>
  <c r="AF21" i="1"/>
  <c r="AF48" i="1"/>
  <c r="AD48" i="1"/>
  <c r="AF82" i="1"/>
  <c r="AD82" i="1"/>
  <c r="AD17" i="1"/>
  <c r="AF17" i="1"/>
  <c r="AF26" i="1"/>
  <c r="AD26" i="1"/>
  <c r="AF32" i="1"/>
  <c r="AD32" i="1"/>
  <c r="AF23" i="1"/>
  <c r="AD23" i="1"/>
  <c r="AD39" i="1"/>
  <c r="AD40" i="1" s="1"/>
  <c r="AF39" i="1"/>
  <c r="AF40" i="1" s="1"/>
  <c r="AD61" i="1"/>
  <c r="AF61" i="1"/>
  <c r="AD12" i="1"/>
  <c r="AF12" i="1"/>
  <c r="AF31" i="1"/>
  <c r="AD31" i="1"/>
  <c r="AF60" i="1"/>
  <c r="AD60" i="1"/>
  <c r="AD85" i="1"/>
  <c r="AF85" i="1"/>
  <c r="AD86" i="1"/>
  <c r="AF86" i="1"/>
  <c r="AF27" i="1"/>
  <c r="AD27" i="1"/>
  <c r="AD35" i="1"/>
  <c r="AF35" i="1"/>
  <c r="AF38" i="1" s="1"/>
  <c r="AD57" i="1"/>
  <c r="AF57" i="1"/>
  <c r="AD11" i="1"/>
  <c r="AD13" i="1" s="1"/>
  <c r="AF11" i="1"/>
  <c r="AF13" i="1" s="1"/>
  <c r="AD24" i="1"/>
  <c r="AF24" i="1"/>
  <c r="AF77" i="1"/>
  <c r="AD77" i="1"/>
  <c r="AF58" i="1"/>
  <c r="AD58" i="1"/>
  <c r="AF69" i="1"/>
  <c r="AD69" i="1"/>
  <c r="AF19" i="1"/>
  <c r="AD19" i="1"/>
  <c r="AD33" i="1"/>
  <c r="AF33" i="1"/>
  <c r="AD55" i="1"/>
  <c r="AF55" i="1"/>
  <c r="AD71" i="1"/>
  <c r="AF71" i="1"/>
  <c r="AD76" i="1"/>
  <c r="AF76" i="1"/>
  <c r="AD92" i="1"/>
  <c r="AF92" i="1"/>
  <c r="AF63" i="1"/>
  <c r="AD63" i="1"/>
  <c r="AF18" i="1"/>
  <c r="AD18" i="1"/>
  <c r="AF49" i="1"/>
  <c r="AD49" i="1"/>
  <c r="AD75" i="1"/>
  <c r="AD16" i="1"/>
  <c r="AF16" i="1"/>
  <c r="AF87" i="1"/>
  <c r="AD87" i="1"/>
  <c r="AF45" i="1"/>
  <c r="AF50" i="1" s="1"/>
  <c r="AD45" i="1"/>
  <c r="AD79" i="1"/>
  <c r="AF79" i="1"/>
  <c r="AF64" i="1"/>
  <c r="AD64" i="1"/>
  <c r="AD29" i="1"/>
  <c r="AF29" i="1"/>
  <c r="AD52" i="1"/>
  <c r="AD56" i="1" s="1"/>
  <c r="AF52" i="1"/>
  <c r="AD20" i="1"/>
  <c r="AF20" i="1"/>
  <c r="AD41" i="1"/>
  <c r="AD42" i="1" s="1"/>
  <c r="AF41" i="1"/>
  <c r="AF42" i="1" s="1"/>
  <c r="AD47" i="1"/>
  <c r="AF47" i="1"/>
  <c r="AD62" i="1"/>
  <c r="AF62" i="1"/>
  <c r="AD67" i="1"/>
  <c r="AF67" i="1"/>
  <c r="AF73" i="1"/>
  <c r="AD73" i="1"/>
  <c r="AF93" i="1"/>
  <c r="AD93" i="1"/>
  <c r="AF43" i="1"/>
  <c r="AF44" i="1" s="1"/>
  <c r="AD43" i="1"/>
  <c r="AD44" i="1" s="1"/>
  <c r="AF22" i="1"/>
  <c r="AD22" i="1"/>
  <c r="AF54" i="1"/>
  <c r="AD54" i="1"/>
  <c r="AF15" i="1"/>
  <c r="AD15" i="1"/>
  <c r="AD28" i="1"/>
  <c r="AF28" i="1"/>
  <c r="AD51" i="1"/>
  <c r="AF51" i="1"/>
  <c r="AF53" i="1"/>
  <c r="AD53" i="1"/>
  <c r="AF84" i="1"/>
  <c r="AF88" i="1" s="1"/>
  <c r="AD84" i="1"/>
  <c r="AD9" i="1"/>
  <c r="AD10" i="1" s="1"/>
  <c r="AF9" i="1"/>
  <c r="AF10" i="1" s="1"/>
  <c r="AD37" i="1"/>
  <c r="AD34" i="1" l="1"/>
  <c r="AF59" i="1"/>
  <c r="AF94" i="1"/>
  <c r="AD65" i="1"/>
  <c r="AD94" i="1"/>
  <c r="AD38" i="1"/>
  <c r="AF65" i="1"/>
  <c r="AF34" i="1"/>
  <c r="AD91" i="1"/>
  <c r="AF83" i="1"/>
  <c r="AD88" i="1"/>
  <c r="AF56" i="1"/>
  <c r="AD50" i="1"/>
  <c r="AD59" i="1"/>
  <c r="AF91" i="1"/>
  <c r="AD83" i="1"/>
  <c r="N203" i="6" l="1"/>
  <c r="T203" i="6" s="1"/>
  <c r="T213" i="6" s="1"/>
  <c r="W175" i="6"/>
  <c r="W164" i="6"/>
  <c r="W163" i="6"/>
  <c r="W162" i="6"/>
  <c r="W161" i="6"/>
  <c r="W160" i="6"/>
  <c r="W159" i="6"/>
  <c r="W157" i="6"/>
  <c r="W156" i="6"/>
  <c r="W155" i="6"/>
  <c r="W154" i="6"/>
  <c r="W153" i="6"/>
  <c r="W146" i="6"/>
  <c r="W144" i="6"/>
  <c r="W130" i="6"/>
  <c r="W128" i="6"/>
  <c r="W127" i="6"/>
  <c r="W121" i="6"/>
  <c r="W117" i="6"/>
  <c r="AE70" i="6"/>
  <c r="AI54" i="6"/>
  <c r="AE54" i="6"/>
  <c r="W54" i="6"/>
  <c r="W49" i="6"/>
  <c r="W44" i="6"/>
  <c r="O44" i="6"/>
  <c r="S44" i="6" s="1"/>
  <c r="T44" i="6" s="1"/>
  <c r="T81" i="6" s="1"/>
  <c r="T236" i="6" s="1"/>
  <c r="W38" i="6"/>
  <c r="W37" i="6"/>
  <c r="W35" i="6"/>
  <c r="W33" i="6"/>
  <c r="AI21" i="6"/>
  <c r="AI20" i="6"/>
  <c r="W16" i="6"/>
  <c r="AI12" i="6"/>
  <c r="W12" i="6"/>
  <c r="AI11" i="6"/>
  <c r="W11" i="6"/>
  <c r="W10" i="6"/>
  <c r="AI9" i="6"/>
  <c r="W9" i="6"/>
  <c r="O78" i="1"/>
  <c r="Y70" i="1"/>
  <c r="V70" i="1" s="1"/>
  <c r="U68" i="1"/>
  <c r="T68" i="1"/>
  <c r="U66" i="1"/>
  <c r="X66" i="1" s="1"/>
  <c r="Y25" i="1"/>
  <c r="V25" i="1" s="1"/>
  <c r="X14" i="1"/>
  <c r="AF78" i="1" l="1"/>
  <c r="AF80" i="1" s="1"/>
  <c r="AD78" i="1"/>
  <c r="AD80" i="1" s="1"/>
  <c r="AC25" i="1"/>
  <c r="AC30" i="1" s="1"/>
  <c r="X25" i="1"/>
  <c r="AE25" i="1"/>
  <c r="AE30" i="1" s="1"/>
  <c r="AE96" i="1" s="1"/>
  <c r="AC70" i="1"/>
  <c r="AC72" i="1" s="1"/>
  <c r="AE70" i="1"/>
  <c r="AE72" i="1" s="1"/>
  <c r="X70" i="1"/>
  <c r="AD66" i="1"/>
  <c r="AF66" i="1"/>
  <c r="AF14" i="1"/>
  <c r="AD14" i="1"/>
  <c r="X68" i="1"/>
  <c r="AF30" i="1" l="1"/>
  <c r="AC96" i="1"/>
  <c r="AD70" i="1"/>
  <c r="AF70" i="1"/>
  <c r="AD25" i="1"/>
  <c r="AD30" i="1" s="1"/>
  <c r="AF25" i="1"/>
  <c r="AF68" i="1"/>
  <c r="AF72" i="1" s="1"/>
  <c r="AD68" i="1"/>
  <c r="AD72" i="1" s="1"/>
  <c r="AD96" i="1" l="1"/>
  <c r="AF9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tc={5F73126F-AAA8-40DF-9D58-D848B042F790}</author>
    <author>tc={A204124A-4FD8-4FC6-A514-3199846C29E2}</author>
  </authors>
  <commentList>
    <comment ref="O22"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Cambiar de 2 a 1</t>
      </text>
    </comment>
    <comment ref="K63" authorId="1" shapeId="0" xr:uid="{00000000-0006-0000-01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Aumentar información documentada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informatica</author>
    <author>Luz Marlene</author>
  </authors>
  <commentList>
    <comment ref="AE76" authorId="0" shapeId="0" xr:uid="{00000000-0006-0000-0300-000001000000}">
      <text>
        <r>
          <rPr>
            <b/>
            <sz val="9"/>
            <color indexed="81"/>
            <rFont val="Tahoma"/>
            <family val="2"/>
          </rPr>
          <t>informatica:</t>
        </r>
        <r>
          <rPr>
            <sz val="9"/>
            <color indexed="81"/>
            <rFont val="Tahoma"/>
            <family val="2"/>
          </rPr>
          <t xml:space="preserve">
Arquitecta</t>
        </r>
      </text>
    </comment>
    <comment ref="AI76" authorId="0" shapeId="0" xr:uid="{00000000-0006-0000-0300-000002000000}">
      <text>
        <r>
          <rPr>
            <b/>
            <sz val="9"/>
            <color indexed="81"/>
            <rFont val="Tahoma"/>
            <family val="2"/>
          </rPr>
          <t>informatica:</t>
        </r>
        <r>
          <rPr>
            <sz val="9"/>
            <color indexed="81"/>
            <rFont val="Tahoma"/>
            <family val="2"/>
          </rPr>
          <t xml:space="preserve">
Arquitecta</t>
        </r>
      </text>
    </comment>
    <comment ref="K150" authorId="1" shapeId="0" xr:uid="{00000000-0006-0000-0300-000003000000}">
      <text>
        <r>
          <rPr>
            <b/>
            <sz val="24"/>
            <color indexed="81"/>
            <rFont val="Tahoma"/>
            <family val="2"/>
          </rPr>
          <t>Luz Marlene:</t>
        </r>
        <r>
          <rPr>
            <sz val="24"/>
            <color indexed="81"/>
            <rFont val="Tahoma"/>
            <family val="2"/>
          </rPr>
          <t xml:space="preserve">
DESARROLLAR  10 ACTIVIDADES CIENTIFICAS</t>
        </r>
      </text>
    </comment>
  </commentList>
</comments>
</file>

<file path=xl/sharedStrings.xml><?xml version="1.0" encoding="utf-8"?>
<sst xmlns="http://schemas.openxmlformats.org/spreadsheetml/2006/main" count="4174" uniqueCount="1327">
  <si>
    <t xml:space="preserve">
</t>
  </si>
  <si>
    <t>ALCALDIA DISTRITAL DE CARTAGENA DE INDIAS</t>
  </si>
  <si>
    <t>MACROPROCESO: PLANEACIÓN TERRITORIAL Y DIRECCIONAMIENTO ESTRATEGICO</t>
  </si>
  <si>
    <t>Versión: 1.0</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</si>
  <si>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</si>
  <si>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</si>
  <si>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</si>
  <si>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</si>
  <si>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</si>
  <si>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</si>
  <si>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</si>
  <si>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</si>
  <si>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</si>
  <si>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</si>
  <si>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</si>
  <si>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</si>
  <si>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</si>
  <si>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</si>
  <si>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</si>
  <si>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</si>
  <si>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</si>
  <si>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</si>
  <si>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</si>
  <si>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</si>
  <si>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</si>
  <si>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</si>
  <si>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</si>
  <si>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</si>
  <si>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</si>
  <si>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</si>
  <si>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</si>
  <si>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</si>
  <si>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</si>
  <si>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</si>
  <si>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</si>
  <si>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</si>
  <si>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</si>
  <si>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</si>
  <si>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</si>
  <si>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</si>
  <si>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</si>
  <si>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</si>
  <si>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</si>
  <si>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</si>
  <si>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</si>
  <si>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</si>
  <si>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</si>
  <si>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</si>
  <si>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</si>
  <si>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</si>
  <si>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</si>
  <si>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</si>
  <si>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</si>
  <si>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</si>
  <si>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</si>
  <si>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</si>
  <si>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</si>
  <si>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</si>
  <si>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</si>
  <si>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</si>
  <si>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</si>
  <si>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</si>
  <si>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</si>
  <si>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</si>
  <si>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</si>
  <si>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</si>
  <si>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</si>
  <si>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</si>
  <si>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</si>
  <si>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</si>
  <si>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</si>
  <si>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</si>
  <si>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</si>
  <si>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</si>
  <si>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</si>
  <si>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</si>
  <si>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</si>
  <si>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</si>
  <si>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</si>
  <si>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</si>
  <si>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</si>
  <si>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</si>
  <si>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</si>
  <si>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</si>
  <si>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</si>
  <si>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</si>
  <si>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</si>
  <si>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</si>
  <si>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</si>
  <si>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</si>
  <si>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</si>
  <si>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</si>
  <si>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</si>
  <si>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</si>
  <si>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</si>
  <si>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</si>
  <si>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</si>
  <si>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</si>
  <si>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</si>
  <si>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</si>
  <si>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</si>
  <si>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</si>
  <si>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</si>
  <si>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</si>
  <si>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</si>
  <si>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</si>
  <si>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</si>
  <si>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</si>
  <si>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</si>
  <si>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</si>
  <si>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</si>
  <si>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</si>
  <si>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</si>
  <si>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</si>
  <si>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</si>
  <si>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</si>
  <si>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</si>
  <si>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</si>
  <si>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</si>
  <si>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</si>
  <si>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</si>
  <si>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</si>
  <si>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</si>
  <si>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</si>
  <si>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</si>
  <si>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</si>
  <si>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</si>
  <si>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</si>
  <si>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</si>
  <si>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</si>
  <si>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</si>
  <si>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</si>
  <si>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</si>
  <si>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</si>
  <si>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</si>
  <si>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</si>
  <si>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</si>
  <si>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</si>
  <si>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</si>
  <si>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</si>
  <si>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</si>
  <si>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</si>
  <si>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</si>
  <si>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</si>
  <si>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</si>
  <si>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</si>
  <si>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DESCRIPCIÓN DE LA ADQUISICIÓN ASOCIADA AL PROYECTO</t>
  </si>
  <si>
    <t>GESTIÓN ADMINISTRATIVA - MIPG</t>
  </si>
  <si>
    <t>LÍNEA BASE 
SEGUN PDD</t>
  </si>
  <si>
    <t>LÍNEA ESTRATÉGICA</t>
  </si>
  <si>
    <t>TIPO DE INDICADOR</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</si>
  <si>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</si>
  <si>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</si>
  <si>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</si>
  <si>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</si>
  <si>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</si>
  <si>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</si>
  <si>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</si>
  <si>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</si>
  <si>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</si>
  <si>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</si>
  <si>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</si>
  <si>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</si>
  <si>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</si>
  <si>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</si>
  <si>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</si>
  <si>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</si>
  <si>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</si>
  <si>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</si>
  <si>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</si>
  <si>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</si>
  <si>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</si>
  <si>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</si>
  <si>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</si>
  <si>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</si>
  <si>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</si>
  <si>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</si>
  <si>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</si>
  <si>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</si>
  <si>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</si>
  <si>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</si>
  <si>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</si>
  <si>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</si>
  <si>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</si>
  <si>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</si>
  <si>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</si>
  <si>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</si>
  <si>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</si>
  <si>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</si>
  <si>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</si>
  <si>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</si>
  <si>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</si>
  <si>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</si>
  <si>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</si>
  <si>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</si>
  <si>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</si>
  <si>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</si>
  <si>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</si>
  <si>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</si>
  <si>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</si>
  <si>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</si>
  <si>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</si>
  <si>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</si>
  <si>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Página: 2 de 3</t>
  </si>
  <si>
    <t>Página: 1 de 3</t>
  </si>
  <si>
    <t>Página: 3 de 3</t>
  </si>
  <si>
    <t>Elaboración del  documento</t>
  </si>
  <si>
    <t>1.0</t>
  </si>
  <si>
    <t>VALIDACIÓN DEL DOCUMENTO</t>
  </si>
  <si>
    <t>ACUMULADO 2024</t>
  </si>
  <si>
    <t>ACUMULADO CUATRIENIO</t>
  </si>
  <si>
    <t>AVANCE META PRODUCTO AL AÑO (PONDERADO)</t>
  </si>
  <si>
    <t>AVANCE META PRODUCTO AL CUATRIENIO (PONDERADO)</t>
  </si>
  <si>
    <t>AVANCE META PRODUCTO AL AÑO (SIMPLE)</t>
  </si>
  <si>
    <t>AVANCE META PRODUCTO AL CUATRIENIO (SIMPLE)</t>
  </si>
  <si>
    <t>AVANCES ACTIVIDADES DE PROYECTO</t>
  </si>
  <si>
    <t>PRESUPUESTO EJECUTADO MARZO COMPROMISOS</t>
  </si>
  <si>
    <t>PORCENTAJE EJECUTADO MARZO SEGÚN COMPROMISOS</t>
  </si>
  <si>
    <t>PRESUPUESTO EJECUTADO JUNIO COMPROMISOS</t>
  </si>
  <si>
    <t>PRESUPUESTO EJECUTADO MARZO OBLIGACIONES</t>
  </si>
  <si>
    <t>PORCENTAJE EJECUTADO MARZO SEGÚN OBLIGACIONES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</si>
  <si>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</si>
  <si>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</si>
  <si>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</si>
  <si>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</si>
  <si>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</si>
  <si>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</si>
  <si>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</si>
  <si>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</si>
  <si>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</si>
  <si>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</si>
  <si>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</si>
  <si>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APROPACIÓN DEFINITIVA POR PROYECTO (JUNIO)</t>
  </si>
  <si>
    <t>APROPACIÓN DEFINITIVA POR PROYECTO (SEPTIEMBRE)</t>
  </si>
  <si>
    <t>APROPACIÓN DEFINITIVA POR PROYECTO (DICIEMBRE)</t>
  </si>
  <si>
    <t>REPORTE EJECUCION PRESUPUESTAL (COMPROMISOS)</t>
  </si>
  <si>
    <t xml:space="preserve">% EJECUCION COMPROMISOS </t>
  </si>
  <si>
    <t>REPORTE EJECUCION PRESUPUESTAL (OBLIGACIONES)</t>
  </si>
  <si>
    <t xml:space="preserve">% EJECUCION OBLIGACIONES </t>
  </si>
  <si>
    <t>OBSERVACIONES</t>
  </si>
  <si>
    <t>PROGRAMACIÓN META PRODUCTO 2024</t>
  </si>
  <si>
    <t>ACUMULADO 2025</t>
  </si>
  <si>
    <t>ACUMULADO 2026</t>
  </si>
  <si>
    <t>ACUMULADO 2027</t>
  </si>
  <si>
    <t xml:space="preserve">DATOS GENERALES </t>
  </si>
  <si>
    <t>PROGRAMACIÓN META PRODUCTO</t>
  </si>
  <si>
    <t>ACUMULADOS</t>
  </si>
  <si>
    <t>REPORTES META PRODUCTO</t>
  </si>
  <si>
    <t>AVANCES Y RESULTADOS</t>
  </si>
  <si>
    <t>FORMATO SALIDA DE INFORMACION RESULTADOS DE SEGUIMIENTO  Y EVALUACIÓN DE PLAN DE ACCIÓN INSTITUCIONAL</t>
  </si>
  <si>
    <t>Fecha: 15/09/2025</t>
  </si>
  <si>
    <t>Código: PTDGI02-F002</t>
  </si>
  <si>
    <t>PROCESO/ SUBPROCESO: GESTIÓN DE INVERSIONES, PLANES Y PROYECTOS / MONITOREO DE LA EJECUCION DE PLANES, POLITICAS, PROGRAMAS Y PROYECTOS</t>
  </si>
  <si>
    <t>REPORTE META PRODUCTO A  MARZO 2026</t>
  </si>
  <si>
    <t>REPORTE META PRODUCTO A JUNIO 2026</t>
  </si>
  <si>
    <t>REPORTE META PRODUCTO A  SEPTIEMBRE 2026</t>
  </si>
  <si>
    <t>REPORTE META PRODUCTO A DICIEMBRE 2026</t>
  </si>
  <si>
    <t>11. Ciudades y comunidades sostenibles
13. Acción climática urgente</t>
  </si>
  <si>
    <t>Mejorar la calidad de vida y la garantía de los derechos fundamentales para toda la ciudadanía mediante la reducción de la pobreza multidimensional</t>
  </si>
  <si>
    <t>Vida Digna</t>
  </si>
  <si>
    <t>VIVIENDA DIGNA Y HÁBITAT</t>
  </si>
  <si>
    <t>Reducir el déficit cuantitativo de vivienda a 6,45%</t>
  </si>
  <si>
    <t>MI TERRITORIO EN ORDEN</t>
  </si>
  <si>
    <t>02-01-04</t>
  </si>
  <si>
    <t>Número de documentos normativos para legalizacion de asentamientos humanos adoptados</t>
  </si>
  <si>
    <t>Número</t>
  </si>
  <si>
    <t>0
 Fuente:
 Secretaría de Planeación, 2024</t>
  </si>
  <si>
    <t>Adoptar seis (6) documentos normativos para legalizacion de 122 hectareas en asentamientos humanos</t>
  </si>
  <si>
    <t xml:space="preserve">Bien </t>
  </si>
  <si>
    <t>Documentos de planeación elaborados</t>
  </si>
  <si>
    <t>NP</t>
  </si>
  <si>
    <t>8. Trabajo Decente y Crecimiento Económico</t>
  </si>
  <si>
    <t>3. Promover el desarrollo económico equitativo y sostenible en el Distrito de Cartagena de Indias, para lograr al reducción de la brecha laboral de género, la disminución de las tasas de desempleo juvenil, al reducción de la informalidad laboral, mediante la formulación y ejecución de políticas y estrategias, el fomento al emprendimiento, el fortalecimiento de la economía popular, la diversificación económica y la creación de empleos de calidad en la ciudad, mejorando las condiciones económicas de la población, durante el período de gobierno 2024- 2027.</t>
  </si>
  <si>
    <t>Desarrollo Económico Equitativo</t>
  </si>
  <si>
    <t>Diversificación Económica</t>
  </si>
  <si>
    <t>Alcanzar un puntaje de 8 en el Índice de Desarrollo Económico y Empresarial</t>
  </si>
  <si>
    <t>TRANSFORMACION PRODUCTIVA</t>
  </si>
  <si>
    <t>3.2.4</t>
  </si>
  <si>
    <t>Número de investigaciones desarrolladas para evaluar y redefinir las apuestas productivas de la ciudad en el marco de las tendencias futuras de la economía mundial</t>
  </si>
  <si>
    <t>Desarrollar una (1) investigación para evaluar y redefinir las apuestas productivas de la ciudad en el marco de las tendencias futuras de la economía mundial</t>
  </si>
  <si>
    <t>Documentos de investigación elaborados</t>
  </si>
  <si>
    <t>Número de estudios sobre mercado laboral y pertinencia educativas elaborados</t>
  </si>
  <si>
    <t>Elaborar (1) estudio sobre mercado laboral y pertinencia educativa</t>
  </si>
  <si>
    <t>Documentos de investigación sobre el mercado laboral elaborados</t>
  </si>
  <si>
    <t>11. Ciudades y Comunidades Sostenibles</t>
  </si>
  <si>
    <t>4. 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t>
  </si>
  <si>
    <t>Ciudad Conectada y Sostenible</t>
  </si>
  <si>
    <t>Ordenamiento Territorial y Espacio Público</t>
  </si>
  <si>
    <t>Formular nueve (9) instrumentos de planificación territorial y/o instrumentos normativos de gestión del suelo</t>
  </si>
  <si>
    <t>INSTRUMENTOS DE PLANIFICACION TERRITORIAL</t>
  </si>
  <si>
    <t>4.1.1</t>
  </si>
  <si>
    <t>Plan de Ordenamiento Territorial revisado, actualizado y ajustado presentado ante el Concejo para su adopción</t>
  </si>
  <si>
    <t>1 Plan de Ordenamiento Territorial con necesidad de actualización
 Fuente: Secretaría de Planeación, 2024</t>
  </si>
  <si>
    <t>Revisar, actualizar y ajustar un (1) Plan de Ordenamiento Territorial para presentarlo ante el Concejo para su adopción</t>
  </si>
  <si>
    <t>Servicio</t>
  </si>
  <si>
    <t>Plan Especial de Manejo y Protección del Centro Histórico y su área de influencia revisado, actualizado y ajustado presentado ante el Ministerio de Cultura para su adopción</t>
  </si>
  <si>
    <t>1 Plan en formulación con necesidad de ajuste y revisión
 Fuente: Secretaría de Planeación, 2024</t>
  </si>
  <si>
    <t>Revisar, actualizar y ajustar un (1) Plan Especial de Manejo y Protección del Centro Histórico y su área de influencia para presentarlo ante el Ministerio de Cultura para su adopción</t>
  </si>
  <si>
    <t>Actuación Urbana Integral A.U.I – 12 / Recuperación Integral del Cerro de la Popa formulada</t>
  </si>
  <si>
    <t>0
 Fuente: Secretaría de Planeación, 2024</t>
  </si>
  <si>
    <t>Formular una (1) Actuación Urbana Integral A.U.I -12 / Recuperación Integral del Cerro de la Popa</t>
  </si>
  <si>
    <t>Documentos de lineamientos técnicos</t>
  </si>
  <si>
    <t>Actuación Urbana Integral A.U.I – 13 / Recuperación Integral del Cerro de Albornoz - Cospique formulada</t>
  </si>
  <si>
    <t>Formular una (1) Actuación Urbana Integral A.U.I -13 / Recuperación Integral del Cerro de Albornoz – Cospique</t>
  </si>
  <si>
    <t>Nueva Actuación Urbana Integral Reordenamiento de los asentamientos de Nelson Mandela y Villa Hermosa formulada</t>
  </si>
  <si>
    <t>Formular una (1) nueva Actuación Urbana Integral A.U.I / Desarrollo de un Plan Parcial de mejoramiento de vivienda con un proyecto multipropósito de espacios públicos y mixtos para el mejoramiento del hábitat de los asentamientos de Nelson y Villa Hermosa</t>
  </si>
  <si>
    <t>Planes Maestros de equipamientos formulado</t>
  </si>
  <si>
    <t>Formular dos (2) Planes: un (1) Plan Maestro de Servicios Urbanos e Institucionales al ciudadano, y un (1) Plan Maestro de Equipamientos Colectivos y Hábitat</t>
  </si>
  <si>
    <t>NA</t>
  </si>
  <si>
    <t>inicia en abril</t>
  </si>
  <si>
    <t>Plan Local Portuario formulado</t>
  </si>
  <si>
    <t>Formular un (1) Plan Local Portuario, articulado a los instrumentos de planeación territorial y a la Política Pública Nacional Portuaria</t>
  </si>
  <si>
    <t>Plan Parcial de Renovación Urbana de Bazurto reformulado, adoptado y con seguimiento</t>
  </si>
  <si>
    <t>Plan Parcial adoptado y suspendido
 Fuente: Secretaría de Planeación, 2024</t>
  </si>
  <si>
    <t>Reformular, adoptar y dar seguimiento a un (1) Plan Parcial de Renovación Urbana de Bazurto</t>
  </si>
  <si>
    <t>Planes Parciales en suelo de expansión de los Centros Poblados de Bayunca y Pasacaballos adoptados</t>
  </si>
  <si>
    <t>0
 Fuente: Secretaría de Planeación, 2023</t>
  </si>
  <si>
    <t>Adoptar dos (2) Planes Parciales en suelo de expansión de los Centros Poblados de Bayunca y Pasacaballos</t>
  </si>
  <si>
    <t>0.2</t>
  </si>
  <si>
    <t>inicia en julio</t>
  </si>
  <si>
    <t>Plan Parcial de Reordenamiento de los Asentamientos de la Zona Industrial de Mamonal: Policarpa, Arroz Barato y Puerta de Hierro reformulado, adoptado y con seguimiento</t>
  </si>
  <si>
    <t>Plan Parcial desactualizado
 Fuente: Secretaría de Planeación, 2024</t>
  </si>
  <si>
    <t>Reformular, adoptar y dar seguimiento a un (1) Plan Parcial del Sector Policarpa, Arroz Barato y Puerta de Hierro</t>
  </si>
  <si>
    <t>Plan Parcial de Reordenamiento de La Loma, Zaragocilla y Marión reformulado, adoptado y con seguimiento</t>
  </si>
  <si>
    <t>Reformular, adoptar y dar seguimiento a un (1) Plan Parcial de Reordenamiento de las Lomas del Marión y Zaragocilla</t>
  </si>
  <si>
    <t>Proyectos de legalización urbanística tramitados</t>
  </si>
  <si>
    <t>N.D.</t>
  </si>
  <si>
    <t>Tramitar la totalidad de los proyectos de legalización urbanística presentados a la administración distrital</t>
  </si>
  <si>
    <t>Plan Estratégico para el traslado de Marlinda y Villa Gloria diseñado y ejecutado</t>
  </si>
  <si>
    <t>Diseñar y ejecutar un (1) Plan Estratégico para el traslado de Marlinda y Villa Gloria</t>
  </si>
  <si>
    <t>Planes de Mejoramiento Integral de los Centros Poblados de los corregimientos continentales formulados y ejecutados</t>
  </si>
  <si>
    <t>Formular y ejecutar diez (10) Planes de Mejoramiento Integral de Centros Poblados (Arroyo Grande, Arroyo de las Canoas, Punta Canoas, Manzanillo, Puerto Rey, Tierrabaja, Pontezuela, Membrillal, Leticia y Recreo)</t>
  </si>
  <si>
    <t>Lineamientos técnicos y pedagógicos para garantizar el derecho a la ciudad de niñas y mujeres en el entorno urbano diseñados</t>
  </si>
  <si>
    <t>Diseñar cuatro (4) lineamientos técnicos y pedagógicos para garantizar el derecho a la ciudad de niñas y mujeres en el entorno urbano</t>
  </si>
  <si>
    <t>Plan Estratégico Prospectivo Cartagena 2050 formulado</t>
  </si>
  <si>
    <t>0
  Fuente: Secretaría de Planeación, 2023</t>
  </si>
  <si>
    <t>Formular un (1) Plan Estratégico Prospectivo Cartagena 2050</t>
  </si>
  <si>
    <t>Control Urbanístico y Territorial</t>
  </si>
  <si>
    <t>Incrementar en 20% la legalización de asentamientos humanos y el reconocimiento de la existencia de sus edificaciones</t>
  </si>
  <si>
    <t>RECUPERANDO LA GOBERNANZA URBANÍSTICA, CARTAGENA VUELVE A BRILLAR</t>
  </si>
  <si>
    <t>4.2.1</t>
  </si>
  <si>
    <t>Política Pública de Legalización de Asentamientos Humanos y del Control Urbano formulada</t>
  </si>
  <si>
    <t>0
  Fuente: Dirección de Control Urbano, 2024</t>
  </si>
  <si>
    <t>Formular una (1) Política Pública de Legalización de Asentamientos Humanos y del Control Urbano</t>
  </si>
  <si>
    <t>Documento de Politica</t>
  </si>
  <si>
    <t>Reducir en un 10% las construcciones de edificaciones que incumplan el Plan de Ordenamiento Territorial POT y la Norma Sismo Resistencia NSR</t>
  </si>
  <si>
    <t>Documentos de planeación para la implementación la curaduría pública y de nuevas curadurías urbanas formulados</t>
  </si>
  <si>
    <t>0
 Fuente: Dirección de Control Urbano, 2024</t>
  </si>
  <si>
    <t>Formular y presentar dos (2) documentos de planeación para la implementación de la curaduría pública y de nuevas curadurías urbanas</t>
  </si>
  <si>
    <t xml:space="preserve">Documentos de planeación </t>
  </si>
  <si>
    <t>Estudio para dar viabilidad para la creación de nuevas curadurías urbanas formulado</t>
  </si>
  <si>
    <t>N.D</t>
  </si>
  <si>
    <t>Formular un (1) estudio para dar viabilidad para la creación de nuevas curadurías urbanas</t>
  </si>
  <si>
    <t xml:space="preserve">Estudios de preinversion </t>
  </si>
  <si>
    <t>Implementar el 100% del Plan de Normalización Urbanística</t>
  </si>
  <si>
    <t>CARTAGENA AVANZA EN EL FORTALECIMIENTO DEL PLAN DE NORMALIZACIÓN URBANÍSTICA</t>
  </si>
  <si>
    <t>4.2.2</t>
  </si>
  <si>
    <t>Defensores Urbanos Barriales para la cultura urbanística certificados</t>
  </si>
  <si>
    <t>Certificar dos mil ochocientos (2.800) defensores urbanos barriales en normas urbanísticas</t>
  </si>
  <si>
    <t>Personas capacitadas</t>
  </si>
  <si>
    <t>Inspecciones de Policía especializadas en temas urbanísticos</t>
  </si>
  <si>
    <t>Especializar y dotar seis (6) sedes de inspecciones en temas urbanísticos con herramientas tecnológicas</t>
  </si>
  <si>
    <t xml:space="preserve">Inspecciones de policía dotadas 
</t>
  </si>
  <si>
    <t>Documentos normativos generados</t>
  </si>
  <si>
    <t>Generar seiscientos (600) documentos normativos</t>
  </si>
  <si>
    <t xml:space="preserve">Documentos normativos </t>
  </si>
  <si>
    <t>Cartagena Adaptada al Clima y Resiliente a los Desastres</t>
  </si>
  <si>
    <t>Incrementar en 30% el porcentaje de inversión en gestión del riesgo del Distrito</t>
  </si>
  <si>
    <t>ORDENAMIENTO Y SOSTENIBILIDAD AMBIENTAL</t>
  </si>
  <si>
    <t>4.4.1</t>
  </si>
  <si>
    <t>Plan 4C: Cartagena Competitiva y Compatible con el Clima actualizado</t>
  </si>
  <si>
    <t>1 Plan de Adaptación al Cambio Climático 4C con necesidad de actualización
 Fuente: Secretaría de Planeación, Secretaría General, 2023</t>
  </si>
  <si>
    <t>Actualizar e implementar un (1) Plan 4C: Cartagena Competitiva y Compatible con el Clima</t>
  </si>
  <si>
    <r>
      <t xml:space="preserve">Documentos de planeación elaborados
</t>
    </r>
    <r>
      <rPr>
        <b/>
        <sz val="36"/>
        <rFont val="Arial Narrow"/>
        <family val="2"/>
      </rPr>
      <t>(PIGCC)</t>
    </r>
  </si>
  <si>
    <t>Ciudad Histórica y Patrimonial</t>
  </si>
  <si>
    <t>Rehabilitar cuatrocientos (400) metros cuadrados de espacio público en el Centro Histórico y su área de influencia</t>
  </si>
  <si>
    <t>SOSTENIBILIDAD DEL ESPACIO PÚBLICO DEL CENTRO HISTÓRICO DE CARTAGENA DE INDIAS</t>
  </si>
  <si>
    <t>4.5.1</t>
  </si>
  <si>
    <t>Estudio de las nuevas Tipologías Arquitectónicas del Centro Histórico elaborado</t>
  </si>
  <si>
    <t>Elaborar un (1) Estudio y dar lineamientos técnicos de las nuevas Tipologías Arquitectónicas del Centro Histórico</t>
  </si>
  <si>
    <t>Cartagena Ordenada Alrededor del Agua</t>
  </si>
  <si>
    <t>Proteger el 100% de las áreas de rondas hídricas</t>
  </si>
  <si>
    <t>RECUPERACIÓN Y ESTABILIZACIÓN DEL SISTEMA HÍDRICO Y LITORAL DE CARTAGENA</t>
  </si>
  <si>
    <t>4.7.3</t>
  </si>
  <si>
    <t>Plan Parcial de Chambacú, Torices, La Unión formulado, adoptado y con seguimiento</t>
  </si>
  <si>
    <t>Formular, adoptar y hacer seguimiento a un (1) Plan Parcial de Chambacú, Torices, La Unión</t>
  </si>
  <si>
    <t>PLAN DE RESTAURACIÓN INTEGRAL DE LA CIÉNAGA DE LA VIRGEN</t>
  </si>
  <si>
    <t>4.7.4</t>
  </si>
  <si>
    <t>Plan de Gestión Social y Ambiental de la Ciénaga de la Virgen formulado e implementado</t>
  </si>
  <si>
    <t>Formular e implementar un (1) Plan de Gestión Social y Ambiental de la Ciénaga de la Virgen</t>
  </si>
  <si>
    <t>Estudios y diseños actualizados de red urbana formulados</t>
  </si>
  <si>
    <t>Estudios y diseños de pre factibilidad (fase II) de 14.2 kilometros de la vía perimetral formulados
Fuente: Secretaría de Planeación 2023</t>
  </si>
  <si>
    <t>Formular un (1) estudio y diseño de la fase III (factibilidad) para la construcción de la vía Perimetral</t>
  </si>
  <si>
    <t>Planes Parciales de Renovación Urbana adoptados</t>
  </si>
  <si>
    <t>Formular y adoptar tres (3) Planes Parciales de Renovación Urbana: R4, R7 y R8</t>
  </si>
  <si>
    <t>Plan de Mejoramiento Integral de la Boquilla formulado</t>
  </si>
  <si>
    <t>Determinantes del Plan de Mejoramiento estructuradas
  Fuente: Secretaría de Planeación, 2023</t>
  </si>
  <si>
    <t>Formular un (1) Plan de Mejoramiento Integral de la Boquilla</t>
  </si>
  <si>
    <t>Formular cuatro (4) Planes de Mejoramiento Integral de Centros Poblados Insulares y/o Costeros</t>
  </si>
  <si>
    <t>Estudios detallados de amenaza y riesgo para territorios delimitados en Planes Parciales elaborados</t>
  </si>
  <si>
    <t>Elaborar estudios detallados de amenaza y riesgo para los territorios delimitados en los Planes Parciales R1, R2, R3, R5 y R6</t>
  </si>
  <si>
    <t>GESTIÓN DEL TERRITORIO MARINO-COSTERO</t>
  </si>
  <si>
    <t>4.7.5</t>
  </si>
  <si>
    <t>Operación Territorial – O.T-5 / Frente Costero y Protección formulada</t>
  </si>
  <si>
    <t>0
  Fuente: Secretaría de Planeación, 2024</t>
  </si>
  <si>
    <t>Formular una (1) Operación Territorial – O.T-5 / Frente Costero y Protección de Playas</t>
  </si>
  <si>
    <t>Documentos de planeación realizados</t>
  </si>
  <si>
    <t>Formular una (1) Operación Territorial – O.T-6 / Bahía de Cartagena – Canal del Dique</t>
  </si>
  <si>
    <t>Operación Territorial – O.T-12 / Zona Insular formulada</t>
  </si>
  <si>
    <t>Formular una (1) Operación Territorial – O.T 12 / Zona Insular</t>
  </si>
  <si>
    <t>Planes de Mejoramiento Integral de los Centros Poblados insulares formulados y ejecutados</t>
  </si>
  <si>
    <t>Formular y ejecutar los Planes de Mejoramiento Integral de los Centros Poblados insulares de Bocachica, Caño del Oro, Punta Arena, Tierrabomba, Barú, Isla Grande, Santa Cruz del Islote, e Isla Fuerte</t>
  </si>
  <si>
    <t>Cartilla de Tipologías de Vivienda Insular o Costera adaptada a los eventos de cambio climático diseñada</t>
  </si>
  <si>
    <t>Diseñar (1) Cartilla de Tipologías de Vivienda Insular o Costera adaptada a los eventos de cambio climático</t>
  </si>
  <si>
    <t>Integración Regional y Metropolitana</t>
  </si>
  <si>
    <t>Implementar cuatro (4) acuerdos regionales de colaboración mutua</t>
  </si>
  <si>
    <t>PROMOCIÓN, CREACIÓN Y OPERACIÓN DE ESQUEMAS ASOCIATIVOS TERRITORIALES DE LA CIUDAD REGIÓN</t>
  </si>
  <si>
    <t>4.8.1</t>
  </si>
  <si>
    <t>Estudio de clúster para la competitividad regional elaborado</t>
  </si>
  <si>
    <t>Elaborar un (1) estudio de clúster para la competitividad regional</t>
  </si>
  <si>
    <t>Iniciativa regional de infraestructura de transporte y conectividad para la productividad</t>
  </si>
  <si>
    <t>Diseñar una (1) iniciativa regional de infraestructura de transporte abastecimiento y logística</t>
  </si>
  <si>
    <t xml:space="preserve">Documentos de lineamientos técnicos en logística de transporte, publicados </t>
  </si>
  <si>
    <t xml:space="preserve">11. Ciudades y Comunidades Sostenibles
9. Industria, Innovación e Infraestructura
17. Alianzas para lograr los objetivos
</t>
  </si>
  <si>
    <t>5. Fortalecer la relación del Estado con la ciudadanía cartagenera, incrementando los niveles de recaudo tributario y mejorando el índice de desempeño institucional, mediante la innovación pública, optimización y simplificación de procesos, la modernización administrativa y la eficiente participación ciudadana, garantizando una gobernanza eficiente, transparente y orientada al servicio de la ciudadanía, durante el período de gobierno 2024-2027.</t>
  </si>
  <si>
    <t>Innovación Pública y Participación Ciudadana</t>
  </si>
  <si>
    <t>Sistema de Planeación Distrital</t>
  </si>
  <si>
    <t>Diseñar e implementar al 100% la estrategia distrital para disposición de información estratégica de ciudad</t>
  </si>
  <si>
    <t>CENTRO DE INVESTIGACIÓN PARA LA PLANEACIÓN SOCIOECONÓMICA Y TERRITORIAL</t>
  </si>
  <si>
    <t>5.6.1</t>
  </si>
  <si>
    <t>Estudios socioeconómicos y poblacionales elaborados</t>
  </si>
  <si>
    <t>Elaborar cuatro (4) estudios socioeconómicos y poblacionales</t>
  </si>
  <si>
    <t>Estudios de focalización territorial de beneficiarios de Programas Sociales elaborados</t>
  </si>
  <si>
    <t>Elaborar seis (6) estudios de focalización territorial de beneficiarios de Programas Sociales</t>
  </si>
  <si>
    <t>Productos de generación de nuevo conocimiento desarrollados</t>
  </si>
  <si>
    <t>Desarrollar seis (6) productos de generación de nuevo conocimiento</t>
  </si>
  <si>
    <t>Actividades científicas de apropiación social del conocimiento desarrollados</t>
  </si>
  <si>
    <t>Desarrollar diez (10) actividades científicas de apropiación social del conocimiento</t>
  </si>
  <si>
    <t>Encuesta Multipropósito desarrollada</t>
  </si>
  <si>
    <t>Desarrollar una (1) Encuesta Multipropósito</t>
  </si>
  <si>
    <t>SISTEMAS DE INFORMACIÓN PARA EL DESARROLLO DE CARTAGENA</t>
  </si>
  <si>
    <t>5.6.2</t>
  </si>
  <si>
    <t>Mapa Interactivo de Asuntos del Suelo - MIDAS
 actualizado y optimizado</t>
  </si>
  <si>
    <t>Actualizar y optimizar un (1) Mapa Interactivo de Asuntos del Suelo - MIDAS</t>
  </si>
  <si>
    <t>Sistema de gestión documental implementado</t>
  </si>
  <si>
    <t>Sistema de Información Geográfico y Estadístico Distrital con infraestructura de datos espaciales creado</t>
  </si>
  <si>
    <t>Crear e implementar un (1) Sistema de Información Geográfico y Estadístico Distrital potenciado con infraestructura de datos espaciales</t>
  </si>
  <si>
    <t>Sistemas de información implementados</t>
  </si>
  <si>
    <t>Base de datos de estratificación actualizada</t>
  </si>
  <si>
    <t xml:space="preserve">100% de la base de datos de estratificación del Distrito actualizada
Fuente: Secretaría de Planeación, 2023
</t>
  </si>
  <si>
    <t>Mantener actualizada una (1) base de datos de estratificación del Distrito</t>
  </si>
  <si>
    <t>Servicio de estratificación socioeconómica</t>
  </si>
  <si>
    <t>Política de Gestión Estadística implementada en el marco del MIPG</t>
  </si>
  <si>
    <t>Implementar una (1) Política de Gestión Estadística en el marco de MIPG</t>
  </si>
  <si>
    <t>Documentos de política elaborados</t>
  </si>
  <si>
    <t>Base de datos del Sistema de Identificación de Potenciales Beneficiarios de Programas Sociales - SISBEN IV actualizada en la fase de demanda</t>
  </si>
  <si>
    <t>100% de metodología del SISBEN IV implementada a corte 2023
  Fuente: Secretaría de Planeación 2023</t>
  </si>
  <si>
    <t>Mantener actualizada una (1) base de datos del SISBEN IV en la fase de demanda</t>
  </si>
  <si>
    <t>Sistema de gestión documental actualizado</t>
  </si>
  <si>
    <t>Oficina Administrativa y puntos de atención del Sistema de Identificación de Potenciales Beneficiarios de Programas Sociales - SISBEN IV mejorados</t>
  </si>
  <si>
    <t>Una Oficina Administrativa y diez puntos de atención con necesidad de mejora
  Fuente: Secretaría de Planeación 2023</t>
  </si>
  <si>
    <t>Mejorar una (1) Oficina Administrativa y diez (10) puntos de atención del SISBEN IV</t>
  </si>
  <si>
    <t>Sedes dotadas</t>
  </si>
  <si>
    <t>Organizar y poner en funcionamiento el 100% del Sistema Distrital de Planeación</t>
  </si>
  <si>
    <t>INVERSIÓN PÚBLICA EFICIENTE Y TRANSPARENTE</t>
  </si>
  <si>
    <t>5.6.3</t>
  </si>
  <si>
    <t>Informes periódicos seguimiento de inversión pública elaborados</t>
  </si>
  <si>
    <t>14 informes periódicos seguimiento de inversión pública en el cuatrienio 2020-2023
  Fuente: Secretaría de Planeación, 2023</t>
  </si>
  <si>
    <t>Elaborar dieciséis (16) informes periódicos seguimiento de inversión pública</t>
  </si>
  <si>
    <t>Documentos de lineamientos técnicos realizados</t>
  </si>
  <si>
    <t>Asistencias técnicas a entidades del Distrito elaboradas</t>
  </si>
  <si>
    <t>Elaborar noventa y dos (92) asistencias técnicas a entidades del Distrito</t>
  </si>
  <si>
    <t>Entidades, organismos y dependencias asistidos técnicamente</t>
  </si>
  <si>
    <t>Soportes técnicos a usuarios en temas de proyectos de inversión elaborados</t>
  </si>
  <si>
    <t>1200 usuarios con soporte técnico en proyectos a corte 2023
  Fuente: Secretaría de Planeación, 2023</t>
  </si>
  <si>
    <t>Elaborar mil quinientos (1.500) soportes técnicos a usuarios en temas de proyectos de inversión</t>
  </si>
  <si>
    <t>Planes de Desarrollo Locales formulados y con seguimiento</t>
  </si>
  <si>
    <t>3 Planes de Desarrollo Locales formulados para el cuatrienio 2020-2023
  Fuente: Secretaría de Planeación, 2023</t>
  </si>
  <si>
    <t>Formular y hacer seguimiento a los Planes de Desarrollo Local</t>
  </si>
  <si>
    <t>Estrategia de asistencia técnica para la formulación de los Planes de Desarrollo Estratégicos Comunales formulada</t>
  </si>
  <si>
    <t>0
  Fuente: Secretaría de Planeación, 2023</t>
  </si>
  <si>
    <t>Formular una (1) estrategia de asistencia técnica para la formulación de los Planes de Desarrollo Estratégicos Comunales</t>
  </si>
  <si>
    <t>Documentos metodológicos realizados</t>
  </si>
  <si>
    <t>Planes de Acción formulados y con seguimiento</t>
  </si>
  <si>
    <t>Formular y hacer seguimiento a veintiún (21) Planes de Acción</t>
  </si>
  <si>
    <t>Documentos de evaluación elaborados</t>
  </si>
  <si>
    <t>Proyectos estratégicos de ciudad formulados</t>
  </si>
  <si>
    <t>Formular en sus tres fases siete (7) proyectos estratégicos de ciudad</t>
  </si>
  <si>
    <t>Proyectos asistidos técnicamente</t>
  </si>
  <si>
    <t>POLÍTICAS PÚBLICAS INTERSECTORIALES Y CON VISIÓN INTEGRAL</t>
  </si>
  <si>
    <t>5.6.4</t>
  </si>
  <si>
    <t>Políticas públicas formuladas y acompañadas en su evaluación y seguimiento</t>
  </si>
  <si>
    <t>3 políticas públicas adoptadas
  Fuente: Secretaría de Planeación, 2024.</t>
  </si>
  <si>
    <t>Formular y acompañar en su evaluación y seguimiento a nueve (9) políticas públicas</t>
  </si>
  <si>
    <t>Políticas públicas finalizadas en su formulación</t>
  </si>
  <si>
    <t>Finalizar la formulación y acompañar en la evaluación y seguimiento a tres (3) políticas públicas</t>
  </si>
  <si>
    <t>DESCENTRALIZACIÓN ADMINISTRATIVA</t>
  </si>
  <si>
    <t>5.6.5</t>
  </si>
  <si>
    <t>Estudios técnicos para la creación de nuevas localidades</t>
  </si>
  <si>
    <t>Elaborar un (1) estudio técnico para la creación de nuevas localidades</t>
  </si>
  <si>
    <t>Proyecto de acuerdo presentado al Concejo para la creación de localidades</t>
  </si>
  <si>
    <t>Presentar un (1) proyecto de acuerdo al Concejo para la creación de dos localidades</t>
  </si>
  <si>
    <t>Documentos normativos realizados</t>
  </si>
  <si>
    <t>Asistencia técnica y seguimiento a la ejecución de los Fondos de Desarrollo Local desarrollada</t>
  </si>
  <si>
    <t>Desarrollar asistencia técnica y seguimiento a la ejecución de los Fondos de Desarrollo Local</t>
  </si>
  <si>
    <t>Instancias del Sistema Distrital de Planeación Participativa acompañadas con apoyo técnico, administrativo y logístico</t>
  </si>
  <si>
    <t>"0
 Fuente: Secretaría de Planeación, 2023"</t>
  </si>
  <si>
    <t>Acompañar con apoyo técnico, administrativo y logístico anualmente a tres (3) instancias de planeación (Consejo Territorial de Planeación, el Consejo Consultivo de Ordenamiento Territorial y el Consejo de Participación Ciudadana)</t>
  </si>
  <si>
    <t>GESTIÓN CATASTRAL CON ENFOQUE MULTIPROPÓSITO</t>
  </si>
  <si>
    <t>5.6.6</t>
  </si>
  <si>
    <t>Operación del servicio público de catastro multipropósito implementada</t>
  </si>
  <si>
    <t>Implementar una (1) operación del servicio público de catastro multipropósito</t>
  </si>
  <si>
    <t xml:space="preserve">Documento de estudios técnicos sobre geografía, caracterización territorial y dinámica inmobiliaria </t>
  </si>
  <si>
    <t>Plan de fortalecimiento para la prestación efectiva del servicio público de gestión
 catastral formulado</t>
  </si>
  <si>
    <t>"Formular un (1) plan de fortalecimiento para la prestación efectiva del servicio público de gestión catastral"</t>
  </si>
  <si>
    <t>Servicio de conservación catastral</t>
  </si>
  <si>
    <t>10. Reducción de la desigualdad
16. Paz, justicia e instituciones sólidas</t>
  </si>
  <si>
    <t>Este capítulo busca garantizar a las comunidades Negras, Afrocolombiana, Raizales, Palenquera e Indígenas (pueblos Kankuamos, Inga y Zenúes), que habitan en Distrito de Cartagena, el fortalecimiento de su autonomía, brindar protección de sus derechos, mejorar las condiciones de vida a través de la implementación de medidas concertadas en la gestión del desarrollo integral, y en el marco de la garantía de los derechos humanos individuales y colectivos</t>
  </si>
  <si>
    <t>DE LOS PUEBLOS Y COMUNIDADES ETNICAS</t>
  </si>
  <si>
    <t>FORTALECIMIENTO AL DESARROLLO AFRO-TERRITORIAL DE LA POBLACIÓN NEGRA, AFROCOLOMBIANA, RAIZAL Y PALENQUERA</t>
  </si>
  <si>
    <t>Incrementar a 20% el porcentaje de la población negra, afrocolombiana, raizal, palenquera que habita el Distrito vinculada a procesos de fortalecimiento y reconocimiento de sus derechos, diversidad étnica y cultural como un principio fundamental</t>
  </si>
  <si>
    <t>DESARROLLO LOCAL SOSTENIBLE Y PROSPERIDAD COLECTIVA EN LOS TERRITORIOS DE LAS COMUNIDADES NEGRAS DEL DISTRITO DE CARTAGENA</t>
  </si>
  <si>
    <t>06-01-01</t>
  </si>
  <si>
    <t>Espacios de participación promovidos de las comunidades negras, afro, raizales y palenqueras en procesos de elaboración de los instrumentos de planificación y macroproyectos de la ciudad</t>
  </si>
  <si>
    <t>Promover espacios de participación de las comunidades negras, afro, raizales y palenqueras en los cinco (5) procesos de elaboración de los instrumentos de planificación (POT, PEMP, Planes Parciales, macroproyectos)</t>
  </si>
  <si>
    <t>Seguimientos anuales desarrollados al trazador presupuestal para los recursos de inversión en territorios de comunidades negras</t>
  </si>
  <si>
    <t>Desarrollar cuatro (4) seguimientos anuales al trazador presupuestal para los recursos de inversión en territorios de comunidades negras</t>
  </si>
  <si>
    <t>Código: PTDGI02-F001</t>
  </si>
  <si>
    <t>PROCESO / SUBPROCESO: GESTIÓN DE LA INVERSIÓN PUBLICA / GESTIÓN DEL PLAN DE DESARROLLO Y SUS INSTRUMENTOS DE EJECUCIÓN</t>
  </si>
  <si>
    <t>FORMATO PLAN DE ACCIÓN INSTITUCIONAL</t>
  </si>
  <si>
    <t>Incrementar a 80,7 puntos el Índice de Desempeño Gobierno Digital</t>
  </si>
  <si>
    <t xml:space="preserve">DIRECCIONAMIENTO ESTRATÉGICO Y PLANEACIÓN </t>
  </si>
  <si>
    <t>PLANEACIÓN INSTITUCIONAL</t>
  </si>
  <si>
    <t>DIRECCIONAMIENTO ESTRATÉGICO</t>
  </si>
  <si>
    <t>01 PLANEACIÓN ESTRATEGICA</t>
  </si>
  <si>
    <t>Dar cumplimiento al 100% de las políticas, planes, programas, proyectos, estrategias y objetivos trazados por el Gobierno Nacional, mediante la construcción permanente de la Plataforma Estratégica, la formulación del Plan Estratégico Institucional, acorde con lo establecido en el Plan Nacional de Desarrollo, el Plan Indicativo Sectorial y las políticas de gobierno y este a su vez estructura la planeación institucional, a través de la formulación y seguimiento de la planeación presupuestal, el Plan de Acción para el cumplimiento de la Misión y Visión Institucional.</t>
  </si>
  <si>
    <t>Índice de desempeño institucional (FURAG)</t>
  </si>
  <si>
    <t>Medir la gestión y desempeño institucional de la Alcaldía de Cartagena de Indias en el ámbito de aplicación del Modelo Integrado de Planeación y Gestión MIPG</t>
  </si>
  <si>
    <t>ANUAL</t>
  </si>
  <si>
    <t>EFECTIVIDAD</t>
  </si>
  <si>
    <t>02 GESTIÓN DE POLITICAS PÚBLICAS E INSTITUCIONALES</t>
  </si>
  <si>
    <t>Brindar asistencias técnicas a todos los procesos del distrito para el cumplimiento del 100% de las políticas publicas, de forma cuatrianual, mediante la gestión para la elaboración de las politicas públicas de la entidad.</t>
  </si>
  <si>
    <t>Número de asistencias técnicas brindadas</t>
  </si>
  <si>
    <t>Evaluar el número de asistencias técnicas brindadas en función del número de solicitudes de asistencias técnicas recibidas.</t>
  </si>
  <si>
    <t>Trimestral</t>
  </si>
  <si>
    <t>EFICACIA</t>
  </si>
  <si>
    <t>ENTIDADES</t>
  </si>
  <si>
    <t>Número de conceptos emitidos</t>
  </si>
  <si>
    <t>Evaluar el número de conceptos emitidos en función de numero de conceptos solicitados en el subproceso de función publicas institucionales</t>
  </si>
  <si>
    <t>SERVIDORES</t>
  </si>
  <si>
    <t>Número de informes de seguimiento emitidos</t>
  </si>
  <si>
    <t>Verificar el número de informes de seguimientos emitidos desde el subproceso de gestión de políticas públicas e institucionales</t>
  </si>
  <si>
    <t>CIUDADANÍA</t>
  </si>
  <si>
    <t>Organizar y poner en funcionamiento el 100% del Sistema Distrital de
Planeación</t>
  </si>
  <si>
    <t>Numero de evaluaciones publicadas</t>
  </si>
  <si>
    <t>Evaluar si el equipo de políticas públicas está monitoreando al Distrito.</t>
  </si>
  <si>
    <t>Semestral</t>
  </si>
  <si>
    <t>INTERNO</t>
  </si>
  <si>
    <t>03 ADMINISTRACIÓN DE RIESGO</t>
  </si>
  <si>
    <t>Liderar la Administración del Riesgo de la Alcaldía de Cartagena, por medio del uso de las herramientas y metodologías disponibles, para la implementación de una eficaz, eficiente y efectiva gestión del riesgo a partir de la identificación, análisis y control de los posibles hechos generadores, tanto internos como externos y el análisis de sus causas, sus consecuencias y el establecimiento de medidas orientadas a controlarlos para contribuir al logro de los objetivos de los procesos.</t>
  </si>
  <si>
    <t>Controles de los riesgos de gestion implementados</t>
  </si>
  <si>
    <t>Evaluar la eficacia de los controles establecidos para la mitigacion de los riesgos de gestion</t>
  </si>
  <si>
    <t>Incrementar a 88,9 puntos el Índice de Desempeño Institucional - IDI de la Alcaldía Distrital</t>
  </si>
  <si>
    <t>04 EVALUACIÓN Y GESTIÓN DE LOS GRUPOS DE VALOR</t>
  </si>
  <si>
    <t>Consolidar el ciclo de la planificación estratégica mediante el desarrollo continuo de acciones e instrumentos, para evaluar y mejorar la prestación de productos y servicios a todos los grupos de valor, con el fin de identificar y hacer seguimiento a quien o quienes llega el servicio de se presta.</t>
  </si>
  <si>
    <t>Grupos de valor analizados</t>
  </si>
  <si>
    <t>Identificar el número de grupos de valor analizados en función del total de grupos de valor de la alcaldía de Cartagena.</t>
  </si>
  <si>
    <t>Anual</t>
  </si>
  <si>
    <t xml:space="preserve">EVALUACIÓN DE RESULTADOS </t>
  </si>
  <si>
    <t xml:space="preserve">SEGUIMIENTO Y EVALUACIÓN DEL DESEMPEÑO INSTITUCIONAL </t>
  </si>
  <si>
    <t>SEGUIMIENTO Y EVALUACION</t>
  </si>
  <si>
    <t>05 EVALUACION DE METAS DE INDICADORES Y METAS DE GOBIERNO TERRITORIAL</t>
  </si>
  <si>
    <t>Identificar el 100% de los avances alcanzados en la programacion de metas e indicadores con los recursos asignados a cada programa en el plan de desarrollo, a traves del seguimiento permanente a la gestion institucional y la evaluacion de los resultados obtenidos, con el fin de realizar el seguimiento y evaluacion de la gestion y su desempeño a partir de las metas e indicadores del Plan de Desarrollo.</t>
  </si>
  <si>
    <t>Informe de seguimiento realizado</t>
  </si>
  <si>
    <t>Evaluar el numero de seguimientos realizados en funcion del numero de seguimientos programados</t>
  </si>
  <si>
    <t>GESTIÓN DE LA INVERSIÓN PUBLICA</t>
  </si>
  <si>
    <t>06 GESTIÓN DEL PLAN DE DESARROLLO Y SUS INTRUMENTOS DE EJECUCIÓN</t>
  </si>
  <si>
    <t>Orientar en el Distrito de Cartagena la formulación del plan de desarrollo, a traves de todos los instrumentos de planeación estratégica como plan de desarrollo, plan indicativo y planes de acción institucional, con el fin de hacer el seguimiento permanente al cumplimiento de este plan</t>
  </si>
  <si>
    <t>Documentos de planeación formulado</t>
  </si>
  <si>
    <t>Evaluar el número de documentos de planeación elaborados en función de los documentos programados.</t>
  </si>
  <si>
    <t>07 GESTIÓN DE PROYECTOS DE INVERSIÓN PÚBLICA</t>
  </si>
  <si>
    <t>Garantizar la correcta formulación, seguimiento y ajuste de proyectos que se encuentren alineados en un 100% a las metodologías, criterios y procedimientos definidos por el departamento nacional de planeación para la asignación de recursos públicos para su ejecución y de esta manera dar cumplimiento a lo planificado en el plan de desarrollo en el periodo de gobierno.</t>
  </si>
  <si>
    <t>Numero de personas capacitadas</t>
  </si>
  <si>
    <t>Evaluar el numero de personas capacitadas en funcion de la meta de personas a capacitar en el plan de desarrollo durante cada vigencia.</t>
  </si>
  <si>
    <t>TRIMESTRAL</t>
  </si>
  <si>
    <t>Proyectos con asignación presupuestal viabilizado</t>
  </si>
  <si>
    <t>Medir el cumplimiento de proyectos con asignación presupuestal viabilizados en función del total de proyectos con asignación presupuestal para la vigencia.</t>
  </si>
  <si>
    <t>Reporte de seguimiento a proyectos cumplidos</t>
  </si>
  <si>
    <t>Elaborar y entregar el seguimiento del Plan Desarrollo para la toma de decisiones en el cumplimiento de los objetivos y metas de la Administración.</t>
  </si>
  <si>
    <t>Ejecución de trámites aprobados</t>
  </si>
  <si>
    <t>Medir cumplimiento de ejecución de los tramites aprobados mediante actos administrativos</t>
  </si>
  <si>
    <t>08 GESTIÓN DE PROYECTOS DE INVERSIÓN PÚBLICA CON RECURSOS DE REGALIAS</t>
  </si>
  <si>
    <t>Garantizar la correcta formulación, seguimiento y ajuste de proyectos que se encuentren alineados en un 100% a las metodologías, criterios y procedimientos definidos por el departamento nacional de planeación para la asignación de recursos públicos de regalías para su ejecución y de esta manera dar cumplimiento a lo planificado en el plan de desarrollo en el periodo de gobierno.</t>
  </si>
  <si>
    <t>Recursos públicos de regalías asignados</t>
  </si>
  <si>
    <t>Evaluar la oportunidad en la contratación, el cumplimiento de la ejecución en plazo y en presupuesto programados. acciones de apoyo en la gestión de proyectos y en la ejecución de los mismo</t>
  </si>
  <si>
    <t>09 GESTIÓN Y CONTROL DE INVERSIONES PÚBLICAS</t>
  </si>
  <si>
    <t>Garantizar la correcta inversión de recursos públicos en proyectos de inversión en un 100%, mediante la ejecución de proyectos de inversión en el Distrito de Cartagena, para el cumplimiento a lo planificado en el plan de desarrollo en el periodo de gobierno</t>
  </si>
  <si>
    <t>Solicitudes de disponibilidad presupuestal recibidas</t>
  </si>
  <si>
    <t>Establecer el nivel de cumplimiento de atención de las solicitudes de disponibilidad presupuestal recibidas en función del total de solicitudes de disponibilidad presupuestal recibidas.</t>
  </si>
  <si>
    <t>Tramites presupuestales revisados</t>
  </si>
  <si>
    <t>Establecer el nivel de cumplimiento de los procesos de revisión de los decretos de trámites presupuestales</t>
  </si>
  <si>
    <t>INFORMACIÓN Y COMUNICACIÓN</t>
  </si>
  <si>
    <t>GESTIÓN DE LA INFORMACIÓN ESTADÍSTICA</t>
  </si>
  <si>
    <t>GESTIÓN DE DATOS E INFORMACIÓN ESTADISTICA DISTRITAL</t>
  </si>
  <si>
    <t>10 SISTEMA DE INFORMACION - SISBEN</t>
  </si>
  <si>
    <t>Identificar y generar información socioeconómica confiable y actualizada de potenciales beneficiarios de programas sociales del estado, mediante la actualización permanente de los datos sociodemográficos de los hogares en la base de datos de la metodología Sisbén IV para la toma de decisiones del Distrito y que a su vez permita a las entidades y a la ciudadanía en general contar con información, relevante, accesible, precisa y oportuna.</t>
  </si>
  <si>
    <t>Encuestas nuevas atendidas</t>
  </si>
  <si>
    <t>Evaluar el numero encuestas nuevas</t>
  </si>
  <si>
    <t>Personas incluidas en un hogar atendidas</t>
  </si>
  <si>
    <t>Verificar el número de personas incluidas en un hogar atendidas.</t>
  </si>
  <si>
    <t>Fichas modificadas</t>
  </si>
  <si>
    <t>Evaluar el número de fichas modificadas en la base de dato del Sisbén</t>
  </si>
  <si>
    <t>Retiro de fichas, hogares o de personas realizado</t>
  </si>
  <si>
    <t>Medir el numero de retiros validados por el DNP Vs solicitudes de retiro solicitados</t>
  </si>
  <si>
    <t>Encuestas por inconformidad en categorías atendidas</t>
  </si>
  <si>
    <t>Evaluar el número de encuestas por inconformidad realizadas en función del número de encuestas por inconformidad solicitadas.</t>
  </si>
  <si>
    <t>Búsquedas Activas Realizadas</t>
  </si>
  <si>
    <t>Evaluar el número de búsquedas atendidas en función del número de búsquedas proyectadas.</t>
  </si>
  <si>
    <t>Tramites al DNP Reportado</t>
  </si>
  <si>
    <t>Monitorear el numero de envíos de la base de datos SISBEN al DNP</t>
  </si>
  <si>
    <t>EFICIENCIA</t>
  </si>
  <si>
    <t>Peticiones, Quejas y Reclamos, PQR atendidas</t>
  </si>
  <si>
    <t>Determinar el nivel de atención de las peticiones quejas y reclamos recibidas</t>
  </si>
  <si>
    <t>11 SISTEMA DE INFORMACIÓN DE LA ESTRATIFICACIÓN SOCIOECONOMICA</t>
  </si>
  <si>
    <t>Mantener actualizada la estratificación de los predios de uso residencial en las zonasurbanas y rurales del Distrito, así como las fincas y viviendas dispersas, conforme a la metodología vigente, con el fin de brindar herramientas que permitan establecer tarifas diferenciales en el cobro de los servicios públicos y/o el impuesto predial y de dar respuesta oportuna a los requerimientos que en materia de estratificación presenten los usuarios, todo esto con el acompañamiento del Comité permanente de estratificación.</t>
  </si>
  <si>
    <t>Numero de Predios actualizados por iniciativa de la SPD</t>
  </si>
  <si>
    <t>Hacer seguimiento a las actualizaciones de estrato en predios por iniciativa de la dependencia de Estratificación.</t>
  </si>
  <si>
    <t>Numero de estratos asignados a nuevos desarrollos urbanisticos</t>
  </si>
  <si>
    <t>Evaluar el número de nuevos desarrollos estratificados en función del número de solicitudes de asignación de estrato.</t>
  </si>
  <si>
    <t>Numero de certificados de estratos emitidos por solicitud de usuarios.</t>
  </si>
  <si>
    <t>Evaluar el porcentaje de certificados de estrato emitidos contra lo solicitado.</t>
  </si>
  <si>
    <t>Numero de predios revisados por solicitud de usuarios</t>
  </si>
  <si>
    <t>Evaluar el porcentaje de predios a los que se les revisa el estrato contra lo solicitado.</t>
  </si>
  <si>
    <t>Numero de apelaciones recibidas sobre el total de predios actualizados.</t>
  </si>
  <si>
    <t>Evaluar el porcentaje de apelaciones recibidas contra el el numero de predios actualizados.</t>
  </si>
  <si>
    <t>Numero de apelaciones atendidas por el comite permanente de estratificacion</t>
  </si>
  <si>
    <t>Evaluar el porcentaje de apelaciones atendidas por el comite permanente de estratificacion contra las solicitudes recibidas.</t>
  </si>
  <si>
    <t>Numero de respuestas emitidas dentro de los tiempos de ley.</t>
  </si>
  <si>
    <t>Evaluar el porcentaje de respuestas de los usuarios emitidas en el tiempo de ley.</t>
  </si>
  <si>
    <t>12 SISTEMA DE INFORMACIÓN GEOGRAFICA</t>
  </si>
  <si>
    <t>Desarrollar y mantener actualizado el Sistema de Información Geografica SIG, Distrital y coordinar los sistemas de operación de los instrumentos de focalización en las Alcaldías Locales, conforme a las políticas y procedimientos del gobierno central. (Alimentar, Depurar, Actualizar y Procesar las Bases de Datos del Sistema de Información Geográfico) para la toma de decisiones del Distrito.</t>
  </si>
  <si>
    <t>Certificado de nomenclatura emitido</t>
  </si>
  <si>
    <t>Evaluar el número de certificados de nomenclatura emitido vs número de certificado solicitado.</t>
  </si>
  <si>
    <t>Mensual</t>
  </si>
  <si>
    <t>Numero de planos elaborados</t>
  </si>
  <si>
    <t>Establecer un control y medición de los diferentes planos que se elaboran en la dependencia, con el fin de establecer una base de datos de los mismos.</t>
  </si>
  <si>
    <t>Usuarios que hace uso de la plataforma MIDAS.</t>
  </si>
  <si>
    <t>Establecer un control y medición de los usuarios que hacen uso de la plataforma MIDAS.</t>
  </si>
  <si>
    <t>Usuarios que hace uso de las bases de datos SIG</t>
  </si>
  <si>
    <t>Establecer un control y medición de los usuarios que hacen uso de las diferentes bases de datos del sistema de información.</t>
  </si>
  <si>
    <t>Bases de Datos Actualizados</t>
  </si>
  <si>
    <t>Establecer un control sobre las bases de datos actualizadas</t>
  </si>
  <si>
    <t>GESTIÓN TERRITORIAL Y GESTIÓN DE SUS INSTRUMENTOS</t>
  </si>
  <si>
    <t>14 FORMULACIÓN DE PLANES PARCIALES</t>
  </si>
  <si>
    <t>Atender el 100% de las solicitudes realizadas por los interesados en desarrollar y complementar las disposiciones del plan de ordenamiento territorial, para áreas determinadas del suelo urbano y para las áreas incluidas en el suelo de expansión urbana, además de las que deban desarrollarse mediante unidades de actuación urbanística, macroproyectos u otras operaciones urbanas especiales, y emitir la viabilidad técnica y urbanística que haya lugar.</t>
  </si>
  <si>
    <t>Planes parciales Aprobados</t>
  </si>
  <si>
    <t>Determinar el cumplimiento en la oportunidad de la atención a las solicitudes efectuadas por la ciudadanía, en relación con la evaluación y emisión de planes parciales en la ciudad de Cartagena.</t>
  </si>
  <si>
    <t>15 GESTION DEL ORDENAMIENTO TERRITORIAL</t>
  </si>
  <si>
    <t>Formular el Plan de Ordenamiento Territorial – POT, en coordinación con todas las entidades del orden público, privado y comunitario para la ordenación del territorio, cada vez que se cumpla la vigencia del instrumento, cada tres periodos de gobierno de la administración distrital y/o cuando se agote la vigencia de los contenidos de componente general y urbano, lo que ocurra primero y realizar el seguimiento para revisar el cumplimiento de la visión.</t>
  </si>
  <si>
    <t>Avance del Plan de Ordenamiento Territorial Formulado</t>
  </si>
  <si>
    <t>Realizar el seguimiento de la formulación y adopción del Plan de Ordenamiento Territorial</t>
  </si>
  <si>
    <t>17 EXPEDIENTE DISTRITAL</t>
  </si>
  <si>
    <t>Conformar un sistema de información integral para la planeación en el ámbito territorial mediante la consolidación del expediente distrital que contiene documentos, planos e información georreferenciada sobre los aspectos territoriales a través del archivo técnico e histórico, cada vez que se genere y/o recolecte cualquier tipo de información relacionada con el ordenamiento territorial, para que sirva como herramienta para la planificación, el seguimiento y la evaluación del ordenamiento territorial en el Distrito de Cartagena.</t>
  </si>
  <si>
    <t>Certificados de uso de suelo, riesgo y nomenclatura emitidos</t>
  </si>
  <si>
    <t>Determinar el nivel de cumplimiento en la atención a las solicitudes de certificación de la norma urbanística de los diferentes predios de la ciudad en las modalidades del uso del suelo, riesgo y nomenclatura.</t>
  </si>
  <si>
    <t>GESTIÓN EN LA VIGILANCIA Y CONTROL DE LAS NORMAS URBANAS</t>
  </si>
  <si>
    <t>18 INSPECCIÓN, CONTROL Y LA VIGILANCIA DE LOS ENAJENADORES DE VIVIENDA</t>
  </si>
  <si>
    <t>Definir mecanismos necesarios para el cumplimiento en un 100% de las funciones de las actividades destinadas a la enajenación de vivienda, mediante la permanente inspección, control y vigilancia de los enajenadores de vivienda, con el fin de solucionar los problemas de construcción ilegal, según las normas urbanísticas vigentes.</t>
  </si>
  <si>
    <t>Certificados solicitados expedidos</t>
  </si>
  <si>
    <t>Evaluar el número de certificados solicitados expedidos vs el número de solicitudes recibidas.</t>
  </si>
  <si>
    <t>Proyectos de urbanismo visitados</t>
  </si>
  <si>
    <t>Evaluar el número de visitas realizadas a proyectos de urbanismo en función a los proyectos urbanismos radicados.</t>
  </si>
  <si>
    <t>19 RECEPCIÓN DE BIENES DESTINADOS AL USO PÚBLICO EN ACTUACIONES URBANÍSTICAS</t>
  </si>
  <si>
    <t>Establecer el procedimiento para el trámite de titulación, recepción e incorporación de bienes destinados al uso público en actuaciones urbanísticas, mediante la emisión de conceptos y recepción de bienes para el uso público, con el fin de asegurar la legalidad y la transparencia en la toma de decisiones y trámites urbanísticos</t>
  </si>
  <si>
    <t>Áreas de cesión inspeccionadas</t>
  </si>
  <si>
    <t>Evaluación del número de solicitudes de recepción de áreas de cesión inspeccionadas en función a la entrega de inspección a apoyo logístico</t>
  </si>
  <si>
    <t>20 PROCESOS POLICIVOS URBANÍSTICOS POR INFRACCIÓN URBANÍSTICA</t>
  </si>
  <si>
    <t>Definir mecanismos necesarios para el cumplimiento en un 100% de las funciones de las actividades destinadas a los procesos policivos, con respecto a las decisiones de 2° instancia que se han tramitado por los comportamientos contrarios a la integridad urbanistica contenidos en la ley 1801 del 2016, mediante la emisiòn de actos administrativos para la definición del caso.</t>
  </si>
  <si>
    <t>Procesos policivos urbanísticos atendidos</t>
  </si>
  <si>
    <t>Evaluar el número de solicitudes de procesos policivos urbanísticos atendidos vs el número de solicitudes de proceso policivos urbanísticos recibidos.</t>
  </si>
  <si>
    <t>REPORTE ACTIVIDADES PROYECTO DE  ENERO A MARZO 2026</t>
  </si>
  <si>
    <t>REPORTE ACTIVIDADES PROYECTO DE  ABRIL A JUNIO 2026</t>
  </si>
  <si>
    <t>REPORTE ACTIVIDADES PROYECTO DE  JULIO A SEPTIEMBRE 2026</t>
  </si>
  <si>
    <t>REPORTE ACTIVIDADES PROYECTO DE  OCTUBRE A DICIEMBRE 2026</t>
  </si>
  <si>
    <t>ACUMULADO ACTIVIDAD DE PROYECTO 2026</t>
  </si>
  <si>
    <t>2.1.4</t>
  </si>
  <si>
    <t>Adoptar (1) documentos normativos para legalizacion de 122 hectareas en asentamientos humanos</t>
  </si>
  <si>
    <t xml:space="preserve"> ELABORACIÓN DE DOCUMENTOS PRELIMINARES, RECONOCIMIENTO DE EDIFICACIONES Y TRÁMITE DE LEGALIZACIÓN URBANÍSTICA</t>
  </si>
  <si>
    <t>Promover el acceso a los servicios del Estado a habitantes de asentamientos informales, mediante la implementación de estrategias de regularización urbana que impulsen el reconocimiento de edificaciones y las gestiones preliminares para la formalización.</t>
  </si>
  <si>
    <t>Implementar procesos de legalización urbanística, mejora de infraestructuras básicas y reconocimiento de edificaciones en al menos seis asentamientos informales previamente identificados, en colaboración con comunidades locales y autoridades municipales</t>
  </si>
  <si>
    <t>Documento de planeación</t>
  </si>
  <si>
    <t>Diágnostico</t>
  </si>
  <si>
    <t>EQUIDAD DE LA MUJER</t>
  </si>
  <si>
    <t>Documento / Cartografía</t>
  </si>
  <si>
    <t>Diego Bareño Campos</t>
  </si>
  <si>
    <t>Asociados a fenómenos de origen humano no intencionales:  aglomeración de público</t>
  </si>
  <si>
    <t>Interrupción de la ejecución de los proyectos y afectación
a la seguridad del personal.</t>
  </si>
  <si>
    <t>si</t>
  </si>
  <si>
    <t>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BIÓLOGOS MARINOS, OCEANÓGRAFOS, HIDRÓLOGOS Y AFINES; GEÓGRAFOS, CARTÓGRAFOS, GEÓLOGOS O DE ÁREAS AFINES; ÁREAS DE LA SOCIOLOGÍA, SICOLOGÍA, TRABAJO SOCIAL, CIENCIAS SOCIALES, PROMOTORES DE DESARROLLO COMUNITARIO Y ÁREAS AFINES; POLITÓLOGOS, CIENCIAS POLÍTICAS, ANTROLPÓLOGOS Y ÁREAS AFINES; DISEÑO GRÁFICO Y ÁREAS AFINES; LINIGUÍSTICA Y LITERATURA Y ÁREAS AFINES; COMUNICADORES SOCIALES, PRODUCCIÓN DE RADIO Y TELEVISIÓN Y ÁREAS AFINES; TÉCNICOS GRÁFICOS Y ÁREAS AFINES; PRESTACIÓN DE SERVICIOS DE PERSONAL CON NIVEL TÉCNICOS, TECNÓLOGOS, BACHILLERES PARA REALIZAR  ACTIVIDADES  PARA EL PROYECTO ELABORACIÓN DE DOCUMENTOS PRELIMINARES, RECONOCIMIENTO DE EDIFICACIONES Y TRÁMITE DE LEGALIZACIÓN URBANÍSTICA.</t>
  </si>
  <si>
    <t>ICLD</t>
  </si>
  <si>
    <t>202400000003934 ELABORACIÓN DE DOCUMENTOS PRELIMINARES, RECONOCIMIENTO DE EDIFICACIONES Y TRÁMITE DE LEGALIZACIÓN URBANÍSTICA</t>
  </si>
  <si>
    <t>Documento preliminar</t>
  </si>
  <si>
    <t>Presentación síntesis  del Documento preliminar</t>
  </si>
  <si>
    <t>Documento de planeación validado</t>
  </si>
  <si>
    <t>Documentos validados, Formatos, oficios de respuesta / Acto Administrativo -Resolución/ Presentación-síntesis/Informes de seguimiento</t>
  </si>
  <si>
    <t>Divulgación</t>
  </si>
  <si>
    <t>Convocatorias, Actas de Divulgación, registros fotográficos</t>
  </si>
  <si>
    <t>Desarrollar una (0,55) investigación para evaluar y redefinir las apuestas productivas de la ciudad en el marco de las tendencias futuras de la economía mundial</t>
  </si>
  <si>
    <t>INVESTIGACIONES PARA LA TRANSFORMACIÓN PRODUCTIVA EN EL DISTRITO DE CARTAGENA DE INDIAS</t>
  </si>
  <si>
    <t>Generar conocimiento sobre la situación actual de las dinámicas productivas y las necesidades del mercado laboral en Cartagena.</t>
  </si>
  <si>
    <t>Desarrollar investigaciones para evaluar y redefinir las apuestas productivas y la pertinencia de la oferta educativa con relación al mercado laboral de la ciudad, en el marco de las tendencias futuras de la economía mundial</t>
  </si>
  <si>
    <t>Documentos de Investigación</t>
  </si>
  <si>
    <t>Recolección de información primaria y secundaria</t>
  </si>
  <si>
    <t>Documento del diseño de la investigación</t>
  </si>
  <si>
    <t>Emilio Rafael Molina Barboza</t>
  </si>
  <si>
    <t>Riesgo de Disponibilidad de Datos Actuales y Fiables: Existe el riesgo de que los datos actuales sobre los sectores económicos, apuestas productivas y el mercado laboral en Cartagena no sean completos, actualizados o fiables, lo que puede afectar la precisión y validez del conocimiento generado.</t>
  </si>
  <si>
    <t>Implementación de un Sistema de Validación de Datos: desarrollar un protocolo riguroso para la recolección y validación de datos. Esto incluye la triangulación de fuentes de información (gubernamentales, académicas, empresariales) y la utilización de métodos estadísticos para identificar y corregir posibles sesgos o inconsistencias en los datos recolectados. Además, se pueden establecer acuerdos de colaboración con instituciones locales y nacionales que manejen bases de datos actualizadas y fiables.</t>
  </si>
  <si>
    <t>2024130010263 DESARROLLO DE INVESTIGACIONES PARA LA TRANSFORMACION PRODUCTIVA EN EL DISTRITO DE  CARTAGENA DE INDIAS</t>
  </si>
  <si>
    <t>Elaborar (0,55) estudio sobre mercado laboral y pertinencia educativa</t>
  </si>
  <si>
    <t>Diseño del proyecto de investigación</t>
  </si>
  <si>
    <t>Socialización de los resultados de los procesos investigativos</t>
  </si>
  <si>
    <t>Cronograma de Socializaciones
Convocatorias
Reuniones realizadas</t>
  </si>
  <si>
    <t>Población general</t>
  </si>
  <si>
    <t>Todas</t>
  </si>
  <si>
    <t>NO</t>
  </si>
  <si>
    <t>INSTRUMENTOS DE PLANIFICACIÓN TERRITORIAL</t>
  </si>
  <si>
    <t>ACTUALIZACIÓN Y SEGUIMIENTO AL PLAN DE ORDENAMIENTO TERRITORIAL EN EL DISTRITO DE CARTAGENA DE INDIAS</t>
  </si>
  <si>
    <t>Formular un instrumento de planificación territorial revisado, ajustado y actualizado en cumplimiento del Decreto 1232 de 2020.</t>
  </si>
  <si>
    <t>Actualizar el diagnóstico, formulación y realizar seguimiento del Plan de Ordenamiento Territorial y presentar al concejo distrital para su adopción.</t>
  </si>
  <si>
    <t>Documento de Planeación</t>
  </si>
  <si>
    <t xml:space="preserve">1. Elaborar plan de trabajo para la gestión de un instrumentos de planificación territorial </t>
  </si>
  <si>
    <t xml:space="preserve">Plan de Trabajo </t>
  </si>
  <si>
    <t>El personal técnico encargado de desarrollar y ejecutar las actividades no posea las competencias necesarias</t>
  </si>
  <si>
    <t>Contratar personal técnico idóneo y expertos.</t>
  </si>
  <si>
    <t>Sí</t>
  </si>
  <si>
    <t>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BIÓLOGOS MARINOS, OCEANÓGRAFOS, HIDRÓLOGOS Y AFINES; GEÓGRAFOS, CARTÓGRAFOS, GEÓLOGOS O DE ÁREAS AFINES; ÁREAS DE LA SOCIOLOGÍA, SICOLOGÍA, TRABAJO SOCIAL, CIENCIAS SOCIALES, PROMOTORES DE DESARROLLO COMUNITARIO Y ÁREAS AFINES; POLITÓLOGOS, CIENCIAS POLÍTICAS, ANTROLPÓLOGOS Y ÁREAS AFINES; DISEÑO GRÁFICO Y ÁREAS AFINES; LINIGUÍSTICA Y LITERATURA Y ÁREAS AFINES; COMUNICADORES SOCIALES, PRODUCCIÓN DE RADIO Y TELEVISIÓN Y ÁREAS AFINES; TÉCNICOS GRÁFICOS Y ÁREAS AFINES; PRESTACIÓN DE SERVICIOS DE PERSONAL CON NIVEL TÉCNICOS, TECNÓLOGOS, BACHILLERES PARA REALIZAR  ACTIVIDADES  PARA EL PROYECTO CONSTRUCCIÓN DE LOS INSTRUMENTOS DE PLANIFICACIÓN (PEMP Y POT) DE LA CIUDAD DE  CARTAGENA DE INDIAS</t>
  </si>
  <si>
    <t xml:space="preserve">SGP - Propósito General Libre Inversión </t>
  </si>
  <si>
    <t>2024130010205 ACTUALIZACION Y SEGUIMIENTO AL PLAN DE ORDENAMIENTO TERRITORIAL EN EL DISTRITO DE   CARTAGENA DE INDIAS</t>
  </si>
  <si>
    <t>2. Desarrollar la Etapa de Diagnóstico de un instrumento de planificación territorial (Actualización)</t>
  </si>
  <si>
    <t>DTS Diagnóstico</t>
  </si>
  <si>
    <t>3. Elaborar Documentos de Planeación preliminar de un instrumento de planificación territorial (Actualización)</t>
  </si>
  <si>
    <t>DTS Formulación</t>
  </si>
  <si>
    <t>La comunidad local podría mostrar resistencia al cambio debido a la falta de información o a percepciones negativas sobre los proyectos</t>
  </si>
  <si>
    <t>Contar con las mesas de participación comunitaria dentro de la construcción de los instrumentos</t>
  </si>
  <si>
    <t>4. Elaborar Documentos de Planeación Validado de un instrumento de planificación territorial (actualización)</t>
  </si>
  <si>
    <t xml:space="preserve">Proyecto de Acuerdo / Actos Administrativos </t>
  </si>
  <si>
    <t>Atrasos en el cronograma de acuerdo a lo propuesta en el Plan de Trabajo</t>
  </si>
  <si>
    <t>Reprogramar actividad de entrega del Documento de Planeación Preliminar</t>
  </si>
  <si>
    <t xml:space="preserve">5. Desarrollar la Divulgación de los Instrumentos de Planificación Territorial 
</t>
  </si>
  <si>
    <t>Estrategias y Metodologías de Participación Ciudadana, Divulgación y Publicaciones en Medios de Comunicación</t>
  </si>
  <si>
    <t>Reprogramar actividad de entrega del Documento de planeación</t>
  </si>
  <si>
    <t>6. Realizar la construcción documental y demás acciones necesarias derivadas del proceso de diagnóstico, formulación, concertación y consulta de la propuesta del POT, en desarrollo de la normatividad vigente</t>
  </si>
  <si>
    <t xml:space="preserve">Construcción Documental </t>
  </si>
  <si>
    <t>Falta de coordinación efectiva entre las diversas instituciones involucradas en la planificación y ejecución de proyectos puede llevar a una gestión ineficiente y a duplicidades o vacíos en la formulación de los instrumentos</t>
  </si>
  <si>
    <t>Establecer mecanismos de coordinación y comunicación entre instituciones, y definir responsabilidades claras.</t>
  </si>
  <si>
    <t>7. Actualizar la información disponible para la adopcion de instrumentos (estudios de cartografia, riesgos de remoción en masa y riesgos de inundación)</t>
  </si>
  <si>
    <t xml:space="preserve">Actualización y/o Incorporación de los EBR, Cartografía, Recepción de Determinantes de Ordenamiento Territorial </t>
  </si>
  <si>
    <t>El proyecto no cuenta con los suficientes recursos financieros.</t>
  </si>
  <si>
    <t>Incorporar recursos al proyecto</t>
  </si>
  <si>
    <t>ICLD - Recursos propios</t>
  </si>
  <si>
    <t xml:space="preserve">8. Realizar seguimiento adopcion del Plan de Ordenamiento Territorial (a partir de su aprobación) </t>
  </si>
  <si>
    <t>Seguimiento y Evaluación Nuevo POT</t>
  </si>
  <si>
    <t>Reprogramar actividad de entrega del Documento de seguimiento y evaluación</t>
  </si>
  <si>
    <t>FORMULACIÓN Y SEGUIMIENTO AL PLAN ESPECIAL DE MANEJO Y PROTECCIÓN DEL CENTRO HISTÓRICO Y SU ÁREA DE INFLUENCIA EN EL DISTRITO DE CARTAGENA DE INDIAS</t>
  </si>
  <si>
    <t>Proteger y salvaguardar los bienes de interés cultural del Centro de Histórico y su zona de influencia</t>
  </si>
  <si>
    <t>Formular y realizar seguimiento un instrumento de planificación territorial y gestión del patrimonio material e inmaterial distrital en el marco del Decreto 2358 de 2019</t>
  </si>
  <si>
    <t>1. Elaborar plan de trabajo para la gestión de un instrumento de planificación territorial</t>
  </si>
  <si>
    <t xml:space="preserve">Plan de Trabajo  </t>
  </si>
  <si>
    <t xml:space="preserve">Emilio Rafael Molina Barboza
</t>
  </si>
  <si>
    <t>N/A</t>
  </si>
  <si>
    <t>Recursos propios</t>
  </si>
  <si>
    <t>2024130010199 FORMULACION Y SEGUIMIENTO AL  PLAN ESPECIAL DE MANEJO Y PROTECCION DEL CENTRO HISTORICO Y SU AREA DE INFLUENCIA EN EL DISTRITO DE  CARTAGENA DE INDIAS</t>
  </si>
  <si>
    <t xml:space="preserve">2. Desarrollar la etapa de diagnóstico de un instrumento de planificación territorial (actualización) </t>
  </si>
  <si>
    <t>Documento actualizado V3</t>
  </si>
  <si>
    <t>2026-01</t>
  </si>
  <si>
    <t>2026-06</t>
  </si>
  <si>
    <t>1 y 2</t>
  </si>
  <si>
    <t>La falta de coordinación puede provocar una gestión poco eficaz del proyecto, ya que las instituciones no estarán alineadas en sus objetivos, procedimientos y tiempos. Esto puede resultar en la toma de decisiones desacertadas y en una ejecución desorganizada de las tareas.</t>
  </si>
  <si>
    <t xml:space="preserve">3. Diseñar e implementar las metodologías para el desarrollo de los procesos participativos . </t>
  </si>
  <si>
    <t xml:space="preserve">4. Elaborar documentos de planeación preliminar de un instrumento de planificación territorial . </t>
  </si>
  <si>
    <t>Documento diagnóstico -Formulación actualizada V2</t>
  </si>
  <si>
    <t xml:space="preserve">5. Realizar la construcción documental y demás acciones necesarias derivadas del proceso del diagnóstico y formulación de la propuesta de PEMP, en desarrollo de la normatividad vigente. </t>
  </si>
  <si>
    <t>Documento diagnóstico V3- Formulación V2 actualizada</t>
  </si>
  <si>
    <t>6. Elaborar Documentos de Planeación Validado de un instrumento de planificación territorial (actualización).</t>
  </si>
  <si>
    <t xml:space="preserve">Documento diagnóstico-Formulación validado y proyecto de resolución de adopación por el Ministerio </t>
  </si>
  <si>
    <t>2026-12</t>
  </si>
  <si>
    <t xml:space="preserve">7. Desarrollar la divulgación de los instrumentos de un instrumento de planificación. </t>
  </si>
  <si>
    <t>Documento síntesis</t>
  </si>
  <si>
    <t>8. Realizar seguimiento adopción del Plan Especial de Manejo y Protección del Centro Histórico y su área de influencia (a partir de su aprobación)</t>
  </si>
  <si>
    <t>Informes de seguimiento</t>
  </si>
  <si>
    <t>Si el instrumento propuesto no es adoptado a tiempo, el proyecto puede experimentar significativos retrasos. Esto puede afectar el cronograma general y posponer la obtención de resultados esperados.</t>
  </si>
  <si>
    <t>Establecer canales de comunicación claros y transparentes para mantener informadas a todas las partes interesadas sobre el progreso, cambios y decisiones relacionadas con el instrumento.</t>
  </si>
  <si>
    <t>9. Elaborar documento "Cartilla de Tipologías arquitectonicas del centro histórico"</t>
  </si>
  <si>
    <t>Documento</t>
  </si>
  <si>
    <t>Formular y adoptar Actuaciones Urbanas Integrales (AUI) para las Unidades de Actuación</t>
  </si>
  <si>
    <t>Formular y adoptar Actuaciones Urbanas Integrales (AUI) para las Unidades de Actuación Cerro de la Popa, con el fin de intervenir de manera planificada, articulada y sostenible</t>
  </si>
  <si>
    <t xml:space="preserve">Formular Actuaciones urbanas integrales (AUI) para la gestión territorial del Distrito de Cartagena </t>
  </si>
  <si>
    <t>1. Elaborar plan de trabajo para la gestión de los instrumentos de planificación territorial</t>
  </si>
  <si>
    <t>Plan de trabajo (cronograma de actividades)</t>
  </si>
  <si>
    <t>2026-02</t>
  </si>
  <si>
    <t>población general</t>
  </si>
  <si>
    <t>1, 15, 11</t>
  </si>
  <si>
    <t>SI</t>
  </si>
  <si>
    <t xml:space="preserve">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BIÓLOGOS MARINOS, OCEANÓGRAFOS, HIDRÓLOGOS Y AFINES; GEÓGRAFOS, CARTÓGRAFOS, GEÓLOGOS O DE ÁREAS AFINES; ÁREAS DE LA SOCIOLOGÍA, SICOLOGÍA, TRABAJO SOCIAL, CIENCIAS SOCIALES, PROMOTORES DE DESARROLLO COMUNITARIO Y ÁREAS AFINES; POLITÓLOGOS, CIENCIAS POLÍTICAS, ANTROLPÓLOGOS Y ÁREAS AFINES; DISEÑO GRÁFICO Y ÁREAS AFINES; LINIGUÍSTICA Y LITERATURA Y ÁREAS AFINES; COMUNICADORES SOCIALES, PRODUCCIÓN DE RADIO Y TELEVISIÓN Y ÁREAS AFINES; TÉCNICOS GRÁFICOS Y ÁREAS AFINES; PRESTACIÓN DE SERVICIOS DE PERSONAL CON NIVEL TÉCNICOS, TECNÓLOGOS, BACHILLERES </t>
  </si>
  <si>
    <t>Contratación directa</t>
  </si>
  <si>
    <t>Recursos Propios</t>
  </si>
  <si>
    <t>1.2.1.0.00-001 - ICLD</t>
  </si>
  <si>
    <t>2.3.4002.1400.202500000042303</t>
  </si>
  <si>
    <t>2. Realizar la etapa de diagnóstico de los instrumentos de planificación territorial</t>
  </si>
  <si>
    <t xml:space="preserve">Documento técnico de soporte (DTS) </t>
  </si>
  <si>
    <t>3. Elaborar documentos de planeación preliminar de los instrumentos de planificación territorial</t>
  </si>
  <si>
    <t>Documentos preliminares (DP)</t>
  </si>
  <si>
    <t>4. Elaborar documentos de planeación validado de los instrumentos de planificación territorial</t>
  </si>
  <si>
    <t>Documentos validados (DV)</t>
  </si>
  <si>
    <t>5. Realizar la divulgación de los instrumentos de planificación territorial</t>
  </si>
  <si>
    <t>Plan de divulgación ejecutado (PDE)</t>
  </si>
  <si>
    <t>FORMULACIÓN DE INSTRUMENTOS DE PLANIFICACIÓN TERRITORIAL INTERMEDIA EN EL DISTRITO DE CARTAGENA</t>
  </si>
  <si>
    <t>Generar las condiciones para el desarrollo económico, social, ambiental y de ordenamiento territorial en el Distrito de Cartagena de Indias</t>
  </si>
  <si>
    <t>Formular e implementar Instrumentos de Planificación
Territorial que regulen el crecimiento urbano</t>
  </si>
  <si>
    <t>Plan de Trabajo</t>
  </si>
  <si>
    <t>SGP LIBRE INVERSION- ICLD</t>
  </si>
  <si>
    <t>2024130010214
FORMULACIÓN DE INSTRUMENTOS DE PLANIFICACIÓN TERRITORIAL INTERMEDIA EN EL DISTRITO DE CARTAGENA</t>
  </si>
  <si>
    <t>Diagnostico</t>
  </si>
  <si>
    <t>Documentos preliminares</t>
  </si>
  <si>
    <t>Documento Validado</t>
  </si>
  <si>
    <t>Reformular, adoptar y dar seguimiento a un (0,30) Plan Parcial de Renovación Urbana de Bazurto</t>
  </si>
  <si>
    <t>SGP-ICLD</t>
  </si>
  <si>
    <t>Tramitar otras Actuaciones urbanísticas</t>
  </si>
  <si>
    <t>SGP LIBRE INVERSION</t>
  </si>
  <si>
    <t>Apoyar en la consolidación del expediente Distrital</t>
  </si>
  <si>
    <t>2024130010214-</t>
  </si>
  <si>
    <t xml:space="preserve">Diseñar lineamientos técnicos y pedagógicos para garantizar el derecho a la ciudad de niñas y mujeres en el entorno urbano </t>
  </si>
  <si>
    <t>Documento de lineamiento</t>
  </si>
  <si>
    <t xml:space="preserve">Formulación del Plan Estratégico Prospectivo 2050 para el Distrito de  Cartagena de Indias </t>
  </si>
  <si>
    <t>Contribuir al desarrollo de proyecto de transformación urbana con visión global en Cartagena</t>
  </si>
  <si>
    <t>Formular instrumentos de planeación estratégica y prospectiva de Cartagena</t>
  </si>
  <si>
    <t>Documentos de planeación</t>
  </si>
  <si>
    <t>DIAGNOSTICO</t>
  </si>
  <si>
    <t>Documento de recopilación de Información y Datos Base</t>
  </si>
  <si>
    <t xml:space="preserve">202400000005234 Formulación del Plan Estratégico Prospectivo 2050 para el Distrito de  Cartagena de Indias </t>
  </si>
  <si>
    <t>DIVULGACIÓN</t>
  </si>
  <si>
    <t xml:space="preserve">Estrategia de divulgación </t>
  </si>
  <si>
    <t>Documento de Consultas y Talleres Participativos</t>
  </si>
  <si>
    <t>Desarrollo de Modelos Prospectivos</t>
  </si>
  <si>
    <t>PLAN DE TRABAJO: Elaboración del Informe Final</t>
  </si>
  <si>
    <t xml:space="preserve">202400000003799
</t>
  </si>
  <si>
    <t>Aumentar la disponibilidad de barrios con procesos de legalización_x000D_urbanística en el Distrito Turístico y Cultural de Cartagena de Indias.</t>
  </si>
  <si>
    <t>Implementar estrategias que promuevan la legalización urbanística de asentamientos irregulares en el Distrito de Cartagena de acuerdo con la normatividad vigente.</t>
  </si>
  <si>
    <t xml:space="preserve">Documentos de política </t>
  </si>
  <si>
    <t xml:space="preserve">Documento de politica final	</t>
  </si>
  <si>
    <t>Documento de Politica Publica formulada</t>
  </si>
  <si>
    <t>2026-07</t>
  </si>
  <si>
    <t>Giovanni Battista Mainero 
Director de Control Urbano</t>
  </si>
  <si>
    <t>Los actores involucrados en la_x000D_formulación de políticas públicas_x000D_pueden tener intereses_x000D_específicos y visiones diferentes_x000D_de la realidad</t>
  </si>
  <si>
    <t>Planificación contractual: Selección_x000D_objetiva del contratista, estudios de_x000D_mercado, buena practica de caracterizacion de la poblacion afectad</t>
  </si>
  <si>
    <t xml:space="preserve">202400000003799 - RECUPERACIÓN DE LA GOBERNANZA URBANISTICA EN EL DISTRITO DE CARTAGENA DE INDIAS
	</t>
  </si>
  <si>
    <t>Plan de trabajo</t>
  </si>
  <si>
    <t xml:space="preserve">Documento de planeación validado	</t>
  </si>
  <si>
    <t>Documento de Curadurías elaborados</t>
  </si>
  <si>
    <t>Estudios de preinversión</t>
  </si>
  <si>
    <t>2. REALIZAR ESTUDIO PARA DAR VIABILIDAD A NUEVAS CURADURIAS URBANAS</t>
  </si>
  <si>
    <t>Informes tecnicos y jurídicos</t>
  </si>
  <si>
    <t xml:space="preserve">3. REALIZAR LA ESTRUCTURACION DE LOS PROCESOS CONTRACTUALES Y TECNICOS EN EL MARCO DEL PROYECTO </t>
  </si>
  <si>
    <t>1. REALIZAR ACTIVIDADES DE APOYO A LA GESTION Y EN CAMPO PARA LA REDUCCION, INTERVENCION Y CONTROL DE INVASIONES ILEGALES EN CARTAGENA</t>
  </si>
  <si>
    <t>Informes de Operativos-recorridos-visitas realizados</t>
  </si>
  <si>
    <t>Certificar dos mil ochocientos (768) defensores urbanos barriales en normas urbanísticas</t>
  </si>
  <si>
    <t>FORTALECIMIENTO DEL PLAN DE NORMALIZACION URBANISTICA EN EL DISTRITO DE CARTAGENA DE INDIAS</t>
  </si>
  <si>
    <t>Fortalecer el ejercicio del control urbano fortaleciendo el plan de normalización urbanística en el Distrito de Cartagena de Indias</t>
  </si>
  <si>
    <t>Ampliar los conocimientos de la normatividad urbanística vigente</t>
  </si>
  <si>
    <t>Servicio de educación formal</t>
  </si>
  <si>
    <t>Realizar los procesos contractuales y /o interadministrativo para la capacitacion a defensores urbanos barriales en normas urbanísticas vigentes</t>
  </si>
  <si>
    <t>Procesos contractuales realizados</t>
  </si>
  <si>
    <t>Problemas de coordinación entre diferentes departamentos y entidades involucradas.</t>
  </si>
  <si>
    <t>Establecer un comité de coordinación interdepartamental. Implementar reuniones regulares y sistemas de comunicación claros para asegurar una colaboración eficaz.</t>
  </si>
  <si>
    <t>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CARTÓGRAFOS Y DE ÁREAS AFINES; ÁREAS DE LAS CIENCIAS SOCIALES, PROMOTORES DE DESARROLLO COMUNITARIO Y ÁREAS AFINES; COMUNICADORES SOCIALES Y ÁREAS AFINES; TÉCNICOS GRÁFICOS Y ÁREAS AFINES; PRESTACIÓN DE SERVICIOS DE PERSONAL CON NIVEL TÉCNICOS, TECNÓLOGOS, BACHILLERES PARA REALIZAR  ACTIVIDADES DEL PROYECTO DE NORMALIZACIÓN URBANÍSTICA DE CARTAGENA DE INDIAS</t>
  </si>
  <si>
    <t>2021130010271 FORTALECIMIENTO DEL PLAN DE NORMALIZACION URBANISTICA,  EN EL DISTRITO DE  CARTAGENA DE INDIAS</t>
  </si>
  <si>
    <t>Apoyar en la formación de los defensores urbanos barriales</t>
  </si>
  <si>
    <t>Certificaciones de asistencias de las capacitaciones en Defensores Urbanos</t>
  </si>
  <si>
    <t xml:space="preserve">POBLACION GENERAL </t>
  </si>
  <si>
    <t>TODOS</t>
  </si>
  <si>
    <t>Contratación de servicios de transporte terrestre especial con conductor para el desplazamiento de los funcionarios de la secretaria de planeación, en desarrollo del proyecto de inversión normalización urbanística de cartagena de indias</t>
  </si>
  <si>
    <t>Especializar 6 sedes de inspecciones de policias en temas urbanisticos</t>
  </si>
  <si>
    <t>Servicio de asistencia técnica</t>
  </si>
  <si>
    <t>REALIZAR DIPLOMADOS, CONFERENCIAS, CHARLAS, TALLERES Y DEMAS ACTIVIDADES DE FORMACION EN NORMAS URBANISTICAS VIGENTES, INCLUYENDO LA LOGISTICA DEL MISMO (TRANSPORTE AEREO, TERRESTRE O ACUATICO, HOSPEDAJE, ALIMENTACION, REFRIGERIOS, DOTACION, ENTRE OTROS), A LAS 6 INSPECCIONES DE POLICÍA
ESPECIALIZADAS DEL DISTRITO DE CARTAGENA"</t>
  </si>
  <si>
    <t>Proceso de contratación de logística para capacitar inspectocciones de polícias</t>
  </si>
  <si>
    <t>Aumentar las acciones de monitoreo, control y vigilancia por parte de Administración Distrital de las licencias urbanísticas entregadas, asi como de las obras en ejecución en el Distrito de Cartagena de Indias.</t>
  </si>
  <si>
    <t>Documentos normativos</t>
  </si>
  <si>
    <t xml:space="preserve">4. Operacionalizar el CUERPO ÉLITE con fin de realizar vigilancia al cumplimiento de la normatividad urbanística de la ciudad. (Creación de una alianza para efectuar vigilancia y asesoría referente al control urbano, contratar transporte y materiales requeridos)
</t>
  </si>
  <si>
    <t>Informes técnicos de cuerpo elite</t>
  </si>
  <si>
    <t>5. Realizar Control al uso de la publicidad exterior visual con miras a conservar la integridad del espacio público y el derecho ciudadano a un ambiente sano y libre de contaminación visual. (PUBLICIDAD EXTERIOR VISUAL)</t>
  </si>
  <si>
    <t xml:space="preserve">Informes técnicos de liquidaciones, registros y recorridos, Liquidacioes y Registos </t>
  </si>
  <si>
    <t>1. Ejercer vigilancia y control de las personas naturales o jurídicas dedicadas a la enajenación de inmuebles y radicación de documentos. (INSPECCIÓN, CONTROL Y VIGILANCIA DE ENAJENADORES DE VIVIENDA)</t>
  </si>
  <si>
    <t>Informes técnicos, autos, resoluciones , y amc de aprovaciones de radicaciones y registros de ivc</t>
  </si>
  <si>
    <t>8.Verificar y revisar las actuaciones y licencias urbanísticas que expiden los curadores urbanos y reforzar el papel de la Comisión de Veeduría, a efectos de robustecer el control urbano y las actuaciones institucionales en materia de ordenamiento territorial. (VEEDURIA CURADURIA)</t>
  </si>
  <si>
    <t>Informes técnicos</t>
  </si>
  <si>
    <t>3. Gestionar la recepción de las zonas de cesión (RECEPCIÓN DE ÁREAS DE CESIÓN)</t>
  </si>
  <si>
    <t>Informes técnicos, resoluciones y amc oficios</t>
  </si>
  <si>
    <t>2. Fortalecimiento de un punto de atención al ciudadano donde se orientará a los interesados sobre los diversos procedimientos que en materia urbanística se desarrollan o pueden desarrollarse en el Distrito de Cartagena (PUNTO UNIFICADO DE INFORMACIÓN)</t>
  </si>
  <si>
    <t>Listado de Asistencia 
(Reporte del número de ciudadanos atendidos en punto unificado - página web y what´s app a final de año)</t>
  </si>
  <si>
    <t>Insuficiencia de fondos para completar el proyecto.</t>
  </si>
  <si>
    <t>Implementar un control financiero riguroso para gestionar el presupuesto asignado.</t>
  </si>
  <si>
    <t>7. Realizar seguimiento e impulsar los procesos administrativos sancionatorios y la vigilancia y control de las obras de forma constante (PROCESOS SANCIONATORIOS)</t>
  </si>
  <si>
    <t>Autos, resoluciones y amc ofciios, informes tecnios</t>
  </si>
  <si>
    <t>6. Realizar el pago a los agentes especiales y/o liquidadores para las personas naturales y jurídicas que ejercen la actividad de enajenación de inmuebles destinados a vivienda y que son objeto de la medida de intervención o toma de posesión de sus bienes y haberes; y coordinar la logistica como es publicidad e impresiones</t>
  </si>
  <si>
    <t>Fallas en las tecnologías implementadas (SIGOB, softwares como AutoCAD, etc.).</t>
  </si>
  <si>
    <t>Realizar o solicitar mantenimiento y soporte técnico con los proveedores de tecnología e informática.</t>
  </si>
  <si>
    <t>9. Verficar y revisar proyectos arquitectonicos para ejecutar obras de intervención ajustadas al POT y a los instrumentos de gestión de Patrimonio para Bienes de Interes Cultural en el marco del decreto  0404 DE 2024</t>
  </si>
  <si>
    <t>Informes técnicos, Autos, resoluciones y amc oficios</t>
  </si>
  <si>
    <t>10. Inscribir y certificar la existencia y representación legal de las personas jurídicas de propiedad horizontal, de conformidad con lo dispuesto en la Ley 675 de 2021</t>
  </si>
  <si>
    <t>Certificados de Propiedad Horizontal, resoluciones, autos y AMC oficios</t>
  </si>
  <si>
    <t>12.4.1</t>
  </si>
  <si>
    <t>Fortalecer la planeación de la gestión del cambio climático en el distrito de Cartagena de Indias
Indicadores para medir el objetivo general
Indicador</t>
  </si>
  <si>
    <t>Formular un Plan Integral de Gestión de Cambio Climático Territorial (PIGCCT) como instrumento de planificación para la gestión del cambio climático en el distrito de Cartagena de Indias.</t>
  </si>
  <si>
    <t>Diagnóstico  (Analizar la situación actual y futura )</t>
  </si>
  <si>
    <t>1.1  Documento fase:  Alistamiento (Diagnóstico )
1.2 Documento fase: Perfil territorial (Diagnóstico )</t>
  </si>
  <si>
    <t>TODAS</t>
  </si>
  <si>
    <t>Bertha Cecilia Pérez Ortiz</t>
  </si>
  <si>
    <t>Retrasos en su ejecución debido a problemas logísticos, administrativos o técnicos.</t>
  </si>
  <si>
    <t xml:space="preserve">Establecer un sistema de seguimiento y control riguroso de los cronogramas. </t>
  </si>
  <si>
    <t>Prestación de servicios profesionales para realizar las actividades del proyecto de inversión formulación del plan integral de gestión del cambio climático de Cartagena de Indias / Contratar operador logístico para adelantar las acciones enmarcadas dentro del proyecto de inversión formulación del plan integral de gestión del cambio climático de Cartagena de Indias / Orden de compra de papelería para adelantar las acciones enmarcadas dentro del proyecto de inversión</t>
  </si>
  <si>
    <t>1.2.4.3.03-070 - SGP LIBRE INVERSION</t>
  </si>
  <si>
    <t>2.3.3206.0900.202500000041269
ACTUALIZACIÓN E IMPLEMENTACIÓN DEL PLAN 4C: CARTAGENA COMPETITIVA Y COMPATIBLE CON EL CLIMA</t>
  </si>
  <si>
    <t>Documento de planeación preliminar ( Elaborar documento estratégico )</t>
  </si>
  <si>
    <t>2. Documento fase:  Análisis estratégico  (Documento de planeación preliminar)</t>
  </si>
  <si>
    <t>La comunidad local podría mostrar resistencia a involucrarse en las estrategias de participación debido a la falta de información o a percepciones negativas sobre la institucionalidad.</t>
  </si>
  <si>
    <t xml:space="preserve">Realizar acercamiento de socialización y sensibilización previos a implementar las estrategias de participación. </t>
  </si>
  <si>
    <t>Documento de planeación  validado 
(Elaborar el documento de plan de acción )</t>
  </si>
  <si>
    <t>3.1  Documento fase:  Elaborar plan de acción
3.2 Documento fase:  Documento de monitoreo seguimiento y evaluación</t>
  </si>
  <si>
    <t>Atraso debido a las condiciones meteorológicas impredecibles que puedan causar retrasos logísticos para la implementación de las estrategias de participación.</t>
  </si>
  <si>
    <t xml:space="preserve">Implementar un plan de contingencia que incluya una reprogramación de actividades de participación. </t>
  </si>
  <si>
    <t>Divulgación  (Documento fase:  Implementación )</t>
  </si>
  <si>
    <t>4. Documento fase:  Implementación (Divulgación)</t>
  </si>
  <si>
    <t>Formular y hacer seguimiento al plan parcial de Chambacu, Torices, La unión en Cartagena de Indias</t>
  </si>
  <si>
    <t>Elaborar plan de trabajo para la gestión de un instrumento de planificación territorial</t>
  </si>
  <si>
    <t xml:space="preserve">Claudia Velasquez
</t>
  </si>
  <si>
    <t>Los proyectos pueden enfrentar retrasos en su ejecución debido a problemas logísticos, administrativos o técnicos.</t>
  </si>
  <si>
    <t>Establecer un sistema de seguimiento y control riguroso de los cronogramas; definir claramente las responsabilidades.</t>
  </si>
  <si>
    <t>Si</t>
  </si>
  <si>
    <t>CONTRATAR LA PRESTACIÓN DE SERVICIOS PROFESIONALES EN ÁREAS ADMINISTRATIVAS, ECONÓMICAS, FINANCIERAS, CONTABLES O AFINES; ABOGADOS, O ÁREAS AFINES;  INGENIEROS CIVILES, AMBIENTALES, SANITARIOS, ÁREAS DE LAS INGENIERÍAS Y AFINES; ARQUITECTOS, PROFESIONALES EN DESARROLLO URBANO Y AFINES; BIÓLOGOS MARINOS, OCEANÓGRAFOS, HIDRÓLOGOS Y AFINES; TRABAJO SOCIAL, C ÁREAS AFINES; POLITÓLOGOS, CIENCIAS POLÍTICAS,  Y ÁREAS AFINES; PRESTACIÓN DE SERVICIOS DE PERSONAL CON NIVEL TÉCNICOS, TECNÓLOGOS, BACHILLERES PARA REALIZAR  ACTIVIDADES  PARA EL PROYECTO DE ASISTENCIA TÉCNICA AL PROYECTO DE ELABORACIÓN DE ESTUDIOS Y DISEÑOS AJUSTADOS DE LA VÍA PERIMETRAL EN EL MARCO DEL PROGRAMA ORDENACIÓN TERRITORIAL Y RECUPERACIÓN SOCIAL AMBIENTAL Y URBANA DE LA CIÉNAGA DE LA VIRGEN EN EL DISTRITO DE CARTAGENA DE INDIAS</t>
  </si>
  <si>
    <t>2024130010224 FORMULACION  Y SEGUIMIENTO DE INSTRUMENTOS DE PLANIFICACION TERRITORIAL PARA LA ZONA CHAMBACU, TORICES Y LA UNION EN EL DISTRITO DE  CARTAGENA DE INDIAS</t>
  </si>
  <si>
    <t>Desarrollar la etapa de diagnostico de un instrumento de planificación territorial (Actualización- Estudios detallados)</t>
  </si>
  <si>
    <t>Diagnostico actualizado e informe de estudios tecnicos</t>
  </si>
  <si>
    <t>Elaborar documentos de planeación preliminar de un instrumento de planificación territorial (Actualización)</t>
  </si>
  <si>
    <t>Documento preliminar del plan parcial actualizado y ajustada</t>
  </si>
  <si>
    <t>Elaborar documentos de planeación validado de un instrumento de planificación territorial (actualización)</t>
  </si>
  <si>
    <t>Documento final de planeación validado. Se envia para aprobación.</t>
  </si>
  <si>
    <t>Desarrollar la divulgación de los instrumentos de un instrumento de planificación territorial</t>
  </si>
  <si>
    <t>Entregable una publicación de divulgación. Divulgación de los documentos del plan de ordenamiento territorial adoptado, a través de los medios establecidos</t>
  </si>
  <si>
    <t>Realizar Seguimiento</t>
  </si>
  <si>
    <t>Seguimiento y ajustes</t>
  </si>
  <si>
    <t>FORMULACIÓN DE INSTRUMENTOS PARA LA RESTAURACIÓN INTEGRAL DE LA CIÉNAGA DE LA VIRGEN</t>
  </si>
  <si>
    <t>Contribuir a la restauración ecológica y a la cohesión social en el área de influencia de la
Ciénaga de la Virgen.</t>
  </si>
  <si>
    <t>Formular instrumentos de planificación territorial intermedia que fomenten el ordenamiento alrededor del agua</t>
  </si>
  <si>
    <t>1. Elaborar un plan de trabajo para la formulación de procesos de planificación territorial intermedia que fomenten el ordenamiento alrededor del agua</t>
  </si>
  <si>
    <t>4, 5, 6</t>
  </si>
  <si>
    <t>2024130010221 FORMULACION DE INSTRUMENTOS PARA LA RESTAURACION INTEGRAL DE LA CIENAGA DE LA VIRGEN   CARTAGENA DE INDIAS</t>
  </si>
  <si>
    <t>2. Desarrollar la etapa de diagnóstico o la actualización de los procesos adelantados hasta la fecha</t>
  </si>
  <si>
    <t>Diagnóstico formulado</t>
  </si>
  <si>
    <t>3. Analizar y seleccionar las alternativas y las propuestas para la suscripción de contratos para la formulación de procesos de planificación territorial intermedia</t>
  </si>
  <si>
    <t>Alternativa seleccionada</t>
  </si>
  <si>
    <t>4. Realizar el seguimiento y brindar el apoyo técnico a los contratos suscritos en el marco de la formulación de procesos de planificación territorial intermedia</t>
  </si>
  <si>
    <t>Propuesta de contrato seleccionada</t>
  </si>
  <si>
    <t>Documento de diagnóstico</t>
  </si>
  <si>
    <t>Formular un (1) Plan de Mejoramiento Integral de La Boquilla</t>
  </si>
  <si>
    <t>Población de La Boquilla</t>
  </si>
  <si>
    <t>Centro Poblado de La Boquilla</t>
  </si>
  <si>
    <t xml:space="preserve">Generar instrumentos de gestión del territorio costero en los Centros Poblados de Bocachica, Caño del Oro, Punta Arena, Tierra Bomba, Barú, Isla Grande, Santa Cruz del Islote, e Isla Fuerte, en el Distrito de Cartagena de Indias. </t>
  </si>
  <si>
    <t xml:space="preserve">Formular acciones orientadas a la mejora de las condiciones de vida en el territorio costero en Cartagena de Indias. </t>
  </si>
  <si>
    <t>CAMBIO CLIMATICO</t>
  </si>
  <si>
    <t>Definir el cronograma de entrega del documento /Definir el alcance del documento (Plan de trabajo)</t>
  </si>
  <si>
    <t>Acuerdo No. 006 de 2003
las UCG de Tierra Bomba, la Caño del Oro, la de Bocachica, la de Barú, la de Islas del Rosario, la de Isla Fuerte y la UGC del Archipiélago de San Bernardo.</t>
  </si>
  <si>
    <t>Claudia Velasquez</t>
  </si>
  <si>
    <t>Los proyectos pueden enfrentar retrasos en su ejecución debido a problemas logísticos, administrativos o técnicos. (Operacionales)
La comunidad local podría mostrar resistencia debido a la falta de información o a percepciones negativas sobre los proyectos. (Administrativo)
Atraso debido a las condiciones meteorológicas impredecibles que puedan causar un estado de emergencia por inundaciones. (Asociados a fenómenos de origen natural)</t>
  </si>
  <si>
    <t>Establecer un sistema de seguimiento y control riguroso de los cronogramas. (Operacionales)
Implementar un plan de contingencia que incluya procedimientos específicos para la gestión de emergencias climáticas, la identificación de áreas de alto riesgo de inundación, y la programación flexible de actividades. (Asociados a fenómenos de origen natural)
Contar con las mesas de participación comunitaria dentro de la construcción de los instrumentos. (Administrativo)</t>
  </si>
  <si>
    <t>Prestación de servicios profesionales para realizar las actividades del proyecto de inversión formulación de instrumentos de gestión del territorio costero para su mejoramiento integral en Cartagena de Indias</t>
  </si>
  <si>
    <t>SGP LIBRE INVERSIÓN</t>
  </si>
  <si>
    <t>202500000042535
FORMULACIÓN DE INSTRUMENTOS DE GESTIÓN DEL TERRITORIO COSTERO PARA SU MEJORAMIENTO INTEGRAL EN CARTAGENA DE INDIAS</t>
  </si>
  <si>
    <t>Diagnóstico</t>
  </si>
  <si>
    <t>Analizar la situación actual y futura /Realizar mesas de trabajo con los actores involucrados (Diagnóstico)</t>
  </si>
  <si>
    <t>Documento de planeación preliminar</t>
  </si>
  <si>
    <t>Elaborar documento estratégico / Elaborar el documento de plan de acción (Documento de planeación preliminar)</t>
  </si>
  <si>
    <t>Consolidar el documento final / Realizar consultas del documento de planeación a los grupos de interés (Documento de planeación validado)</t>
  </si>
  <si>
    <t>Publicar el documento / Socializar el documento con los actores involucrados (Divulgación)</t>
  </si>
  <si>
    <t>CONSOLIDACIÓN Y PROMOCIÓN DE LOS ESQUEMAS ASOCIATIVOS TERRITORIALES</t>
  </si>
  <si>
    <t>PROMOVER LA INTEGRACIÓN A NIVEL METROPOLITANO Y REGIONAL EN
EL DISTRITO DE CARTAGENA DE INDIAS.</t>
  </si>
  <si>
    <t>Realizar estudio de cluster para la competitividad regional</t>
  </si>
  <si>
    <t>Estudios de pre inversión e inversión</t>
  </si>
  <si>
    <t>1. Elaborar documento de planeación para la creación de clúster</t>
  </si>
  <si>
    <t>Documento de Plan de Trabajo</t>
  </si>
  <si>
    <t>Asinergia entre equipo técnico de profesionales especializados y la coordinación / supervisión del proyecto</t>
  </si>
  <si>
    <t>Establecer un sistema de seguimiento y control riguroso de los cronogramas.</t>
  </si>
  <si>
    <t>2024130010204
PROMOVER LA INTEGRACIÓN A NIVEL METROPOLITANO Y REGIONAL EN
EL DISTRITO DE CARTAGENA DE INDIAS.</t>
  </si>
  <si>
    <t>Diseñar iniciativas de Esquemas Asociativos Territoriales de integración regional para la
competitividad.</t>
  </si>
  <si>
    <t>1. Elaborar plan de trabajo para la gestión de creación de esquemas asociativos</t>
  </si>
  <si>
    <t>IMPLEMENTACIÓN DEL CENTRO DE INVESTIGACIÓN PARA LA PLANEACIÓN SOCIOECONÓMICA Y TERRITORIAL</t>
  </si>
  <si>
    <t>Fortalecer la capacidad de investigación y análisis robusto del Distrito, orientado de manera efectiva el diseño de programas y proyectos, la asignación de inversión pública, el gasto social, y el desarrollo del territorio.</t>
  </si>
  <si>
    <t>Fortalecer desarrollo y experiencia científica en apropiación social del conocimiento</t>
  </si>
  <si>
    <t xml:space="preserve">Documentos de estudios técnicos </t>
  </si>
  <si>
    <t xml:space="preserve">1. Elaborar documentos con la consolidación de la información recopilada
</t>
  </si>
  <si>
    <t>Documentos de estudios técnicos 
(Generación de nuevo conocimiento 6 - Documentos POT y Artículos y Plataforma CET)</t>
  </si>
  <si>
    <t>Falta de colaboración interinstitucional: dificultades para establecer y mantener colaboraciones para la adquisición de datos estructurados por parte de las dependencias de la alcaldía.</t>
  </si>
  <si>
    <t>Fomentar alianzas estratégicas y establecer acuerdos de colaboración claros para el intercambio de datos entre las dependencias del distrito de Cartagena.</t>
  </si>
  <si>
    <t>CONTRATO DE PRESTACIÓN DE SERVICIOS</t>
  </si>
  <si>
    <t>2024130010186 IMPLEMENTACION  DEL CENTRO DE INVESTIGACION PARA LA PLANEACION SOCIOECONOMICA Y TERRITORIAL   CARTAGENA DE INDIAS</t>
  </si>
  <si>
    <t>2. Documentar las variables de análisis del estudio técnico</t>
  </si>
  <si>
    <t>ORDEN DE COMPRA</t>
  </si>
  <si>
    <t>1. Elaborar documentos con la consolidación de la información recopilada</t>
  </si>
  <si>
    <t>Documentos de investigación
(Anuario Estadístico 1)</t>
  </si>
  <si>
    <t>1. Socializar el documento con los actores involucrados</t>
  </si>
  <si>
    <t>Documentos de investigación
(Boletín CET 3)</t>
  </si>
  <si>
    <t>Aumentar información documentada en estudios socioeconómica, focalización y multipropósito territorial</t>
  </si>
  <si>
    <t>Documentos de investigación</t>
  </si>
  <si>
    <t>Socialización de los resultados de los procesos investigativos
(Desarrollar diez (10) actividades científicas de apropiación social del conocimiento)</t>
  </si>
  <si>
    <t>Documentos de investigación
(Socialización de documentos POT 3)</t>
  </si>
  <si>
    <t xml:space="preserve">Servicios de Investigación, Desarrollo e Innovación geoespacial
</t>
  </si>
  <si>
    <t>1. Desarrollar una encuesta multipropósito en el Distrito de Cartagena</t>
  </si>
  <si>
    <t>Servicios de investigación, desarrollo e innovación geoespacial</t>
  </si>
  <si>
    <t>Costo y Recursos: el costo de implementar una encuesta multipropósito puede ser elevado y los recursos disponibles pueden ser limitados.</t>
  </si>
  <si>
    <t>Buscar financiamiento adicional a través de alianzas con organizaciones gubernamentales, Universidades, ONG y el sector privado. Optimizar el uso de recursos y considerar métodos de recolección de datos más económicos, como encuestas en línea o telefónicas cuando sea posible.</t>
  </si>
  <si>
    <t>IMPLEMENTACIÓN DEL SISTEMA DE INFORMACIÓN GEOGRÁFICA, ESTADÍSTICO Y SOCIAL CON INFRAESTRUCTURA DE DATOS ESPACIALES PARA LA TOMA DE DECISIONES EN EL DISTRITO DE CARTAGENA DE INDIAS</t>
  </si>
  <si>
    <t>Fortalecer la cobertura, profundidad e infraestructura del Sistema de
Información Geográfico y Estadístico y Social del Distrito de Cartagena de indias.</t>
  </si>
  <si>
    <t>Actualizar y ampliar la cobertura de las fuentes de información, con el fin de mantener en niveles óptimos las bases de datos del sistema de información.</t>
  </si>
  <si>
    <t>Servicio de información
geográfica, geodésica y
cartográfica actualizado</t>
  </si>
  <si>
    <t xml:space="preserve">1. Definir la necesidad estadística </t>
  </si>
  <si>
    <t>Documento Técnico</t>
  </si>
  <si>
    <t>2026-4</t>
  </si>
  <si>
    <t>Clarena García Montes</t>
  </si>
  <si>
    <t>Posibilidad de que no se adquieran los permisos, certificados, actualizaciones, mantenimientos necesarios para el correcto funcionamiento de la plataforma.</t>
  </si>
  <si>
    <t>El coordinador de área hará los ajustes y controles necesarios en el plan anual de adquisiciones, tomará las acciones en los procesos de presupuesto y adquisición</t>
  </si>
  <si>
    <t>contratacion directa</t>
  </si>
  <si>
    <t>2026-2</t>
  </si>
  <si>
    <t>Ingresos corrientes de Libre Destinación</t>
  </si>
  <si>
    <t>2024130010159 IMPLEMENTACION DEL SISTEMA DE INFORMACION GEOGRAFICA, ESTADISTICO Y SOCIAL CON INFRAESTRUCTURA DE DATOS ESPACIALES, PARA LA TOMA DE DECISIONES EN EL DISTRITO DE   CARTAGENA DE INDIAS</t>
  </si>
  <si>
    <t>2. Recopilación, procesamiento, y análisis de información</t>
  </si>
  <si>
    <t>Documento  de recopilación, procesamiento, y análisis de información</t>
  </si>
  <si>
    <t xml:space="preserve">3. Generación de reportes, estadísticas, mapas, </t>
  </si>
  <si>
    <t xml:space="preserve">Documentos de reportes, estadísticas, mapas, </t>
  </si>
  <si>
    <t>4. Mantener actualizado el mapa interactivo digital de asuntos del suelo MIDAS</t>
  </si>
  <si>
    <t>Contrato de mantenimiento</t>
  </si>
  <si>
    <t>El coordinador del área solicitará los reportes de validación de la prueba piloto, los reportes del funcionamiento técnico, tecnológico, administrativo y operativo del sistema, con el fin de que se cumplan los protocolos que permitan el correcto funcionamiento de la plataforma.</t>
  </si>
  <si>
    <t>5, Asignación y/o certificación de nomenclatura</t>
  </si>
  <si>
    <t>Reporte de certificaciones</t>
  </si>
  <si>
    <t>6, Operaciones estadísticas</t>
  </si>
  <si>
    <t xml:space="preserve"> $ -   </t>
  </si>
  <si>
    <t>Implementar una plataforma web con visualización de datos estadísticos y espaciales de Cartagena de indias a modo de mapas y Dashboard interactivos para la visualización y descarga de información.</t>
  </si>
  <si>
    <t>Información Geo espacial Actualizada</t>
  </si>
  <si>
    <t>1. Adquisición, administración, mantenimiento y soporte técnico</t>
  </si>
  <si>
    <t xml:space="preserve">Diagnostico del Sistema de información-infraestructura de datos </t>
  </si>
  <si>
    <t>2. Publicación y difusión de la información</t>
  </si>
  <si>
    <t>Formato de control para cargue de información-MIDAS
CUADRO DE CONTROL A INDICADORES DE MEDICIÓN-SIG-MIDAS -2024
FORMATO DIARIO DE SEGUIMIENTO OPTIMIZACIÓN-MIDAS
GTIGI02-F002 Formato para Registro de Backup V2</t>
  </si>
  <si>
    <t>3. Análisis, procesamiento y diseño de la información</t>
  </si>
  <si>
    <t xml:space="preserve">CUADRO DE CONTROL A INDICADORES DE MEDICIÓN-SIG-ICET
Informes de Recopilación, procesamiento y análisis de información </t>
  </si>
  <si>
    <t>Aplicar los lineamientos metodológicos que permitan el seguimiento y control de la información que se produce y/o administra, con el fin de que cumplan con los estándares de calidad y oportunidad</t>
  </si>
  <si>
    <t>Documentos de
lineamientos técnicos</t>
  </si>
  <si>
    <t>1. Diseñar la metodología para satisfacer la necesidad de la información estadística</t>
  </si>
  <si>
    <t xml:space="preserve">Cronograma de Actividades - Plan de trabajo -Análisis de la necesidad de la información estadística - Directorio de actores-fuentes de información - Indicadores de seguimiento y evaluación </t>
  </si>
  <si>
    <t>2. Identificar y gestionar los riesgos del proceso estadístico</t>
  </si>
  <si>
    <t>Matriz de identificacion de riesgos - Mapa de riesgos</t>
  </si>
  <si>
    <t>3. Elaborar la propuesta de lineamiento técnico</t>
  </si>
  <si>
    <t>Diagnostico de las fuentes de información</t>
  </si>
  <si>
    <t>Actualizar la clasificación socioeconómica de los predios residenciales en el Distrito de Cartagena</t>
  </si>
  <si>
    <t>Identificar oportunamente los cambios en las características físicas, entorno y contexto de las viviendas, la incorporación de nuevos desarrollos y la necesidad de rectificar los estratos asignados cuando se detecta falta de comparabilidad.</t>
  </si>
  <si>
    <t>1. Tramitar y responder oportunamente las solicitudes de los usuarios en cuanto a certificación y revisión de estrato</t>
  </si>
  <si>
    <t>Número de informes de gestión</t>
  </si>
  <si>
    <t>2024130010203 ACTUALIZACION DE  LA ESTRATIFICACION SOCIOECONOMICA DEL DISTRITO DE  CARTAGENA DE INDIAS</t>
  </si>
  <si>
    <t>2. Actualizar la estratrificación de los predios urbanos conforme a la metodología vigente</t>
  </si>
  <si>
    <t>Actas en Primera Instancia</t>
  </si>
  <si>
    <t>3. Apoyar técnicamente al CPE</t>
  </si>
  <si>
    <t>Actas CPE - Segunda Instancia</t>
  </si>
  <si>
    <t>6. Correlacionar la dirección cartográfica DANE con la referencia catastral predial como eje de articulación de la Estratificación del Distrito de Cartagena</t>
  </si>
  <si>
    <t>Número de informes de avance</t>
  </si>
  <si>
    <t>7. Ejecutar la nueva estratificación para el Distrito de Cartagena</t>
  </si>
  <si>
    <t>Número de bases de datos</t>
  </si>
  <si>
    <t>2026-04</t>
  </si>
  <si>
    <t>NUEVA ESTRATIFICACION</t>
  </si>
  <si>
    <t>ACTUALIZACIÓN DE LA METODOLOGIA SISBEN IV EN CARTAGENA DE INDIAS</t>
  </si>
  <si>
    <t>Aumentar la calidad en el proceso de recolección de información para la asignación de categorías SISBÉN en el Distrito de Cartagena</t>
  </si>
  <si>
    <t>Actualizar la información estadística de la metodología (SISBÉN IV)</t>
  </si>
  <si>
    <t xml:space="preserve">Servicio de información para
el registro administrativo de SISBEN
</t>
  </si>
  <si>
    <t>1. Fase demanda de la metodología, construcción de la base de datos del nuevo sisben iv- encuestas nuevas, inconformidad de categorías, búsquedas activas, inclusión de personas, modificación de documentos, retiros de personas, fichas, duplicidades, novedades de rechazos e inconsistencia por estado de verificación</t>
  </si>
  <si>
    <t>Encuestas realizadas</t>
  </si>
  <si>
    <t>2026 -12</t>
  </si>
  <si>
    <t>Camilo Torres Catalan</t>
  </si>
  <si>
    <t>Posibilidad de recibir o solicitar cualquier dádiva o incentivos con beneficio a nombre propio o de terceros, con el fin de modificar datos para obtener bajas categorías en el SISBÉN IV.</t>
  </si>
  <si>
    <t>El Administrador encargado del área con cargo profesional especializado Código 222, grado 45 realiza diariamente la supervisión de los procesos y trámites registrados en los 10 puntos de atención, para monitorear y controlar al equipo de encuestadores con información que es cotejada mediante un drive y medio físico que reposa en el archivo de gestión según los lineamientos del DPN. En caso de encontrar inconsistencias en las Encuestas el Administrador devuelve a los coordinadores del punto de atencion</t>
  </si>
  <si>
    <t>2024130010200 ACTUALIZACION DE LA METODOLOGIA SISBEN IV EN   CARTAGENA DE INDIAS</t>
  </si>
  <si>
    <t>2. Responder los pqr presentados por los usuarios sisben (encuestas nuevas, inconformidades de categorías, retiro de personas entre otros)</t>
  </si>
  <si>
    <t>Solicitudes atendidas</t>
  </si>
  <si>
    <t>2026 - 2</t>
  </si>
  <si>
    <t>3. Actualizacion y mantenimiento del archivo general del Sisbén. (metros lineales)</t>
  </si>
  <si>
    <t>Metros lineales ejecutados</t>
  </si>
  <si>
    <t>2026 -2</t>
  </si>
  <si>
    <t>4. Realización diaria de copias de Seguridad a la plataforma Sisbénapp y envió diario de los trámites procesados y sincronizados al DNP para su validación (*)</t>
  </si>
  <si>
    <t>Informe de envíos de bases de datos Sisben a DNP</t>
  </si>
  <si>
    <t>2026-1</t>
  </si>
  <si>
    <t>5. Propagación de los procesos y actividades realizadas en la metodología IV del Sisbén, en nuestros canales de comunicación local y nacional (*)</t>
  </si>
  <si>
    <t>Procesos de socialización realizados</t>
  </si>
  <si>
    <t>2026 2</t>
  </si>
  <si>
    <t>Mejorar la infraestructura y dotación de todos puntos de atención del Sisbén.</t>
  </si>
  <si>
    <t>Sedes adecuadas</t>
  </si>
  <si>
    <t>1. Realizar las intervenciones en la infraestructura fisica y tecnologia de las sedes Sisben de Cartagena de Indias</t>
  </si>
  <si>
    <t>Puntos de atención intervenidos</t>
  </si>
  <si>
    <t>2. Realizar el diagnóstico de la infraestructura física de los diferentes puntos del SISBEN</t>
  </si>
  <si>
    <t>Documento elaborado</t>
  </si>
  <si>
    <t>FORTALECIMIENTO DEL BANCO DE PROGRAMAS Y PROYECTOS DEL DISTRITO DE CARTAGENA DE INDIAS</t>
  </si>
  <si>
    <t>Fortalecer capacidades en gestión y administración del banco de Programas y proyectos del Distrito de Cartagena</t>
  </si>
  <si>
    <t>Optimizar los procesos de revisión, viabilidad y seguimiento físico, financiero y de gestión de los proyectos de inversión pública.</t>
  </si>
  <si>
    <t xml:space="preserve">Entidades, organismos y dependencias asistidos técnicamente
</t>
  </si>
  <si>
    <t>1. Asisitr tecnicamente los proyectos estrategicos presentados al banco de proyectos.</t>
  </si>
  <si>
    <t>Unidades ejecutoras asistidas</t>
  </si>
  <si>
    <t>Carmen Adriana Charry Sampayo</t>
  </si>
  <si>
    <t>Posibilidad de afectación económica por proyectos mal formulados, debido mal manejo o errores en hardware, software, telecomunicaciones, interrupción de servicios básicos de los sistemas de información dispuestos por el Departamento Nacional de Planeación.</t>
  </si>
  <si>
    <t>El líder del banco de programas y proyectos define anualmente guías, formatos, manuales de procedimientos en el marco de MIPG para el apoyo al desarrollo de los procesos de formulación, seguimiento y cierre de proyectos</t>
  </si>
  <si>
    <t>EQUIPOS DE COMPUTO</t>
  </si>
  <si>
    <t>SELECCIÓN ABREVIADA</t>
  </si>
  <si>
    <t>ICLD Y SGP</t>
  </si>
  <si>
    <t>2024130010011 FORTALECIMIENTO DEL BANCO DE PROGRAMAS Y PROYECTOS DEL DISTRITO DE   CARTAGENA DE INDIAS</t>
  </si>
  <si>
    <t>2. Implementar los estándares de calidad en el Banco de Programas y Proyectos bajo modelo de MIPG.</t>
  </si>
  <si>
    <t>Manual de banco de programas y proyectos</t>
  </si>
  <si>
    <t>CONTRATACIÓN DIRECTA</t>
  </si>
  <si>
    <t>3. Consolidar los informes de avance de los proyectos de inversión territoriales</t>
  </si>
  <si>
    <t xml:space="preserve">Informe </t>
  </si>
  <si>
    <t xml:space="preserve">El líder del banco de programas y
proyectos, verifica mensualmente la
ejecución de los proyectos de
inversión registrados, a través del
reporte generado en el Sistema de
seguimiento a proyectos de
inversión (SPI), del cual elabora un
"Informe de seguimiento a
proyectos" que es publicado en
página web para la consulta de
todas las entidades ejecutoras;
además generar alertas a las
unidades ejecutoras con relación al
reporte de información de cada
proyecto, su avance físico y
financiero y las a
</t>
  </si>
  <si>
    <t>4. Adelantar los procesos de ajuste de los proyectos de inversión financiados por el Sistema General de Regalías</t>
  </si>
  <si>
    <t>Ajustes de proyectos registrados en PIIP</t>
  </si>
  <si>
    <t xml:space="preserve">El líder del banco de programas y
proyectos capacita anualmente al
personal en el análisis y formulación
de proyectos.
El líder del banco de programas y
proyectos cada vez que se presenta
un proyecto a viabilidad, verifica
mediante lista de chequeo en el
sistema de información dispuesto
por el Departamento nacional de
planeación, el cumplimiento de
requisitos y firma el acta de
viabilidad
</t>
  </si>
  <si>
    <t>5. Realizar el seguimiento físico y financiero de los proyectos financiados por el Sistema General de Regalías</t>
  </si>
  <si>
    <t>6. Adoptar las estrategias de buenas practicas de gestión de los datos del banco de proyectos.</t>
  </si>
  <si>
    <t>7. Adelantar los procesos de precalificación y calificación de APP radicadas en el Distrito de Cartagena</t>
  </si>
  <si>
    <t>Informe de verificación APP</t>
  </si>
  <si>
    <t>8. Realizar la revisión de las solicitudes de disponibilidad presupuestal derivados de los proyectos de inversión</t>
  </si>
  <si>
    <t>Solicitudes de disponibilidad presupuestal revisadas</t>
  </si>
  <si>
    <t>9. Actualizar y reorganizar el archivo fisico y magnetico de los proyectos radicados en el banco de proyectos.</t>
  </si>
  <si>
    <t xml:space="preserve">Matriz consolidada del archivo  fisico y magnetico de los proyectos radicados en el banco de proyectos y proyectos. </t>
  </si>
  <si>
    <t>10. Elaborar informe con relación a los resultados del SGR</t>
  </si>
  <si>
    <t>11. Realizar la verificación del cumplimiento de requisitos de los proyectos con enfoque diferencial, en el marco del cumplimiento del artículo 71 de ley 2056.</t>
  </si>
  <si>
    <t>Verificar Proyectos</t>
  </si>
  <si>
    <t>El líder del banco de programas y
proyectos del distrito de Cartagena
realiza anualmente el proceso de
planeación y alineación de las
actividades del proyecto en
correspondencia con las
obligaciones contractuales y perfiles
del personal a contratar.</t>
  </si>
  <si>
    <t>12. Implementar sistema de seguimiento a proyectos de inversión definido por el Departamento Nacional de Planeación</t>
  </si>
  <si>
    <t>Fortalecer la estructuración, formulación y ajuste de proyectos de inversión pública</t>
  </si>
  <si>
    <t>1. Verificar los requisitos y seguimiento en la formulacion para presentacion de proyectos de inversion recepcionados para inscripcion en el banco de programas y proyectos.</t>
  </si>
  <si>
    <t>Informe de verificación de requisitos PIIP</t>
  </si>
  <si>
    <t>2. Capacitar a los funcionarios de cada dependencia y personas de la sociedad en formulacion de proyectos, plataformas tecnológicas y requisitos normativos dependiendo del sector de inversión definido en el proyecto.</t>
  </si>
  <si>
    <t xml:space="preserve">Matriz consolidada y sus evidencias de las capacitaciones y asesorias realizadas a los funcionarios de cada dependencia en formulación, seguimiento y cierre de proyectos. </t>
  </si>
  <si>
    <t>3. Recepcionar los proyectos que ingresen al banco y pretendan ser inscritos</t>
  </si>
  <si>
    <t>Proyectos registrados en el Banco de Programas y Proyectos</t>
  </si>
  <si>
    <t>MODERNIZACIÓN DEL SISTEMA DISTRITAL DE PLANEACIÓN PARA UNA INVERSIÓN PÚBLICA EFICIENTE Y TRANSPARENTE EN CARTAGENA DE INDIAS</t>
  </si>
  <si>
    <t>Modernizar el Sistema Distrital de Planeación y Descentralización en el Modelo Integrado de Planeación y Gestión</t>
  </si>
  <si>
    <t xml:space="preserve"> Optimizar la gestión del Sistema de Planeación mediante procesos coordinados que garanticen una ejecución eficiente y transparente.</t>
  </si>
  <si>
    <t>Fortalecer el rol de la Secretaría de Planeación como segunda línea de defensa mediante estrategias de sensibilización, capacitación, acompañamiento y seguimiento a la gestión de riesgos identificados</t>
  </si>
  <si>
    <t>MAARI - MESAS DE ACOMPAÑAMIENTO PARA LA ADMINISTRACIÓN DE LOS RIESGOS INSTITUCIONALES
- Plan de sensibilización y capacitacion 
- Política de Administración de Riesgos actualizada
- Reportes de monitoreo como segunda línea de defensa
- Informe de seguimiento a los riesgos Institucionales</t>
  </si>
  <si>
    <t>Falta de coordinación y seguimiento adecuado en la ejecución, formulación,
seguimiento y evaluación del Plan de Desarrollo Distrital.</t>
  </si>
  <si>
    <t>1.	Establecer un comité o equipo encargado de coordinar la ejecución, formulación, seguimiento y evaluación del Plan de Desarrollo Distrital, con representantes de todas las áreas relevantes de la administración   pública   y   otros   actores   clave.
2.	Desarrollar un plan de acción detallado que defina claramente las responsabilidades, los plazos y los recursos necesarios para cada etapa del proceso, desde la formulación inicial del plan hasta su seguimiento	y	evaluación	periódica.
3.	Implementar sistemas de monitoreo y reporte que permitan realizar un seguimiento continuo del progreso hacia los objetivos del Plan de Desarrollo Distrital, utilizando indicadores clave de rendimiento y métricas específicas.</t>
  </si>
  <si>
    <t>12-CONTRATO DE PRESTACION DE SERVICIOS</t>
  </si>
  <si>
    <t>2024130010225 MODERNIZACIÓN DEL SISTEMA DISTRITAL DE PLANEACIÓN PARA UNA INVERSIÓN PÚBLICA EFICIENTE Y TRANSPARENTE EN CARTAGENA DE INDIAS</t>
  </si>
  <si>
    <t>Optimizar el sistema de planeación distrital con una estrategia que garantice el cumplimiento y seguimiento de los Planes Institucionales y Estratégicos según MIPG</t>
  </si>
  <si>
    <t xml:space="preserve">PIES - PLANES INSTITUCIONALES Y ESTRATEGICOS 
- Instructivo para la formulación  de los Planes institucionales y Estrategicos reglamentados por el decreto 612 de 2018. 
- Seguimiento a la formulación de los Planes institucionales y Estrategicos reglamentados por el decreto 612 de 2018. 
- Consolidación para la aprobación y  publiccación de los Planes institucionales y Estrategicos reglamentados por el decreto 612 de 2018. 
- Matriz consolidada para la gestión de los Planes institucionales y Estrategicos reglamentados por el decreto 612 de 2018.
- Informe técnico como segunda línea de defensa sobre la gestión, reporte y avance de los Planes institucionales y Estrategicos reglamentados por el decreto 612 de 2018, de acuerdo con los informes de la primera línea de defensa. </t>
  </si>
  <si>
    <t>Fortalecer el desempeño de la Secretaría de Planeación a partir del mejora de la gestión por procesos y el acompañamiento al diseño y seguimiento de procesos de las entidades del Distrito</t>
  </si>
  <si>
    <t>4 informes de Avance en la Formulación de objetivos de Procesos alineados a los Objetivos Estratégicos.
4 informes de avance en la Adopción y medición de Indicadores de Procesos Reformulados.
1. Informe de Actualización de las Matrices de Riesgos
4 Informes de Seguimiento a los Riesgos de Gestión de los Procesos de la SPD
4 Infomes de avance de Procesos Optimizados en la SPD</t>
  </si>
  <si>
    <t>Fortalecer el Sistema de Planeación a partir de la alineación de los macroprocesos con las directrices  establecidas en la plataforma estratégica del Distrito</t>
  </si>
  <si>
    <t xml:space="preserve">1 Informe Trimestral de Medición de Desempeño de los Procesos.
1 Informe Trimestral de Procesos Alineados a la Plataforma Estratégica
3 Informes de Acompañamiento a la  Optimización de Procesos </t>
  </si>
  <si>
    <t>Mejorar el proceso de formulación, seguimiento y evaluación de los planes de desarrollo locales para lograr resultados más efectivos, eficientes y transparentes.</t>
  </si>
  <si>
    <t>Documentos de
planeación</t>
  </si>
  <si>
    <t>Formular y realizar seguimiento y evaluación al Plan de Desarrollo Territorial aprobado en el marco de lo establecido por el DNP</t>
  </si>
  <si>
    <t>Matriz de evaluacion PDD</t>
  </si>
  <si>
    <t>Realizar los reportes de avance de Plan de Desarrollo de acuerdo con los requerimientos de entidades de control distrital y nacional en las diferentes plataformas y procesos de gestión (FURAG-DNP-PROCURADURIA-CONTRALORIA)</t>
  </si>
  <si>
    <t>Reportes realizados</t>
  </si>
  <si>
    <t>Diseñar plataforma interactiva para seguimiento y evaluación del Plan de Desarrollo y Planes Institucionales</t>
  </si>
  <si>
    <t>Actas de trabajo
Cronograma de diseño
Compra de equipos y adquisicion de software</t>
  </si>
  <si>
    <t>04-ORDEN DE COMPRA</t>
  </si>
  <si>
    <t>Realizar asistencia técnica a las localidades del Distrito para la formulación y proceso de seguimiento y evaluación de los planes locales de desarrollo</t>
  </si>
  <si>
    <t>Actas de trabajo de asistencias técnicas realizadas en las localidades</t>
  </si>
  <si>
    <t>Mejorar la participación ciudadana en los procesos de planeación para asegurar que las necesidades de las comunidades se reflejen en los documentos de planeación estratégica</t>
  </si>
  <si>
    <t>Diseñar, elaborar y socializar documento técnico para la formulación de planes estratégicos comunitarios.</t>
  </si>
  <si>
    <t>Realizar asistencias técnicas para la formulación de planes estratégicos comunitarios.</t>
  </si>
  <si>
    <t>Asistencias técnicas realizadas</t>
  </si>
  <si>
    <t>Fortalecer el seguimiento y control de la inversión pública mediante el diseño de instrumentos de planeación que garanticen un monitoreo preciso de la ejecución financiera y estratégica del plan de desarrollo</t>
  </si>
  <si>
    <t xml:space="preserve">Realizar las asistencias técnicas a cada dependencia del Distrito para el seguimiento y evaluación de los planes de acción según parámetros del DNP y la ley 152/94.    </t>
  </si>
  <si>
    <t>Actas de asistencias técnicas realizadas a las 26 unidades ejecutoras de proyectos o dependencias</t>
  </si>
  <si>
    <t>Diseñar e implementar un instrumento para el control del seguimiento del proceso presupuestal con el fin de asegurar la ejecución efectiva de los recursos dentro de la vigencia fiscal y el cumplimiento de las metas establecidas en el Plan de Desarrollo.</t>
  </si>
  <si>
    <t>Actas de implementación de Treasury</t>
  </si>
  <si>
    <t xml:space="preserve">Elaborar los informes y boletines de seguimiento, evaluación y evolución de las Finanzas Públicas del Distrito en el marco de la ejecución del Plan de Desarrollo    </t>
  </si>
  <si>
    <t>Informes elaborados y presentados</t>
  </si>
  <si>
    <t>Revisar y verificar las solicitudes de disponibilidad presupuestal y los trámites de traslados presupuestales que cumpla con lo exigido para la aprobación</t>
  </si>
  <si>
    <t>Matriz de solicitudes revisadas - Informes de reporte</t>
  </si>
  <si>
    <t>Elaborar el Plan Operativo Anual de Inversiones teniendo en cuenta los avances de Plan de Desarrollo</t>
  </si>
  <si>
    <t>Plan Operativo Anual de Inversiones elaborados</t>
  </si>
  <si>
    <t xml:space="preserve">Atender las solicitudes de PQRSFD recibidas a través de SIGOB y dar respuesta al requerimiento solicitado mediante oficio.          </t>
  </si>
  <si>
    <t xml:space="preserve">Manejar y mantener actualizado el archivo físico y digital de la documentación relacionada con Plan de Desarrollo de la Secretaría de Planeación.    </t>
  </si>
  <si>
    <t>12-CONTRATO DE PRESTACION DE SERVICIOS
19-CONTRATO DE SUMINISTRO</t>
  </si>
  <si>
    <t>Fortalecimiento de la formulación, implementación y seguimiento a las Políticas Públicas Intersectoriales y con visión integral en el Distrito de Cartagena de Indias</t>
  </si>
  <si>
    <t>Fortalecer la capacidad de las entidades distritales de Cartagena para formular, implementar y hacer seguimiento a Políticas Públicas eficaces</t>
  </si>
  <si>
    <t>Formular y acompañar en su evaluación y seguimiento a políticas públicas</t>
  </si>
  <si>
    <t>Documentos de política</t>
  </si>
  <si>
    <t>1. Planificar y desarrollar mesas de asistencia técnica para la consolidación de los productos relacionados a las etapas del Ciclo de Políticas Públicas del Distrito de Cartagena de Indias.</t>
  </si>
  <si>
    <t>Actas de mesas técnicas realizadas</t>
  </si>
  <si>
    <t>El personal de las entidades distritales puede no participar activamente en los programas de capacitación y asistencia técnica debido a la falta de interés, disponibilidad o sobrecarga de trabajo</t>
  </si>
  <si>
    <t>Realizar campañas de sensibilización sobre la importancia de la capacitación.
Ofrecer incentivos para la participación en los programas de formación.
Programar capacitaciones en horarios flexibles y accesibles.</t>
  </si>
  <si>
    <t>2024130010261 FORTALECIMIENTO DE LA FORMULACION, IMPLEMENTACION Y SEGUIMIENTO A LAS POLITICAS PUBLICAS INTERSECTORIALES Y CON VISION INTEGRAL EN EL DISTRITO DE   CARTAGENA DE INDIAS</t>
  </si>
  <si>
    <t>2. Desarrollar procesos de formación en metodologías modernas y sistemáticas de formulación de políticas públicas</t>
  </si>
  <si>
    <t>Procesos realizados</t>
  </si>
  <si>
    <t>3. Formular y diseñar los documentos, planes de acción y hojas de vida de productos de Políticas Públicas, de acuerdo con el ciclo de Políticas Públicas del Distrito</t>
  </si>
  <si>
    <t>Documentos elaborados</t>
  </si>
  <si>
    <t>Los funcionarios pueden mostrar resistencia a adoptar nuevos procedimientos metodológicos y herramientas tecnológicas, prefiriendo seguir con prácticas establecidas.</t>
  </si>
  <si>
    <t>SGP - Libre Inversión</t>
  </si>
  <si>
    <t>FORTALECIMIENTO AL CONSEJO TERRITORIAL DE PLANEACIÓN CONSEJO CONSULTIVO DE ORDENAMIENTO TERRITORIAL Y EL CONSEJO DE PARTICIPACIÓN CIUDADANA EN EL DISTRITO CARTAGENA DE INDIAS</t>
  </si>
  <si>
    <t>Fortalecer a las Instancias del Sistema Distrital de Planeación Participativas con acompañamiento y apoyo técnico administrativo y logístico</t>
  </si>
  <si>
    <t>1. Acompañar al CTP en la construcción de evaluación de plan de desarrollo y concepto sobre POT</t>
  </si>
  <si>
    <t>Informes presentados</t>
  </si>
  <si>
    <t>Posible resistencia al cambio por parte de los miembros de estos órganos. Esta resistencia puede surgir debido a la adaptación a nuevas prácticas, tecnologías o procesos, lo cual puede limitar la efectividad de las mejoras en apoyo técnico, administrativo y logístico.</t>
  </si>
  <si>
    <t>Para mitigar este riesgo, se deben implementar estrategias de gestión del cambio que incluyan la comunicación efectiva y la participación activa de los miembros en el proceso de transformación</t>
  </si>
  <si>
    <t>2024130010260 FORTALECIMIENTO AL CONSEJO TERRITORIAL DE PLANEACION, CONSEJO CONSULTIVO DE ORDENAMIENTO TERRITORIAL Y EL CONSEJO DE PARTICIPACION CIUDADANA EN EL DISTRITO   CARTAGENA DE INDIAS</t>
  </si>
  <si>
    <t>2. Brindar apoyo el técnico, tecnológico y logístico que garantice el cumplimiento de las actividades previstas en la ley para el consejo consultivo de ordenamiento territorial</t>
  </si>
  <si>
    <t>Apoyos Brindados</t>
  </si>
  <si>
    <t>3. Brindar apoyo técnico, tecnológico y logístico que garantice el cumplimiento de las actividades previstas en la ley para el consejo de participación ciudadana</t>
  </si>
  <si>
    <t>4. Desarrollar formación especializada en temas de Plan de Desarrollo, POT, PEMP, Estratégicos y Comunales.</t>
  </si>
  <si>
    <t>Capacitaciones Realizadas</t>
  </si>
  <si>
    <t>5. Gestionar la Participación de Consejeros en espacios nacionales y regionales del Sistema Nacional de Planeación</t>
  </si>
  <si>
    <t>Convenios Realizados</t>
  </si>
  <si>
    <t>6. Realizar Jornadas de participación ciudadana para la identificación de necesidades y la realización de propuestas a partir de los informes de avances del Plan de Desarrollo</t>
  </si>
  <si>
    <t>Informes Elaborados</t>
  </si>
  <si>
    <t>IMPLEMENTACIÓN DE LA GESTIÓN CATASTRAL CON ENFOQUE MULTIPROPÓSITO EN DISTRITO CARTAGENA DE INDIAS</t>
  </si>
  <si>
    <t>Generar información catastral con enfoque multipropósito en la ciudad de Cartagena.</t>
  </si>
  <si>
    <t>Mejorar las
capacidades
administrativas y
técnicas para la
gestión catastral
multipropósito en
Cartagena de indias</t>
  </si>
  <si>
    <t>Servicio de actualización catastral con enfoque multipropósito</t>
  </si>
  <si>
    <t>Recepción de la información catastral en el proceso de empalme con el gestor y operador anterior</t>
  </si>
  <si>
    <t>Acta de trabajo</t>
  </si>
  <si>
    <t>Cambios en los lineamientos técnicos o normativos que definen los parámetros para el levantamiento de la información catastral</t>
  </si>
  <si>
    <t>Ajustar el proyecto a las especificaciones técnicas y normativas vigentes. Realizar una verificación de las especificaciones vigentes tanto al momento de formular, como de implementar el proyecto</t>
  </si>
  <si>
    <t>CONTRATAR LA CONSULTORÍA PARA ESTRUCTURAR UN DOCUMENTO TÉCNICO PARA SOLICITAR ANTE EL IGAC, LA HABILITACIÓN DEL DISTRITO DE CARTAGENA COMO GESTOR CATASTRAL EN EL  PROYECTO DE INVERSIÓN IMPLEMENTACIÓN DE LA GESTIÓN CATASTRAL CON ENFOQUE MULTIPROPÓSITO EN DISTRITO CARTAGENA DE INDIAS</t>
  </si>
  <si>
    <t>11-CONTRATOS INTERADMINISTRATIVOS</t>
  </si>
  <si>
    <t>2024130010132 IMPLEMENTACIÓN DE LA GESTIÓN CATASTRAL CON ENFOQUE MULTIPROPÓSITO EN DISTRITO CARTAGENA DE INDIAS</t>
  </si>
  <si>
    <t>Estructurar un documento técnico para solicitar ante el IGAC, la habilitación del distrito de Cartagena como gestor catastral</t>
  </si>
  <si>
    <t xml:space="preserve">1. ANEXO TÉCNICO DE REQUERIMIENTOS PARA PROCESO DE HABILITACION
2. PROPUESTA ECONOMICA PARA ELABORACION DE DOCUMENTO TECNICO
3. DOCUMENTO TECNICO PARA PRESENTACION A IGAC
</t>
  </si>
  <si>
    <t xml:space="preserve">2
</t>
  </si>
  <si>
    <t>PRESTAR LOS SERVICIOS DE GESTOR PARA LA EJECUCIÓN DE LA FASE DE OPERACIÓN DE LOS COMPONENTES CONSERVACIÓN Y DIFUSIÓN DEL SERVICIO PUBLICO CATASTRAL MULTIPROPÓSITO EN EL DISTRITO TURISTICO Y CULTURAL DE CARTAGENA DE INDIAS</t>
  </si>
  <si>
    <t>Servicio de conservación catastral (Producto
principal del proyecto)</t>
  </si>
  <si>
    <t>Elaborar documento diagnóstico y plan de intervención</t>
  </si>
  <si>
    <t>PLAN DE TRABAJO 2026</t>
  </si>
  <si>
    <t>No hay disponibilidad en la región de recurso humano con los perfiles requeridos para la actualización catastral</t>
  </si>
  <si>
    <t>Identificar la disponibilidad del recurso humano requerido en la región, sino proveer recursos de viáticos dentro del proyecto</t>
  </si>
  <si>
    <t>CONTRATAR LA PRESTACIÓN DE SERVICIOS PROFESIONALES DE ARQUITECTOS Y AFINES PARA REALIZAR  ACTIVIDADES  EN El PROYECTO DE INVERSIÓN   IMPLEMENTACIÓN DE LA GESTIÓN CATASTRAL CON ENFOQUE MULTIPROPÓSITO EN DISTRITO CARTAGENA DE INDIAS</t>
  </si>
  <si>
    <t>Elaborar documento de estudios técnicos sobre geografía, caracterización territorial y dinámica inmobiliaria.</t>
  </si>
  <si>
    <t>INFORMES DE OBSERVATORIO INMOBILIARIO</t>
  </si>
  <si>
    <t>Realizar la difusión de información
del servicio público catastral</t>
  </si>
  <si>
    <t>INFORMES DE DIFUSION CATASTRAL</t>
  </si>
  <si>
    <t>Realizar la recolección de información física, jurídica y económica de los predios intervenidos con la actualización o conservación catastral.</t>
  </si>
  <si>
    <t>INFORME DE CONSERVACION</t>
  </si>
  <si>
    <t>Los propietarios, poseedores u ocupantes se oponen a la actualización catastral y no permiten el acceso a los predios para la recolección de información primaria, debido al temor al aumento de las bases gravables.</t>
  </si>
  <si>
    <t xml:space="preserve">Realizar adecuada socialización del proyecto, de manera que los propietarios identifiquen las ventajas de la implementación del catastro multipropósito en su municipio </t>
  </si>
  <si>
    <t>Procesar y analizar la información predial y territorial recolectada.</t>
  </si>
  <si>
    <t>ENTREGA DE GDB Y R1R2</t>
  </si>
  <si>
    <t>Seguimento al proyecto</t>
  </si>
  <si>
    <t>INFORME DE SUPERVISION DE CONTRATO</t>
  </si>
  <si>
    <t>AVANCE PROGRAMA MI TERRITORIO EN ORDEN</t>
  </si>
  <si>
    <t>AVANCE PROGRAMA TRANSFORMACION PRODUCTIVA</t>
  </si>
  <si>
    <t>AVANCE PROGRAMA INSTRUMENTOS DE PLANIFICACION TERRITORIAL</t>
  </si>
  <si>
    <t>AVANCE PROGRAMA RECUPERANDO LA GOBERNANZA URBANÍSTICA, CARTAGENA VUELVE A BRILLAR</t>
  </si>
  <si>
    <t>AVANCE PROGRAMA CARTAGENA AVANZA EN EL FORTALECIMIENTO DEL PLAN DE NORMALIZACIÓN URBANÍSTICA</t>
  </si>
  <si>
    <t>AVANCE PROGRAMA ORDENAMIENTO Y SOSTENIBILIDAD AMBIENTAL</t>
  </si>
  <si>
    <t>AVANCE PROGRAMA SOSTENIBILIDAD DEL ESPACIO PÚBLICO DEL CENTRO HISTÓRICO DE CARTAGENA DE INDIAS</t>
  </si>
  <si>
    <t>AVANCE PROGRAMA RECUPERACIÓN Y ESTABILIZACIÓN DEL SISTEMA HÍDRICO Y LITORAL DE CARTAGENA</t>
  </si>
  <si>
    <t>AVANCE PROGRAMA PLAN DE RESTAURACIÓN INTEGRAL DE LA CIÉNAGA DE LA VIRGEN</t>
  </si>
  <si>
    <t>AVANCE PROGRAMA GESTIÓN DEL TERRITORIO MARINO-COSTERO</t>
  </si>
  <si>
    <t>AVANCE PROGRAMA PROMOCIÓN, CREACIÓN Y OPERACIÓN DE ESQUEMAS ASOCIATIVOS TERRITORIALES DE LA CIUDAD REGIÓN</t>
  </si>
  <si>
    <t>AVANCE PROGRAMA CENTRO DE INVESTIGACIÓN PARA LA PLANEACIÓN SOCIOECONÓMICA Y TERRITORIAL</t>
  </si>
  <si>
    <t xml:space="preserve"> </t>
  </si>
  <si>
    <t>AVANCE PROGRAMA SISTEMAS DE INFORMACIÓN PARA EL DESARROLLO DE CARTAGENA</t>
  </si>
  <si>
    <t>AVANCE PROGRAMA INVERSIÓN PÚBLICA EFICIENTE Y TRANSPARENTE</t>
  </si>
  <si>
    <t>AVANCE PROGRAMA POLÍTICAS PÚBLICAS INTERSECTORIALES Y CON VISIÓN INTEGRAL</t>
  </si>
  <si>
    <t>AVANCE PROGRAMA DESCENTRALIZACIÓN ADMINISTRATIVA</t>
  </si>
  <si>
    <t>AVANCE PROGRAMA GESTIÓN CATASTRAL CON ENFOQUE MULTIPROPÓSITO</t>
  </si>
  <si>
    <t>AVANCE PROGRAMA DESARROLLO LOCAL SOSTENIBLE Y PROSPERIDAD COLECTIVA EN LOS TERRITORIOS DE LAS COMUNIDADES NEGRAS DEL DISTRITO DE CARTAGENA</t>
  </si>
  <si>
    <t>AVANCE PLAN DE DESARROLLO SECRETARÍA DE PLANEACIÓN DISTRITAL A MARZO 31 DE 226</t>
  </si>
  <si>
    <t xml:space="preserve">SECRETARÍA DE PLANEACIÓN DISTRITAL </t>
  </si>
  <si>
    <t>AVANCE PROYECTO ELABORACIÓN DE DOCUMENTOS PRELIMINARES, RECONOCIMIENTO DE EDIFICACIONES Y TRÁMITE DE LEGALIZACIÓN URBANÍSTICA</t>
  </si>
  <si>
    <t>AVANCE EJECUCION PRESUPUESTAL PROYECTO ELABORACIÓN DE DOCUMENTOS PRELIMINARES, RECONOCIMIENTO DE EDIFICACIONES Y TRÁMITE DE LEGALIZACIÓN URBANÍSTICA</t>
  </si>
  <si>
    <t>AVANCE PROYECTO ACTUALIZACIÓN Y SEGUIMIENTO AL PLAN DE ORDENAMIENTO TERRITORIAL EN EL DISTRITO DE CARTAGENA DE INDIAS</t>
  </si>
  <si>
    <t>AVANCE EJECUCION PRESUPUESTAL PROYECTO ACTUALIZACIÓN Y SEGUIMIENTO AL PLAN DE ORDENAMIENTO TERRITORIAL EN EL DISTRITO DE CARTAGENA DE INDIAS</t>
  </si>
  <si>
    <t>2026-09</t>
  </si>
  <si>
    <t>AVANCE PROYECTO FORMULACIÓN Y SEGUIMIENTO AL PLAN ESPECIAL DE MANEJO Y PROTECCIÓN DEL CENTRO HISTÓRICO Y SU ÁREA DE INFLUENCIA EN EL DISTRITO DE CARTAGENA DE INDIAS</t>
  </si>
  <si>
    <t>AVANCE EJECUCION PRESUPUESTAL PROYECTO FORMULACIÓN Y SEGUIMIENTO AL PLAN ESPECIAL DE MANEJO Y PROTECCIÓN DEL CENTRO HISTÓRICO Y SU ÁREA DE INFLUENCIA EN EL DISTRITO DE CARTAGENA DE INDIAS</t>
  </si>
  <si>
    <t>FORMULACIÓN DE ACTUACIONES URBANAS INTEGRALES (AUI) PARA LA GESTIÓN TERRITORIAL DEL DISTRITO DE CARTAGENA DE INDIAS</t>
  </si>
  <si>
    <t>AVANCE PROYECTO FORMULACIÓN DE ACTUACIONES URBANAS INTEGRALES (AUI) PARA LA GESTIÓN TERRITORIAL DEL DISTRITO DE CARTAGENA DE INDIAS</t>
  </si>
  <si>
    <t>AVANCE EJECUCION PRESUPUESTAL PROYECTO FORMULACIÓN DE ACTUACIONES URBANAS INTEGRALES (AUI) PARA LA GESTIÓN TERRITORIAL DEL DISTRITO DE CARTAGENA DE INDIAS</t>
  </si>
  <si>
    <t>APROPACIÓN DEFINITIVA POR PROYECTO (MARZO) SEGÚN PLANEACION</t>
  </si>
  <si>
    <t>AVANCE PROYECTO FORMULACIÓN DE INSTRUMENTOS DE PLANIFICACIÓN TERRITORIAL INTERMEDIA EN EL DISTRITO DE CARTAGENA</t>
  </si>
  <si>
    <t>AVANCE EJECUCION PRESUPUESTAL PROYECTO FORMULACIÓN DE INSTRUMENTOS DE PLANIFICACIÓN TERRITORIAL INTERMEDIA EN EL DISTRITO DE CARTAGENA</t>
  </si>
  <si>
    <t>CLAUDIA VELASQUEZ</t>
  </si>
  <si>
    <t xml:space="preserve">AVANCE PROYECTO Formulación del Plan Estratégico Prospectivo 2050 para el Distrito de  Cartagena de Indias </t>
  </si>
  <si>
    <t>AVANCE PROYECTO RECUPERANDO LA GOBERNANZA URBANÍSTICA, CARTAGENA VUELVE A BRILLAR</t>
  </si>
  <si>
    <t>AVANCE EJECUCION PRESUPUESTAL PROYECTO RECUPERANDO LA GOBERNANZA URBANÍSTICA, CARTAGENA VUELVE A BRILLAR</t>
  </si>
  <si>
    <t>AVANCE PROYECTO FORTALECIMIENTO DEL PLAN DE NORMALIZACION URBANISTICA EN EL DISTRITO DE CARTAGENA DE INDIAS</t>
  </si>
  <si>
    <t>AVANCE EJECUCION PRESUPUESTAL PROYECTO FORTALECIMIENTO DEL PLAN DE NORMALIZACION URBANISTICA EN EL DISTRITO DE CARTAGENA DE INDIAS</t>
  </si>
  <si>
    <t>FORMULACIÓN DE UN PLAN INTEGRAL DE GESTIÓN DEL CAMBIO CLIMÁTICO TERRITORIAL  CARTAGENA DE INDIAS</t>
  </si>
  <si>
    <t>AVANCE PROYECTO FORMULACIÓN DE UN PLAN INTEGRAL DE GESTIÓN DEL CAMBIO CLIMÁTICO TERRITORIAL  CARTAGENA DE INDIAS</t>
  </si>
  <si>
    <t>AVANCE EJECUCION PRESUPUESTAL PROYECTO FORMULACIÓN DE UN PLAN INTEGRAL DE GESTIÓN DEL CAMBIO CLIMÁTICO TERRITORIAL  CARTAGENA DE INDIAS</t>
  </si>
  <si>
    <t>FORMULACIÓN Y SEGUIMIENTO DE INSTRUMENTOS DE PLANIFICACIÓN TERRITORIAL PARA LA ZONA CHAMBACÚ, TORICES Y LA UNIÓN EN EL DISTRITO DE CARTAGENA DE INDIAS</t>
  </si>
  <si>
    <t>AVANCE PROYECTO FORMULACIÓN Y SEGUIMIENTO DE INSTRUMENTOS DE PLANIFICACIÓN TERRITORIAL PARA LA ZONA CHAMBACÚ, TORICES Y LA UNIÓN EN EL DISTRITO DE CARTAGENA DE INDIAS</t>
  </si>
  <si>
    <t>AVANCE EJECUCION PRESUPUESTAL PROYECTO FORMULACIÓN Y SEGUIMIENTO DE INSTRUMENTOS DE PLANIFICACIÓN TERRITORIAL PARA LA ZONA CHAMBACÚ, TORICES Y LA UNIÓN EN EL DISTRITO DE CARTAGENA DE INDIAS</t>
  </si>
  <si>
    <t>AVANCE PROYECTO FORMULACIÓN DE INSTRUMENTOS PARA LA RESTAURACIÓN INTEGRAL DE LA CIÉNAGA DE LA VIRGEN</t>
  </si>
  <si>
    <t>AVANCE EJECUCION PRESUPUESTAL PROYECTO FORMULACIÓN DE INSTRUMENTOS PARA LA RESTAURACIÓN INTEGRAL DE LA CIÉNAGA DE LA VIRGEN</t>
  </si>
  <si>
    <t>FORMULACIÓN DE INSTRUMENTOS DE GESTIÓN DEL TERRITORIO COSTERO PARA SU MEJORAMIENTO INTEGRAL EN CARTAGENA DE INDIAS</t>
  </si>
  <si>
    <t>AVANCE PROYECTO FORMULACIÓN DE INSTRUMENTOS DE GESTIÓN DEL TERRITORIO COSTERO PARA SU MEJORAMIENTO INTEGRAL EN CARTAGENA DE INDIAS</t>
  </si>
  <si>
    <t>AVANCE EJECUCION PRESUPUESTAL PROYECTO FORMULACIÓN DE INSTRUMENTOS DE GESTIÓN DEL TERRITORIO COSTERO PARA SU MEJORAMIENTO INTEGRAL EN CARTAGENA DE INDIAS</t>
  </si>
  <si>
    <t>AVANCE PROYECTO IMPLEMENTACIÓN DEL CENTRO DE INVESTIGACIÓN PARA LA PLANEACIÓN SOCIOECONÓMICA Y TERRITORIAL</t>
  </si>
  <si>
    <t>AVANCE EJECUCION PRESUPUESTAL PROYECTO IMPLEMENTACIÓN DEL CENTRO DE INVESTIGACIÓN PARA LA PLANEACIÓN SOCIOECONÓMICA Y TERRITORIAL</t>
  </si>
  <si>
    <t>AVANCE PROYECTO IMPLEMENTACIÓN DEL SISTEMA DE INFORMACIÓN GEOGRÁFICA, ESTADÍSTICO Y SOCIAL CON INFRAESTRUCTURA DE DATOS ESPACIALES PARA LA TOMA DE DECISIONES EN EL DISTRITO DE CARTAGENA DE INDIAS</t>
  </si>
  <si>
    <t>AVANCE EJECUCION PRESUPUESTAL PROYECTO IMPLEMENTACIÓN DEL SISTEMA DE INFORMACIÓN GEOGRÁFICA, ESTADÍSTICO Y SOCIAL CON INFRAESTRUCTURA DE DATOS ESPACIALES PARA LA TOMA DE DECISIONES EN EL DISTRITO DE CARTAGENA DE INDIAS</t>
  </si>
  <si>
    <t>AVANCE PROYECTO ACTUALIZACIÓN DE LA METODOLOGIA SISBEN IV EN CARTAGENA DE INDIAS</t>
  </si>
  <si>
    <t>ACTUALIZACIÓN DE LA ESTRATIFICACIÓN SOCIOECONÓMICA DEL DISTRITO DE CARTAGENA DE INDIAS</t>
  </si>
  <si>
    <t>AVANCE PROYECTO ACTUALIZACIÓN DE LA ESTRATIFICACIÓN SOCIOECONÓMICA DEL DISTRITO DE CARTAGENA DE INDIAS</t>
  </si>
  <si>
    <t>AVANCE EJECUCION PRESUPUESTAL PROYECTO ACTUALIZACIÓN DE LA ESTRATIFICACIÓN SOCIOECONÓMICA DEL DISTRITO DE CARTAGENA DE INDIAS</t>
  </si>
  <si>
    <t>AVANCE EJECUCION PRESUPUESTAL PROYECTO ACTUALIZACIÓN DE LA METODOLOGIA SISBEN IV EN CARTAGENA DE INDIAS</t>
  </si>
  <si>
    <t>AVANCE PROYECTO FORTALECIMIENTO DEL BANCO DE PROGRAMAS Y PROYECTOS DEL DISTRITO DE CARTAGENA DE INDIAS</t>
  </si>
  <si>
    <t>AVANCE EJECUCION PRESUPUESTAL PROYECTO FORTALECIMIENTO DEL BANCO DE PROGRAMAS Y PROYECTOS DEL DISTRITO DE CARTAGENA DE INDIAS</t>
  </si>
  <si>
    <t>AVANCE PROYECTO MODERNIZACIÓN DEL SISTEMA DISTRITAL DE PLANEACIÓN PARA UNA INVERSIÓN PÚBLICA EFICIENTE Y TRANSPARENTE EN CARTAGENA DE INDIAS</t>
  </si>
  <si>
    <t>AVANCE EJECUCION PRESUPUESTAL PROYECTO MODERNIZACIÓN DEL SISTEMA DISTRITAL DE PLANEACIÓN PARA UNA INVERSIÓN PÚBLICA EFICIENTE Y TRANSPARENTE EN CARTAGENA DE INDIAS</t>
  </si>
  <si>
    <t>AVANCE PROYECTO FORTALECIMIENTO DE LA FORMULACIÓN, IMPLEMENTACIÓN Y SEGUIMIENTO A LAS POLÍTICAS PÚBLICAS INTERSECTORIALES Y CON VISIÓN INTEGRAL EN EL DISTRITO DE CARTAGENA DE INDIAS</t>
  </si>
  <si>
    <t>AVANCE EJECUCION PRESUPUESTAL PROYECTO FORTALECIMIENTO DE LA FORMULACIÓN, IMPLEMENTACIÓN Y SEGUIMIENTO A LAS POLÍTICAS PÚBLICAS INTERSECTORIALES Y CON VISIÓN INTEGRAL EN EL DISTRITO DE CARTAGENA DE INDIAS</t>
  </si>
  <si>
    <t>AVANCE PROYECTO FORTALECIMIENTO AL CONSEJO TERRITORIAL DE PLANEACIÓN CONSEJO CONSULTIVO DE ORDENAMIENTO TERRITORIAL Y EL CONSEJO DE PARTICIPACIÓN CIUDADANA EN EL DISTRITO CARTAGENA DE INDIAS</t>
  </si>
  <si>
    <t>AVANCE EJECUCION PRESUPUESTAL PROYECTO FORTALECIMIENTO AL CONSEJO TERRITORIAL DE PLANEACIÓN CONSEJO CONSULTIVO DE ORDENAMIENTO TERRITORIAL Y EL CONSEJO DE PARTICIPACIÓN CIUDADANA EN EL DISTRITO CARTAGENA DE INDIAS</t>
  </si>
  <si>
    <t>AVANCE PROYECTO IMPLEMENTACIÓN DE LA GESTIÓN CATASTRAL CON ENFOQUE MULTIPROPÓSITO EN DISTRITO CARTAGENA DE INDIAS</t>
  </si>
  <si>
    <t>AVANCE EJECUCION PRESUPUESTAL PROYECTO IMPLEMENTACIÓN DE LA GESTIÓN CATASTRAL CON ENFOQUE MULTIPROPÓSITO EN DISTRITO CARTAGENA DE INDIAS</t>
  </si>
  <si>
    <t>AVANCE EJECUCIÓN DE PROYECTOS DE LA SECRETARÍA DE PLANEACIÓN DISTRITAL A MARZO 31 DE 2026</t>
  </si>
  <si>
    <t>AVANCE PROYECTO INVESTIGACIONES PARA LA TRANSFORMACIÓN PRODUCTIVA EN EL DISTRITO DE CARTAGENA DE INDIAS</t>
  </si>
  <si>
    <t>AVANCE PROYECTO CONSOLIDACIÓN Y PROMOCIÓN DE LOS ESQUEMAS ASOCIATIVOS TERRITORIALES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</si>
</sst>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 #,##0;[Red]\-&quot;$&quot;\ #,##0"/>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quot;$&quot;\ #,##0.00"/>
    <numFmt numFmtId="165" formatCode="0.0"/>
    <numFmt numFmtId="166" formatCode="0.000"/>
    <numFmt numFmtId="167" formatCode="0.0%"/>
    <numFmt numFmtId="168" formatCode="0.0000"/>
    <numFmt numFmtId="169" formatCode="&quot;$&quot;\ #,##0"/>
    <numFmt numFmtId="170" formatCode="&quot;$&quot;#,##0.00_);[Red]\(&quot;$&quot;#,##0.00\)"/>
    <numFmt numFmtId="171" formatCode="&quot;$&quot;\ #,##0.00;[Red]&quot;$&quot;\ #,##0.00"/>
    <numFmt numFmtId="172" formatCode="0.00000"/>
    <numFmt numFmtId="173" formatCode="&quot;$&quot;#,##0_);[Red]\(&quot;$&quot;#,##0\)"/>
    <numFmt numFmtId="174" formatCode="&quot;$&quot;#,##0.00"/>
    <numFmt numFmtId="175" formatCode="0.000%"/>
  </numFmts>
  <fonts count="57">
    <font>
      <sz val="11"/>
      <color theme="1"/>
      <name val="Aptos Narrow"/>
      <family val="2"/>
      <scheme val="minor"/>
    </font>
    <font>
      <sz val="11"/>
      <color theme="1"/>
      <name val="Aptos Narrow"/>
      <family val="2"/>
      <scheme val="minor"/>
    </font>
    <font>
      <sz val="10"/>
      <name val="Arial"/>
      <family val="2"/>
    </font>
    <font>
      <b/>
      <sz val="12"/>
      <color theme="1"/>
      <name val="Arial"/>
      <family val="2"/>
    </font>
    <font>
      <b/>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sz val="8"/>
      <name val="Aptos Narrow"/>
      <family val="2"/>
      <scheme val="minor"/>
    </font>
    <font>
      <sz val="12"/>
      <color theme="1"/>
      <name val="Arial"/>
      <family val="2"/>
    </font>
    <font>
      <sz val="12"/>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2"/>
      <color theme="1"/>
      <name val="Aptos Narrow"/>
      <family val="2"/>
      <scheme val="minor"/>
    </font>
    <font>
      <b/>
      <sz val="12"/>
      <name val="Arial"/>
      <family val="2"/>
    </font>
    <font>
      <b/>
      <sz val="24"/>
      <color theme="1"/>
      <name val="Arial Narrow"/>
      <family val="2"/>
    </font>
    <font>
      <b/>
      <sz val="24"/>
      <name val="Arial Narrow"/>
      <family val="2"/>
    </font>
    <font>
      <sz val="24"/>
      <color theme="1"/>
      <name val="Arial Narrow"/>
      <family val="2"/>
    </font>
    <font>
      <sz val="36"/>
      <name val="Arial Narrow"/>
      <family val="2"/>
    </font>
    <font>
      <b/>
      <sz val="36"/>
      <name val="Arial Narrow"/>
      <family val="2"/>
    </font>
    <font>
      <b/>
      <sz val="36"/>
      <name val="Aptos"/>
      <family val="2"/>
    </font>
    <font>
      <b/>
      <sz val="36"/>
      <color rgb="FFFF0000"/>
      <name val="Aptos"/>
      <family val="2"/>
    </font>
    <font>
      <sz val="11"/>
      <color theme="1"/>
      <name val="Arial Narrow"/>
      <family val="2"/>
    </font>
    <font>
      <sz val="11"/>
      <name val="Aptos Narrow"/>
      <family val="2"/>
    </font>
    <font>
      <sz val="11"/>
      <color theme="1"/>
      <name val="Aptos Narrow"/>
      <family val="2"/>
    </font>
    <font>
      <b/>
      <sz val="20"/>
      <color theme="1"/>
      <name val="Aptos Narrow"/>
      <family val="2"/>
    </font>
    <font>
      <b/>
      <sz val="11"/>
      <color theme="1"/>
      <name val="Aptos Narrow"/>
      <family val="2"/>
    </font>
    <font>
      <sz val="11"/>
      <color theme="1"/>
      <name val="Arial"/>
      <family val="2"/>
    </font>
    <font>
      <sz val="11"/>
      <color rgb="FF000000"/>
      <name val="Arial"/>
      <family val="2"/>
    </font>
    <font>
      <sz val="9"/>
      <color theme="1"/>
      <name val="Arial"/>
      <family val="2"/>
    </font>
    <font>
      <sz val="9"/>
      <color theme="1"/>
      <name val="&quot;Arial Narrow&quot;"/>
    </font>
    <font>
      <sz val="8"/>
      <color rgb="FF000000"/>
      <name val="Arial"/>
      <family val="2"/>
    </font>
    <font>
      <sz val="9"/>
      <color rgb="FF000000"/>
      <name val="Arial"/>
      <family val="2"/>
    </font>
    <font>
      <b/>
      <sz val="14"/>
      <name val="Arial"/>
      <family val="2"/>
    </font>
    <font>
      <b/>
      <sz val="14"/>
      <color theme="1"/>
      <name val="Arial"/>
      <family val="2"/>
    </font>
    <font>
      <b/>
      <sz val="14"/>
      <color theme="1" tint="4.9989318521683403E-2"/>
      <name val="Arial"/>
      <family val="2"/>
    </font>
    <font>
      <b/>
      <sz val="24"/>
      <color indexed="81"/>
      <name val="Tahoma"/>
      <family val="2"/>
    </font>
    <font>
      <sz val="24"/>
      <color indexed="81"/>
      <name val="Tahoma"/>
      <family val="2"/>
    </font>
    <font>
      <sz val="36"/>
      <color rgb="FFFF0000"/>
      <name val="Arial Narrow"/>
      <family val="2"/>
    </font>
    <font>
      <sz val="12"/>
      <color rgb="FFFF0000"/>
      <name val="Aptos Narrow"/>
      <family val="2"/>
      <scheme val="minor"/>
    </font>
    <font>
      <b/>
      <sz val="36"/>
      <color rgb="FFFF0000"/>
      <name val="Arial Narrow"/>
      <family val="2"/>
    </font>
    <font>
      <b/>
      <sz val="12"/>
      <name val="Aptos Narrow"/>
      <family val="2"/>
      <scheme val="minor"/>
    </font>
    <font>
      <sz val="14"/>
      <color theme="1"/>
      <name val="Arial"/>
      <family val="2"/>
    </font>
    <font>
      <sz val="14"/>
      <name val="Arial"/>
      <family val="2"/>
    </font>
    <font>
      <sz val="14"/>
      <color rgb="FFFF0000"/>
      <name val="Arial"/>
      <family val="2"/>
    </font>
    <font>
      <b/>
      <sz val="14"/>
      <color rgb="FFFF0000"/>
      <name val="Arial"/>
      <family val="2"/>
    </font>
    <font>
      <b/>
      <sz val="16"/>
      <color rgb="FFFF0000"/>
      <name val="Arial"/>
      <family val="2"/>
    </font>
    <font>
      <sz val="16"/>
      <color theme="1"/>
      <name val="Arial"/>
      <family val="2"/>
    </font>
    <font>
      <sz val="16"/>
      <name val="Arial"/>
      <family val="2"/>
    </font>
    <font>
      <b/>
      <sz val="16"/>
      <name val="Arial"/>
      <family val="2"/>
    </font>
    <font>
      <sz val="16"/>
      <color rgb="FFFF0000"/>
      <name val="Arial"/>
      <family val="2"/>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0" tint="-0.14999847407452621"/>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s>
  <cellStyleXfs count="13">
    <xf numFmtId="0" fontId="0" fillId="0" borderId="0"/>
    <xf numFmtId="0" fontId="2" fillId="0" borderId="0"/>
    <xf numFmtId="44" fontId="1" fillId="0" borderId="0" applyFont="0" applyFill="0" applyBorder="0" applyAlignment="0" applyProtection="0"/>
    <xf numFmtId="43" fontId="1" fillId="0" borderId="0" applyFont="0" applyFill="0" applyBorder="0" applyAlignment="0" applyProtection="0"/>
    <xf numFmtId="0" fontId="8" fillId="6" borderId="0" applyNumberFormat="0" applyBorder="0" applyProtection="0">
      <alignment horizontal="center" vertical="center"/>
    </xf>
    <xf numFmtId="49" fontId="9" fillId="0" borderId="0" applyFill="0" applyBorder="0" applyProtection="0">
      <alignment horizontal="left" vertical="center"/>
    </xf>
    <xf numFmtId="3" fontId="9" fillId="0" borderId="0" applyFill="0" applyBorder="0" applyProtection="0">
      <alignment horizontal="righ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378">
    <xf numFmtId="0" fontId="0" fillId="0" borderId="0" xfId="0"/>
    <xf numFmtId="0" fontId="0" fillId="0" borderId="0" xfId="0" applyAlignment="1">
      <alignment vertical="center"/>
    </xf>
    <xf numFmtId="0" fontId="8" fillId="6" borderId="1" xfId="4" applyBorder="1" applyProtection="1">
      <alignment horizontal="center" vertical="center"/>
    </xf>
    <xf numFmtId="3" fontId="9" fillId="0" borderId="1" xfId="6" applyBorder="1" applyAlignment="1" applyProtection="1">
      <alignment horizontal="center" vertical="center"/>
    </xf>
    <xf numFmtId="49" fontId="9" fillId="0" borderId="1" xfId="5" applyBorder="1" applyProtection="1">
      <alignment horizontal="left" vertical="center"/>
    </xf>
    <xf numFmtId="0" fontId="11" fillId="0" borderId="0" xfId="0" applyFont="1" applyAlignment="1">
      <alignment horizontal="left"/>
    </xf>
    <xf numFmtId="0" fontId="11" fillId="0" borderId="0" xfId="0" applyFont="1" applyAlignment="1">
      <alignment horizontal="left" vertical="center" wrapText="1"/>
    </xf>
    <xf numFmtId="0" fontId="12" fillId="0" borderId="0" xfId="0" applyFont="1" applyAlignment="1">
      <alignment horizontal="left" vertical="center" wrapText="1"/>
    </xf>
    <xf numFmtId="0" fontId="7" fillId="0" borderId="0" xfId="0" applyFont="1" applyAlignment="1">
      <alignment horizontal="left" vertical="center" wrapText="1"/>
    </xf>
    <xf numFmtId="0" fontId="11" fillId="4" borderId="1" xfId="0" applyFont="1" applyFill="1" applyBorder="1" applyAlignment="1">
      <alignment horizontal="left" vertical="center" wrapText="1"/>
    </xf>
    <xf numFmtId="0" fontId="11" fillId="4" borderId="1" xfId="0" applyFont="1" applyFill="1" applyBorder="1" applyAlignment="1">
      <alignment horizontal="left" vertical="center"/>
    </xf>
    <xf numFmtId="0" fontId="12" fillId="4"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11" fillId="0" borderId="0" xfId="0" applyFont="1" applyAlignment="1">
      <alignment horizontal="left"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49" fontId="9" fillId="0" borderId="1" xfId="5" applyBorder="1" applyAlignment="1" applyProtection="1">
      <alignment vertical="center" wrapText="1"/>
    </xf>
    <xf numFmtId="0" fontId="8" fillId="6" borderId="1" xfId="4" applyBorder="1" applyAlignment="1" applyProtection="1">
      <alignment vertical="center"/>
    </xf>
    <xf numFmtId="0" fontId="15" fillId="2" borderId="1" xfId="1" applyFont="1" applyFill="1" applyBorder="1" applyAlignment="1">
      <alignment horizontal="left" vertical="center"/>
    </xf>
    <xf numFmtId="0" fontId="16" fillId="5" borderId="9" xfId="1" applyFont="1" applyFill="1" applyBorder="1" applyAlignment="1">
      <alignment horizontal="center" vertical="center"/>
    </xf>
    <xf numFmtId="0" fontId="16" fillId="5" borderId="1" xfId="1" applyFont="1" applyFill="1" applyBorder="1" applyAlignment="1">
      <alignment horizontal="center" vertical="center"/>
    </xf>
    <xf numFmtId="0" fontId="16" fillId="5" borderId="10" xfId="1" applyFont="1" applyFill="1" applyBorder="1" applyAlignment="1">
      <alignment horizontal="center" vertical="center"/>
    </xf>
    <xf numFmtId="14" fontId="17" fillId="0" borderId="1" xfId="0" applyNumberFormat="1" applyFont="1" applyBorder="1" applyAlignment="1">
      <alignment horizontal="center" vertical="center"/>
    </xf>
    <xf numFmtId="0" fontId="18" fillId="0" borderId="1" xfId="1" applyFont="1" applyBorder="1" applyAlignment="1">
      <alignment horizontal="center" vertical="center"/>
    </xf>
    <xf numFmtId="14" fontId="18" fillId="0" borderId="1" xfId="1" applyNumberFormat="1" applyFont="1" applyBorder="1" applyAlignment="1">
      <alignment horizontal="center" vertical="center"/>
    </xf>
    <xf numFmtId="0" fontId="18" fillId="0" borderId="1" xfId="1" applyFont="1" applyBorder="1" applyAlignment="1">
      <alignment horizontal="center" wrapText="1"/>
    </xf>
    <xf numFmtId="0" fontId="18" fillId="0" borderId="1" xfId="1" applyFont="1" applyBorder="1"/>
    <xf numFmtId="0" fontId="16" fillId="5" borderId="1" xfId="1" applyFont="1" applyFill="1" applyBorder="1" applyAlignment="1">
      <alignment vertical="center"/>
    </xf>
    <xf numFmtId="0" fontId="4" fillId="0" borderId="1" xfId="0" applyFont="1" applyBorder="1" applyAlignment="1">
      <alignment horizontal="center" vertical="center" wrapText="1"/>
    </xf>
    <xf numFmtId="167" fontId="24" fillId="0" borderId="1" xfId="7" applyNumberFormat="1" applyFont="1" applyFill="1" applyBorder="1" applyAlignment="1">
      <alignment horizontal="center" vertical="center" wrapText="1"/>
    </xf>
    <xf numFmtId="168" fontId="24" fillId="0" borderId="1" xfId="7" applyNumberFormat="1" applyFont="1" applyFill="1" applyBorder="1" applyAlignment="1">
      <alignment horizontal="center" vertical="center"/>
    </xf>
    <xf numFmtId="166" fontId="24" fillId="0" borderId="1" xfId="7" applyNumberFormat="1" applyFont="1" applyFill="1" applyBorder="1" applyAlignment="1">
      <alignment horizontal="center" vertical="center"/>
    </xf>
    <xf numFmtId="0" fontId="30" fillId="0" borderId="1" xfId="0" applyFont="1" applyBorder="1"/>
    <xf numFmtId="0" fontId="0" fillId="0" borderId="1" xfId="0" applyBorder="1"/>
    <xf numFmtId="0" fontId="30" fillId="0" borderId="1" xfId="0" applyFont="1" applyBorder="1" applyAlignment="1">
      <alignment horizontal="center"/>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1" fillId="0" borderId="1" xfId="0" applyFont="1" applyBorder="1"/>
    <xf numFmtId="0" fontId="33" fillId="0" borderId="1" xfId="0" applyFont="1" applyBorder="1" applyAlignment="1">
      <alignment horizontal="center" vertical="center"/>
    </xf>
    <xf numFmtId="0" fontId="1"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0" fillId="0" borderId="1" xfId="0" applyBorder="1" applyAlignment="1">
      <alignment horizontal="center" vertical="center"/>
    </xf>
    <xf numFmtId="0" fontId="33" fillId="0" borderId="1" xfId="0" applyFont="1" applyBorder="1" applyAlignment="1">
      <alignment vertical="center" wrapText="1"/>
    </xf>
    <xf numFmtId="0" fontId="38" fillId="0" borderId="1" xfId="0" applyFont="1" applyBorder="1" applyAlignment="1">
      <alignment horizontal="center" vertical="center" wrapText="1"/>
    </xf>
    <xf numFmtId="0" fontId="0" fillId="0" borderId="1" xfId="0" applyBorder="1" applyAlignment="1">
      <alignment vertic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49" fontId="24" fillId="0" borderId="1" xfId="0" applyNumberFormat="1" applyFont="1" applyBorder="1" applyAlignment="1">
      <alignment horizontal="center" vertical="center" wrapText="1"/>
    </xf>
    <xf numFmtId="9" fontId="24" fillId="0" borderId="1" xfId="0" applyNumberFormat="1" applyFont="1" applyBorder="1" applyAlignment="1">
      <alignment horizontal="center" vertical="center" wrapText="1"/>
    </xf>
    <xf numFmtId="10" fontId="46" fillId="0" borderId="1" xfId="7" applyNumberFormat="1" applyFont="1" applyFill="1" applyBorder="1" applyAlignment="1">
      <alignment horizontal="center" vertical="center"/>
    </xf>
    <xf numFmtId="0" fontId="24" fillId="0" borderId="0" xfId="0" applyFont="1"/>
    <xf numFmtId="10" fontId="24" fillId="0" borderId="1" xfId="0" applyNumberFormat="1" applyFont="1" applyBorder="1" applyAlignment="1">
      <alignment horizontal="center" vertical="center" wrapText="1"/>
    </xf>
    <xf numFmtId="0" fontId="24" fillId="0" borderId="0" xfId="0" applyFont="1" applyAlignment="1">
      <alignment vertical="center"/>
    </xf>
    <xf numFmtId="10" fontId="44" fillId="0" borderId="1" xfId="7" applyNumberFormat="1" applyFont="1" applyFill="1" applyBorder="1" applyAlignment="1">
      <alignment horizontal="center" vertical="center"/>
    </xf>
    <xf numFmtId="165" fontId="24" fillId="0" borderId="1" xfId="0" applyNumberFormat="1" applyFont="1" applyBorder="1" applyAlignment="1">
      <alignment horizontal="center" vertical="center"/>
    </xf>
    <xf numFmtId="0" fontId="24" fillId="0" borderId="1" xfId="0" applyFont="1" applyBorder="1" applyAlignment="1">
      <alignment horizontal="center" vertical="center"/>
    </xf>
    <xf numFmtId="0" fontId="25" fillId="0" borderId="1" xfId="0" applyFont="1" applyBorder="1" applyAlignment="1">
      <alignment horizontal="center" vertical="center"/>
    </xf>
    <xf numFmtId="0" fontId="24" fillId="0" borderId="1" xfId="0" applyFont="1" applyBorder="1"/>
    <xf numFmtId="166" fontId="25" fillId="0" borderId="1" xfId="0" applyNumberFormat="1" applyFont="1" applyBorder="1" applyAlignment="1">
      <alignment horizontal="center" vertical="center" wrapText="1"/>
    </xf>
    <xf numFmtId="0" fontId="24" fillId="0" borderId="1" xfId="0" applyFont="1" applyBorder="1" applyAlignment="1">
      <alignment horizontal="center" wrapText="1"/>
    </xf>
    <xf numFmtId="0" fontId="28" fillId="0" borderId="0" xfId="0" applyFont="1"/>
    <xf numFmtId="0" fontId="19" fillId="0" borderId="0" xfId="0" applyFont="1"/>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10" fontId="22" fillId="0" borderId="1" xfId="7" applyNumberFormat="1" applyFont="1" applyFill="1" applyBorder="1" applyAlignment="1">
      <alignment horizontal="center" vertical="center" wrapText="1"/>
    </xf>
    <xf numFmtId="0" fontId="23" fillId="0" borderId="0" xfId="0" applyFont="1"/>
    <xf numFmtId="2" fontId="24" fillId="0" borderId="1" xfId="0" applyNumberFormat="1" applyFont="1" applyBorder="1" applyAlignment="1">
      <alignment horizontal="center" vertical="center"/>
    </xf>
    <xf numFmtId="1" fontId="25" fillId="0" borderId="1" xfId="0" applyNumberFormat="1" applyFont="1" applyBorder="1" applyAlignment="1">
      <alignment horizontal="center" vertical="center" wrapText="1"/>
    </xf>
    <xf numFmtId="0" fontId="24" fillId="0" borderId="1" xfId="0" applyFont="1" applyBorder="1" applyAlignment="1">
      <alignment vertical="center"/>
    </xf>
    <xf numFmtId="166" fontId="25" fillId="0" borderId="1" xfId="0" applyNumberFormat="1" applyFont="1" applyBorder="1" applyAlignment="1">
      <alignment horizontal="center" vertical="center"/>
    </xf>
    <xf numFmtId="166" fontId="24" fillId="0" borderId="1" xfId="0" applyNumberFormat="1" applyFont="1" applyBorder="1" applyAlignment="1">
      <alignment horizontal="center" vertical="center"/>
    </xf>
    <xf numFmtId="0" fontId="24" fillId="0" borderId="1" xfId="0" applyFont="1" applyBorder="1" applyAlignment="1">
      <alignment vertical="center" wrapText="1"/>
    </xf>
    <xf numFmtId="1" fontId="24" fillId="0" borderId="1" xfId="0" applyNumberFormat="1" applyFont="1" applyBorder="1" applyAlignment="1">
      <alignment horizontal="center" vertical="center"/>
    </xf>
    <xf numFmtId="168" fontId="25" fillId="0" borderId="1" xfId="0" applyNumberFormat="1" applyFont="1" applyBorder="1" applyAlignment="1">
      <alignment horizontal="center" vertical="center" wrapText="1"/>
    </xf>
    <xf numFmtId="172" fontId="24" fillId="0" borderId="1" xfId="0" applyNumberFormat="1" applyFont="1" applyBorder="1" applyAlignment="1">
      <alignment horizontal="center" vertical="center"/>
    </xf>
    <xf numFmtId="165" fontId="25" fillId="0" borderId="1" xfId="0" applyNumberFormat="1" applyFont="1" applyBorder="1" applyAlignment="1">
      <alignment horizontal="center" vertical="center" wrapText="1"/>
    </xf>
    <xf numFmtId="2" fontId="25" fillId="0" borderId="1" xfId="0" applyNumberFormat="1" applyFont="1" applyBorder="1" applyAlignment="1">
      <alignment horizontal="center" vertical="center"/>
    </xf>
    <xf numFmtId="2" fontId="25" fillId="0" borderId="1" xfId="0" applyNumberFormat="1" applyFont="1" applyBorder="1" applyAlignment="1">
      <alignment horizontal="center" vertical="center" wrapText="1"/>
    </xf>
    <xf numFmtId="0" fontId="24" fillId="0" borderId="0" xfId="0" applyFont="1" applyAlignment="1">
      <alignment horizontal="center" vertical="center"/>
    </xf>
    <xf numFmtId="0" fontId="19" fillId="0" borderId="0" xfId="0" applyFont="1" applyAlignment="1">
      <alignment horizontal="center"/>
    </xf>
    <xf numFmtId="0" fontId="19" fillId="0" borderId="0" xfId="0" applyFont="1" applyAlignment="1">
      <alignment horizontal="center" vertical="center"/>
    </xf>
    <xf numFmtId="10" fontId="45" fillId="0" borderId="0" xfId="7" applyNumberFormat="1" applyFont="1" applyFill="1"/>
    <xf numFmtId="0" fontId="24" fillId="7" borderId="1" xfId="0" applyFont="1" applyFill="1" applyBorder="1" applyAlignment="1">
      <alignment horizontal="center" vertical="center" wrapText="1"/>
    </xf>
    <xf numFmtId="0" fontId="24" fillId="7" borderId="1" xfId="0" applyFont="1" applyFill="1" applyBorder="1" applyAlignment="1">
      <alignment horizontal="center" wrapText="1"/>
    </xf>
    <xf numFmtId="0" fontId="25" fillId="7" borderId="1" xfId="0" applyFont="1" applyFill="1" applyBorder="1" applyAlignment="1">
      <alignment horizontal="center" vertical="center" wrapText="1"/>
    </xf>
    <xf numFmtId="49" fontId="24" fillId="7" borderId="1" xfId="0" applyNumberFormat="1" applyFont="1" applyFill="1" applyBorder="1" applyAlignment="1">
      <alignment horizontal="center" vertical="center" wrapText="1"/>
    </xf>
    <xf numFmtId="9" fontId="24" fillId="7" borderId="1" xfId="0" applyNumberFormat="1" applyFont="1" applyFill="1" applyBorder="1" applyAlignment="1">
      <alignment horizontal="center" vertical="center" wrapText="1"/>
    </xf>
    <xf numFmtId="10" fontId="46" fillId="7" borderId="1" xfId="7" applyNumberFormat="1" applyFont="1" applyFill="1" applyBorder="1" applyAlignment="1">
      <alignment horizontal="center" vertical="center"/>
    </xf>
    <xf numFmtId="10" fontId="24" fillId="7" borderId="1" xfId="0" applyNumberFormat="1" applyFont="1" applyFill="1" applyBorder="1" applyAlignment="1">
      <alignment horizontal="center" vertical="center" wrapText="1"/>
    </xf>
    <xf numFmtId="167" fontId="24" fillId="7" borderId="1" xfId="7" applyNumberFormat="1" applyFont="1" applyFill="1" applyBorder="1" applyAlignment="1">
      <alignment horizontal="center" vertical="center" wrapText="1"/>
    </xf>
    <xf numFmtId="10" fontId="20" fillId="0" borderId="1" xfId="7" applyNumberFormat="1" applyFont="1" applyFill="1" applyBorder="1" applyAlignment="1">
      <alignment horizontal="left" vertical="center"/>
    </xf>
    <xf numFmtId="10" fontId="47" fillId="0" borderId="3" xfId="7" applyNumberFormat="1" applyFont="1" applyFill="1" applyBorder="1"/>
    <xf numFmtId="9" fontId="48" fillId="0" borderId="1" xfId="11" applyFont="1" applyFill="1" applyBorder="1" applyAlignment="1">
      <alignment horizontal="center" vertical="center" wrapText="1"/>
    </xf>
    <xf numFmtId="169" fontId="49" fillId="0" borderId="1" xfId="12" applyNumberFormat="1" applyFont="1" applyFill="1" applyBorder="1" applyAlignment="1">
      <alignment horizontal="center" vertical="center" wrapText="1"/>
    </xf>
    <xf numFmtId="9" fontId="50" fillId="0" borderId="1" xfId="11" applyFont="1" applyFill="1" applyBorder="1" applyAlignment="1">
      <alignment horizontal="center" vertical="center" wrapText="1"/>
    </xf>
    <xf numFmtId="44" fontId="48" fillId="0" borderId="1" xfId="12" applyFont="1" applyFill="1" applyBorder="1" applyAlignment="1">
      <alignment horizontal="center" vertical="center" wrapText="1"/>
    </xf>
    <xf numFmtId="44" fontId="48" fillId="0" borderId="1" xfId="8" applyFont="1" applyFill="1" applyBorder="1" applyAlignment="1">
      <alignment horizontal="center" vertical="center" wrapText="1"/>
    </xf>
    <xf numFmtId="9" fontId="49" fillId="0" borderId="1" xfId="11" applyFont="1" applyFill="1" applyBorder="1" applyAlignment="1">
      <alignment horizontal="center" vertical="center" wrapText="1"/>
    </xf>
    <xf numFmtId="44" fontId="49" fillId="0" borderId="1" xfId="8" applyFont="1" applyFill="1" applyBorder="1" applyAlignment="1">
      <alignment horizontal="center" vertical="center" wrapText="1"/>
    </xf>
    <xf numFmtId="44" fontId="48" fillId="0" borderId="1" xfId="8" applyFont="1" applyFill="1" applyBorder="1" applyAlignment="1">
      <alignment vertical="center" wrapText="1"/>
    </xf>
    <xf numFmtId="44" fontId="48" fillId="0" borderId="1" xfId="12" applyFont="1" applyFill="1" applyBorder="1" applyAlignment="1">
      <alignment horizontal="center" vertical="center"/>
    </xf>
    <xf numFmtId="44" fontId="50" fillId="0" borderId="1" xfId="12" applyFont="1" applyFill="1" applyBorder="1" applyAlignment="1">
      <alignment horizontal="center" vertical="center" wrapText="1"/>
    </xf>
    <xf numFmtId="44" fontId="53" fillId="0" borderId="1" xfId="8" applyFont="1" applyFill="1" applyBorder="1" applyAlignment="1">
      <alignment horizontal="center" vertical="center" wrapText="1"/>
    </xf>
    <xf numFmtId="44" fontId="50" fillId="0" borderId="1" xfId="8" applyFont="1" applyFill="1" applyBorder="1" applyAlignment="1">
      <alignment horizontal="center" vertical="center"/>
    </xf>
    <xf numFmtId="44" fontId="48" fillId="0" borderId="1" xfId="8" applyFont="1" applyFill="1" applyBorder="1" applyAlignment="1">
      <alignment horizontal="center" vertical="center"/>
    </xf>
    <xf numFmtId="0" fontId="40" fillId="0" borderId="1" xfId="0" applyFont="1" applyBorder="1" applyAlignment="1">
      <alignment horizontal="center" vertical="center" wrapText="1"/>
    </xf>
    <xf numFmtId="0" fontId="40" fillId="0" borderId="1" xfId="1" applyFont="1" applyBorder="1" applyAlignment="1">
      <alignment horizontal="left" vertical="center"/>
    </xf>
    <xf numFmtId="0" fontId="40" fillId="0" borderId="0" xfId="1" applyFont="1" applyAlignment="1">
      <alignment horizontal="center" vertical="center"/>
    </xf>
    <xf numFmtId="0" fontId="48" fillId="0" borderId="0" xfId="0" applyFont="1" applyAlignment="1">
      <alignment horizontal="center" vertical="center"/>
    </xf>
    <xf numFmtId="0" fontId="40" fillId="0" borderId="1" xfId="1" applyFont="1" applyBorder="1" applyAlignment="1">
      <alignment vertical="center"/>
    </xf>
    <xf numFmtId="0" fontId="40" fillId="0" borderId="0" xfId="0" applyFont="1" applyAlignment="1">
      <alignment horizontal="center" vertical="center" wrapText="1"/>
    </xf>
    <xf numFmtId="0" fontId="40" fillId="0" borderId="0" xfId="0" applyFont="1" applyAlignment="1">
      <alignment horizontal="center" vertical="center"/>
    </xf>
    <xf numFmtId="0" fontId="39" fillId="0" borderId="1" xfId="0" applyFont="1" applyBorder="1" applyAlignment="1">
      <alignment horizontal="center" vertical="center" wrapText="1"/>
    </xf>
    <xf numFmtId="0" fontId="41" fillId="0" borderId="1" xfId="0" applyFont="1" applyBorder="1" applyAlignment="1">
      <alignment horizontal="center" vertical="center" wrapText="1"/>
    </xf>
    <xf numFmtId="164" fontId="40" fillId="0" borderId="1" xfId="0" applyNumberFormat="1" applyFont="1" applyBorder="1" applyAlignment="1">
      <alignment horizontal="center" vertical="center" wrapText="1"/>
    </xf>
    <xf numFmtId="0" fontId="49" fillId="0" borderId="1" xfId="10" applyFont="1" applyBorder="1" applyAlignment="1">
      <alignment horizontal="center" vertical="center"/>
    </xf>
    <xf numFmtId="0" fontId="49" fillId="0" borderId="1" xfId="10" applyFont="1" applyBorder="1"/>
    <xf numFmtId="10" fontId="49" fillId="0" borderId="1" xfId="7" applyNumberFormat="1" applyFont="1" applyFill="1" applyBorder="1" applyAlignment="1">
      <alignment horizontal="center" vertical="center"/>
    </xf>
    <xf numFmtId="17" fontId="49" fillId="0" borderId="1" xfId="0" applyNumberFormat="1" applyFont="1" applyBorder="1" applyAlignment="1">
      <alignment horizontal="center" vertical="center" wrapText="1"/>
    </xf>
    <xf numFmtId="0" fontId="48" fillId="0" borderId="1" xfId="10" applyFont="1" applyBorder="1" applyAlignment="1">
      <alignment horizontal="center" vertical="center" wrapText="1"/>
    </xf>
    <xf numFmtId="0" fontId="49" fillId="0" borderId="0" xfId="10" applyFont="1"/>
    <xf numFmtId="1" fontId="48" fillId="0" borderId="1" xfId="10" applyNumberFormat="1" applyFont="1" applyBorder="1" applyAlignment="1">
      <alignment horizontal="center" vertical="center" wrapText="1"/>
    </xf>
    <xf numFmtId="166" fontId="48" fillId="0" borderId="1" xfId="10" applyNumberFormat="1" applyFont="1" applyBorder="1" applyAlignment="1">
      <alignment horizontal="center" vertical="center" wrapText="1"/>
    </xf>
    <xf numFmtId="0" fontId="49" fillId="0" borderId="1" xfId="0" applyFont="1" applyBorder="1" applyAlignment="1">
      <alignment horizontal="center" vertical="center" wrapText="1"/>
    </xf>
    <xf numFmtId="0" fontId="40" fillId="0" borderId="1" xfId="10" applyFont="1" applyBorder="1" applyAlignment="1">
      <alignment horizontal="center" vertical="center" wrapText="1"/>
    </xf>
    <xf numFmtId="10" fontId="51" fillId="0" borderId="1" xfId="7" applyNumberFormat="1" applyFont="1" applyFill="1" applyBorder="1" applyAlignment="1">
      <alignment horizontal="center" vertical="center"/>
    </xf>
    <xf numFmtId="44" fontId="52" fillId="0" borderId="1" xfId="10" applyNumberFormat="1" applyFont="1" applyBorder="1" applyAlignment="1">
      <alignment horizontal="center" vertical="center"/>
    </xf>
    <xf numFmtId="10" fontId="52" fillId="0" borderId="1" xfId="10" applyNumberFormat="1" applyFont="1" applyBorder="1" applyAlignment="1">
      <alignment horizontal="center" vertical="center"/>
    </xf>
    <xf numFmtId="0" fontId="49" fillId="0" borderId="1" xfId="10" applyFont="1" applyBorder="1" applyAlignment="1">
      <alignment horizontal="center" vertical="center" wrapText="1"/>
    </xf>
    <xf numFmtId="1" fontId="49" fillId="0" borderId="1" xfId="10" applyNumberFormat="1" applyFont="1" applyBorder="1" applyAlignment="1">
      <alignment horizontal="center" vertical="center" wrapText="1"/>
    </xf>
    <xf numFmtId="6" fontId="49" fillId="0" borderId="1" xfId="10" applyNumberFormat="1" applyFont="1" applyBorder="1" applyAlignment="1">
      <alignment horizontal="center" vertical="center" wrapText="1"/>
    </xf>
    <xf numFmtId="0" fontId="49" fillId="0" borderId="1" xfId="10" applyFont="1" applyBorder="1" applyAlignment="1">
      <alignment vertical="center" wrapText="1"/>
    </xf>
    <xf numFmtId="0" fontId="50" fillId="0" borderId="1" xfId="10" applyFont="1" applyBorder="1" applyAlignment="1">
      <alignment horizontal="center" vertical="center"/>
    </xf>
    <xf numFmtId="0" fontId="50" fillId="0" borderId="1" xfId="10" applyFont="1" applyBorder="1"/>
    <xf numFmtId="0" fontId="48" fillId="0" borderId="1" xfId="10" applyFont="1" applyBorder="1" applyAlignment="1">
      <alignment vertical="center" wrapText="1"/>
    </xf>
    <xf numFmtId="6" fontId="48" fillId="0" borderId="1" xfId="10" applyNumberFormat="1" applyFont="1" applyBorder="1" applyAlignment="1">
      <alignment horizontal="center" vertical="center"/>
    </xf>
    <xf numFmtId="168" fontId="48" fillId="0" borderId="1" xfId="10" applyNumberFormat="1" applyFont="1" applyBorder="1" applyAlignment="1">
      <alignment horizontal="center" vertical="center" wrapText="1"/>
    </xf>
    <xf numFmtId="10" fontId="52" fillId="0" borderId="1" xfId="7" applyNumberFormat="1" applyFont="1" applyFill="1" applyBorder="1" applyAlignment="1">
      <alignment horizontal="center" vertical="center"/>
    </xf>
    <xf numFmtId="44" fontId="51" fillId="0" borderId="1" xfId="10" applyNumberFormat="1" applyFont="1" applyBorder="1" applyAlignment="1">
      <alignment horizontal="center" vertical="center"/>
    </xf>
    <xf numFmtId="0" fontId="49" fillId="0" borderId="1" xfId="10" applyFont="1" applyBorder="1" applyAlignment="1">
      <alignment vertical="center"/>
    </xf>
    <xf numFmtId="0" fontId="50" fillId="0" borderId="1" xfId="10" applyFont="1" applyBorder="1" applyAlignment="1">
      <alignment horizontal="center" vertical="center" wrapText="1"/>
    </xf>
    <xf numFmtId="6" fontId="50" fillId="0" borderId="1" xfId="10" applyNumberFormat="1" applyFont="1" applyBorder="1" applyAlignment="1">
      <alignment horizontal="center" vertical="center"/>
    </xf>
    <xf numFmtId="1" fontId="49" fillId="0" borderId="1" xfId="0" applyNumberFormat="1" applyFont="1" applyBorder="1" applyAlignment="1">
      <alignment horizontal="center" vertical="center" wrapText="1"/>
    </xf>
    <xf numFmtId="0" fontId="48" fillId="0" borderId="1" xfId="0" applyFont="1" applyBorder="1" applyAlignment="1">
      <alignment horizontal="center" vertical="center" wrapText="1"/>
    </xf>
    <xf numFmtId="170" fontId="54" fillId="0" borderId="1" xfId="0" applyNumberFormat="1" applyFont="1" applyBorder="1" applyAlignment="1">
      <alignment horizontal="center" vertical="center" wrapText="1"/>
    </xf>
    <xf numFmtId="171" fontId="54" fillId="0" borderId="1" xfId="0" applyNumberFormat="1" applyFont="1" applyBorder="1" applyAlignment="1">
      <alignment vertical="center" wrapText="1"/>
    </xf>
    <xf numFmtId="0" fontId="54" fillId="0" borderId="1" xfId="10" applyFont="1" applyBorder="1"/>
    <xf numFmtId="171" fontId="54" fillId="0" borderId="1" xfId="0" applyNumberFormat="1" applyFont="1" applyBorder="1" applyAlignment="1">
      <alignment horizontal="center" vertical="center" wrapText="1"/>
    </xf>
    <xf numFmtId="0" fontId="49" fillId="0" borderId="2" xfId="10" applyFont="1" applyBorder="1"/>
    <xf numFmtId="166" fontId="49" fillId="0" borderId="1" xfId="10" applyNumberFormat="1" applyFont="1" applyBorder="1" applyAlignment="1">
      <alignment horizontal="center" vertical="center"/>
    </xf>
    <xf numFmtId="17" fontId="50" fillId="0" borderId="1" xfId="0" applyNumberFormat="1" applyFont="1" applyBorder="1" applyAlignment="1">
      <alignment horizontal="center" vertical="center" wrapText="1"/>
    </xf>
    <xf numFmtId="0" fontId="48" fillId="0" borderId="1" xfId="10" applyFont="1" applyBorder="1" applyAlignment="1">
      <alignment vertical="center"/>
    </xf>
    <xf numFmtId="42" fontId="49" fillId="0" borderId="1" xfId="9" applyFont="1" applyFill="1" applyBorder="1" applyAlignment="1">
      <alignment horizontal="center" vertical="center" wrapText="1"/>
    </xf>
    <xf numFmtId="172" fontId="49" fillId="0" borderId="1" xfId="10" applyNumberFormat="1" applyFont="1" applyBorder="1" applyAlignment="1">
      <alignment horizontal="center" vertical="center"/>
    </xf>
    <xf numFmtId="173" fontId="54" fillId="0" borderId="1" xfId="0" applyNumberFormat="1" applyFont="1" applyBorder="1" applyAlignment="1">
      <alignment vertical="center"/>
    </xf>
    <xf numFmtId="170" fontId="54" fillId="0" borderId="1" xfId="0" applyNumberFormat="1" applyFont="1" applyBorder="1" applyAlignment="1">
      <alignment vertical="center" wrapText="1"/>
    </xf>
    <xf numFmtId="170" fontId="54" fillId="0" borderId="1" xfId="0" applyNumberFormat="1" applyFont="1" applyBorder="1" applyAlignment="1">
      <alignment vertical="center"/>
    </xf>
    <xf numFmtId="0" fontId="50" fillId="0" borderId="1" xfId="0" applyFont="1" applyBorder="1" applyAlignment="1">
      <alignment horizontal="center" vertical="center" wrapText="1"/>
    </xf>
    <xf numFmtId="0" fontId="53" fillId="0" borderId="1" xfId="10" applyFont="1" applyBorder="1" applyAlignment="1">
      <alignment horizontal="center" vertical="center" wrapText="1"/>
    </xf>
    <xf numFmtId="170" fontId="53" fillId="0" borderId="1" xfId="10" applyNumberFormat="1" applyFont="1" applyBorder="1" applyAlignment="1">
      <alignment horizontal="center" vertical="center" wrapText="1"/>
    </xf>
    <xf numFmtId="171" fontId="53" fillId="0" borderId="1" xfId="10" applyNumberFormat="1" applyFont="1" applyBorder="1" applyAlignment="1">
      <alignment horizontal="center" vertical="center" wrapText="1"/>
    </xf>
    <xf numFmtId="14" fontId="49" fillId="0" borderId="1" xfId="10" applyNumberFormat="1" applyFont="1" applyBorder="1" applyAlignment="1">
      <alignment horizontal="center" vertical="center" wrapText="1"/>
    </xf>
    <xf numFmtId="49" fontId="40" fillId="0" borderId="1" xfId="10" applyNumberFormat="1" applyFont="1" applyBorder="1" applyAlignment="1">
      <alignment horizontal="center" vertical="center" wrapText="1"/>
    </xf>
    <xf numFmtId="49" fontId="48" fillId="0" borderId="1" xfId="10" applyNumberFormat="1" applyFont="1" applyBorder="1" applyAlignment="1">
      <alignment horizontal="center" vertical="center" wrapText="1"/>
    </xf>
    <xf numFmtId="2" fontId="48" fillId="0" borderId="1" xfId="10" applyNumberFormat="1" applyFont="1" applyBorder="1" applyAlignment="1">
      <alignment horizontal="center" vertical="center" wrapText="1"/>
    </xf>
    <xf numFmtId="0" fontId="48" fillId="0" borderId="1" xfId="10" applyFont="1" applyBorder="1" applyAlignment="1">
      <alignment wrapText="1"/>
    </xf>
    <xf numFmtId="173" fontId="48" fillId="0" borderId="1" xfId="10" applyNumberFormat="1" applyFont="1" applyBorder="1" applyAlignment="1">
      <alignment horizontal="center" vertical="center" wrapText="1"/>
    </xf>
    <xf numFmtId="174" fontId="48" fillId="0" borderId="1" xfId="10" applyNumberFormat="1" applyFont="1" applyBorder="1" applyAlignment="1">
      <alignment horizontal="center" vertical="center" wrapText="1"/>
    </xf>
    <xf numFmtId="0" fontId="55" fillId="0" borderId="1" xfId="10" applyFont="1" applyBorder="1"/>
    <xf numFmtId="0" fontId="13" fillId="0" borderId="1" xfId="10" applyFont="1" applyBorder="1" applyAlignment="1">
      <alignment horizontal="center" vertical="center" wrapText="1"/>
    </xf>
    <xf numFmtId="6" fontId="48" fillId="0" borderId="1" xfId="10" applyNumberFormat="1" applyFont="1" applyBorder="1" applyAlignment="1">
      <alignment horizontal="center" vertical="center" wrapText="1"/>
    </xf>
    <xf numFmtId="0" fontId="49" fillId="0" borderId="1" xfId="0" applyFont="1" applyBorder="1" applyAlignment="1">
      <alignment horizontal="center" vertical="center"/>
    </xf>
    <xf numFmtId="0" fontId="48" fillId="0" borderId="1" xfId="10" applyFont="1" applyBorder="1" applyAlignment="1">
      <alignment horizontal="center" vertical="center"/>
    </xf>
    <xf numFmtId="0" fontId="13" fillId="0" borderId="1" xfId="10" applyFont="1" applyBorder="1" applyAlignment="1">
      <alignment horizontal="center" vertical="center"/>
    </xf>
    <xf numFmtId="9" fontId="49" fillId="0" borderId="1" xfId="0" applyNumberFormat="1" applyFont="1" applyBorder="1" applyAlignment="1">
      <alignment horizontal="center" vertical="center" wrapText="1"/>
    </xf>
    <xf numFmtId="3" fontId="48" fillId="0" borderId="1" xfId="0" applyNumberFormat="1" applyFont="1" applyBorder="1" applyAlignment="1">
      <alignment horizontal="center" vertical="center" wrapText="1"/>
    </xf>
    <xf numFmtId="1" fontId="40" fillId="0" borderId="1" xfId="10" applyNumberFormat="1" applyFont="1" applyBorder="1" applyAlignment="1">
      <alignment horizontal="center" vertical="center" wrapText="1"/>
    </xf>
    <xf numFmtId="0" fontId="13" fillId="0" borderId="1" xfId="10" applyFont="1" applyBorder="1" applyAlignment="1">
      <alignment vertical="center"/>
    </xf>
    <xf numFmtId="0" fontId="48" fillId="0" borderId="1" xfId="10" applyFont="1" applyBorder="1" applyAlignment="1">
      <alignment horizontal="center" vertical="center" wrapText="1" readingOrder="1"/>
    </xf>
    <xf numFmtId="10" fontId="39" fillId="0" borderId="1" xfId="7" applyNumberFormat="1" applyFont="1" applyFill="1" applyBorder="1" applyAlignment="1">
      <alignment horizontal="center" vertical="center"/>
    </xf>
    <xf numFmtId="0" fontId="55" fillId="0" borderId="1" xfId="10" applyFont="1" applyBorder="1" applyAlignment="1">
      <alignment horizontal="center"/>
    </xf>
    <xf numFmtId="6" fontId="13" fillId="0" borderId="1" xfId="10" applyNumberFormat="1" applyFont="1" applyBorder="1" applyAlignment="1">
      <alignment horizontal="center" vertical="center"/>
    </xf>
    <xf numFmtId="49" fontId="49" fillId="0" borderId="1" xfId="10" applyNumberFormat="1" applyFont="1" applyBorder="1" applyAlignment="1">
      <alignment horizontal="center" vertical="center" wrapText="1"/>
    </xf>
    <xf numFmtId="168" fontId="49" fillId="0" borderId="1" xfId="10" applyNumberFormat="1" applyFont="1" applyBorder="1" applyAlignment="1">
      <alignment horizontal="center" vertical="center"/>
    </xf>
    <xf numFmtId="0" fontId="55" fillId="0" borderId="1" xfId="10" applyFont="1" applyBorder="1" applyAlignment="1">
      <alignment horizontal="center" vertical="center"/>
    </xf>
    <xf numFmtId="0" fontId="55" fillId="0" borderId="1" xfId="10" applyFont="1" applyBorder="1" applyAlignment="1">
      <alignment horizontal="center" vertical="center" wrapText="1"/>
    </xf>
    <xf numFmtId="3" fontId="40" fillId="0" borderId="1" xfId="0" applyNumberFormat="1" applyFont="1" applyBorder="1" applyAlignment="1">
      <alignment horizontal="center" vertical="center" wrapText="1"/>
    </xf>
    <xf numFmtId="14" fontId="49" fillId="0" borderId="1" xfId="0" applyNumberFormat="1" applyFont="1" applyBorder="1" applyAlignment="1">
      <alignment horizontal="center" vertical="center" wrapText="1"/>
    </xf>
    <xf numFmtId="0" fontId="39" fillId="0" borderId="1" xfId="10" applyFont="1" applyBorder="1"/>
    <xf numFmtId="10" fontId="51" fillId="0" borderId="1" xfId="10" applyNumberFormat="1" applyFont="1" applyBorder="1" applyAlignment="1">
      <alignment horizontal="center" vertical="center"/>
    </xf>
    <xf numFmtId="0" fontId="40" fillId="0" borderId="1" xfId="10" applyFont="1" applyBorder="1" applyAlignment="1">
      <alignment vertical="center"/>
    </xf>
    <xf numFmtId="8" fontId="50" fillId="0" borderId="1" xfId="10" applyNumberFormat="1" applyFont="1" applyBorder="1" applyAlignment="1">
      <alignment horizontal="center" vertical="center"/>
    </xf>
    <xf numFmtId="8" fontId="52" fillId="0" borderId="1" xfId="10" applyNumberFormat="1" applyFont="1" applyBorder="1" applyAlignment="1">
      <alignment horizontal="center" vertical="center"/>
    </xf>
    <xf numFmtId="44" fontId="52" fillId="0" borderId="1" xfId="8" applyFont="1" applyFill="1" applyBorder="1" applyAlignment="1">
      <alignment horizontal="center" vertical="center"/>
    </xf>
    <xf numFmtId="0" fontId="48" fillId="0" borderId="1" xfId="10" applyFont="1" applyBorder="1" applyAlignment="1">
      <alignment horizontal="center"/>
    </xf>
    <xf numFmtId="0" fontId="51" fillId="0" borderId="1" xfId="10" applyFont="1" applyBorder="1" applyAlignment="1">
      <alignment horizontal="center" vertical="center"/>
    </xf>
    <xf numFmtId="0" fontId="51" fillId="0" borderId="1" xfId="10" applyFont="1" applyBorder="1" applyAlignment="1">
      <alignment horizontal="center" vertical="center" wrapText="1"/>
    </xf>
    <xf numFmtId="0" fontId="48" fillId="0" borderId="1" xfId="0" applyFont="1" applyBorder="1" applyAlignment="1">
      <alignment horizontal="center" vertical="center"/>
    </xf>
    <xf numFmtId="17" fontId="48" fillId="0" borderId="1" xfId="10" applyNumberFormat="1" applyFont="1" applyBorder="1" applyAlignment="1">
      <alignment horizontal="center" vertical="center" wrapText="1"/>
    </xf>
    <xf numFmtId="44" fontId="52" fillId="0" borderId="1" xfId="0" applyNumberFormat="1" applyFont="1" applyBorder="1" applyAlignment="1">
      <alignment horizontal="center" vertical="center"/>
    </xf>
    <xf numFmtId="0" fontId="13" fillId="0" borderId="1" xfId="0" applyFont="1" applyBorder="1" applyAlignment="1">
      <alignment horizontal="center" vertical="center"/>
    </xf>
    <xf numFmtId="14" fontId="48" fillId="0" borderId="1" xfId="10" applyNumberFormat="1" applyFont="1" applyBorder="1" applyAlignment="1">
      <alignment horizontal="center" vertical="center" wrapText="1"/>
    </xf>
    <xf numFmtId="6" fontId="48" fillId="0" borderId="1" xfId="0" applyNumberFormat="1" applyFont="1" applyBorder="1" applyAlignment="1">
      <alignment horizontal="center" vertical="center"/>
    </xf>
    <xf numFmtId="164" fontId="48" fillId="0" borderId="1" xfId="0" applyNumberFormat="1" applyFont="1" applyBorder="1" applyAlignment="1">
      <alignment horizontal="center" vertical="center"/>
    </xf>
    <xf numFmtId="164" fontId="48" fillId="0" borderId="0" xfId="0" applyNumberFormat="1" applyFont="1" applyAlignment="1">
      <alignment horizontal="center" vertical="center"/>
    </xf>
    <xf numFmtId="0" fontId="51" fillId="0" borderId="1" xfId="0" applyFont="1" applyBorder="1" applyAlignment="1">
      <alignment horizontal="center" vertical="center" wrapText="1"/>
    </xf>
    <xf numFmtId="0" fontId="49" fillId="0" borderId="0" xfId="0" applyFont="1" applyAlignment="1">
      <alignment horizontal="center" vertical="center"/>
    </xf>
    <xf numFmtId="9" fontId="48" fillId="0" borderId="0" xfId="7" applyFont="1" applyFill="1" applyAlignment="1">
      <alignment horizontal="center" vertical="center"/>
    </xf>
    <xf numFmtId="44" fontId="51" fillId="0" borderId="1" xfId="0" applyNumberFormat="1" applyFont="1" applyBorder="1" applyAlignment="1">
      <alignment horizontal="center" vertical="center" wrapText="1"/>
    </xf>
    <xf numFmtId="10" fontId="51" fillId="0" borderId="1" xfId="7" applyNumberFormat="1" applyFont="1" applyFill="1" applyBorder="1" applyAlignment="1">
      <alignment horizontal="center" vertical="center" wrapText="1"/>
    </xf>
    <xf numFmtId="0" fontId="50" fillId="0" borderId="0" xfId="0" applyFont="1" applyAlignment="1">
      <alignment horizontal="center" vertical="center"/>
    </xf>
    <xf numFmtId="0" fontId="48" fillId="0" borderId="1" xfId="10" applyFont="1" applyBorder="1"/>
    <xf numFmtId="9" fontId="40" fillId="0" borderId="1" xfId="7" applyFont="1" applyFill="1" applyBorder="1" applyAlignment="1">
      <alignment horizontal="center" vertical="center" wrapText="1"/>
    </xf>
    <xf numFmtId="0" fontId="49" fillId="0" borderId="1" xfId="10" applyFont="1" applyBorder="1" applyAlignment="1" applyProtection="1">
      <alignment horizontal="center" vertical="center" wrapText="1"/>
      <protection locked="0"/>
    </xf>
    <xf numFmtId="6" fontId="50" fillId="0" borderId="1" xfId="10" applyNumberFormat="1" applyFont="1" applyBorder="1" applyAlignment="1">
      <alignment horizontal="center" vertical="center" wrapText="1"/>
    </xf>
    <xf numFmtId="1" fontId="13" fillId="0" borderId="1" xfId="10" applyNumberFormat="1" applyFont="1" applyBorder="1" applyAlignment="1">
      <alignment horizontal="center" vertical="center" wrapText="1"/>
    </xf>
    <xf numFmtId="9" fontId="13" fillId="0" borderId="1" xfId="11" applyFont="1" applyFill="1" applyBorder="1" applyAlignment="1">
      <alignment horizontal="center" vertical="center" wrapText="1"/>
    </xf>
    <xf numFmtId="0" fontId="13" fillId="0" borderId="1" xfId="10" applyFont="1" applyBorder="1" applyAlignment="1">
      <alignment vertical="center" wrapText="1"/>
    </xf>
    <xf numFmtId="0" fontId="39" fillId="0" borderId="1" xfId="10" applyFont="1" applyBorder="1" applyAlignment="1">
      <alignment horizontal="center" vertical="center" wrapText="1"/>
    </xf>
    <xf numFmtId="8" fontId="52" fillId="0" borderId="1" xfId="10" applyNumberFormat="1" applyFont="1" applyBorder="1" applyAlignment="1">
      <alignment vertical="center"/>
    </xf>
    <xf numFmtId="10" fontId="52" fillId="0" borderId="1" xfId="10" applyNumberFormat="1" applyFont="1" applyBorder="1" applyAlignment="1">
      <alignment vertical="center"/>
    </xf>
    <xf numFmtId="8" fontId="49" fillId="0" borderId="1" xfId="10" applyNumberFormat="1" applyFont="1" applyBorder="1" applyAlignment="1">
      <alignment vertical="center"/>
    </xf>
    <xf numFmtId="44" fontId="52" fillId="0" borderId="1" xfId="12" applyFont="1" applyFill="1" applyBorder="1" applyAlignment="1">
      <alignment horizontal="center" vertical="center" wrapText="1"/>
    </xf>
    <xf numFmtId="10" fontId="52" fillId="0" borderId="1" xfId="7" applyNumberFormat="1" applyFont="1" applyFill="1" applyBorder="1" applyAlignment="1">
      <alignment horizontal="center" vertical="center" wrapText="1"/>
    </xf>
    <xf numFmtId="9" fontId="24" fillId="0" borderId="0" xfId="7" applyFont="1"/>
    <xf numFmtId="175" fontId="24" fillId="0" borderId="0" xfId="7" applyNumberFormat="1" applyFont="1"/>
    <xf numFmtId="166" fontId="24" fillId="0" borderId="0" xfId="0" applyNumberFormat="1" applyFont="1"/>
    <xf numFmtId="0" fontId="24" fillId="8" borderId="1"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48" fillId="8" borderId="1" xfId="0" applyFont="1" applyFill="1" applyBorder="1" applyAlignment="1">
      <alignment horizontal="center" vertical="center" wrapText="1"/>
    </xf>
    <xf numFmtId="0" fontId="49" fillId="8" borderId="1" xfId="10" applyFont="1" applyFill="1" applyBorder="1" applyAlignment="1">
      <alignment horizontal="center" vertical="center"/>
    </xf>
    <xf numFmtId="10" fontId="49" fillId="8" borderId="1" xfId="7" applyNumberFormat="1" applyFont="1" applyFill="1" applyBorder="1" applyAlignment="1">
      <alignment horizontal="center" vertical="center"/>
    </xf>
    <xf numFmtId="0" fontId="49" fillId="8" borderId="1" xfId="0" applyFont="1" applyFill="1" applyBorder="1" applyAlignment="1">
      <alignment horizontal="center" vertical="center" wrapText="1"/>
    </xf>
    <xf numFmtId="168" fontId="50" fillId="8" borderId="1" xfId="0" applyNumberFormat="1" applyFont="1" applyFill="1" applyBorder="1" applyAlignment="1">
      <alignment horizontal="center" vertical="center" wrapText="1"/>
    </xf>
    <xf numFmtId="0" fontId="49" fillId="8" borderId="1" xfId="10" applyFont="1" applyFill="1" applyBorder="1"/>
    <xf numFmtId="0" fontId="21" fillId="8" borderId="1" xfId="0" applyFont="1" applyFill="1" applyBorder="1" applyAlignment="1">
      <alignment horizontal="center" vertical="center" wrapText="1"/>
    </xf>
    <xf numFmtId="0" fontId="26" fillId="8" borderId="1" xfId="0" applyFont="1" applyFill="1" applyBorder="1" applyAlignment="1">
      <alignment horizontal="center" vertical="center" wrapText="1"/>
    </xf>
    <xf numFmtId="166" fontId="26" fillId="8" borderId="14" xfId="0" applyNumberFormat="1" applyFont="1" applyFill="1" applyBorder="1" applyAlignment="1">
      <alignment horizontal="center" vertical="center"/>
    </xf>
    <xf numFmtId="0" fontId="26" fillId="8" borderId="1" xfId="0" applyFont="1" applyFill="1" applyBorder="1" applyAlignment="1">
      <alignment horizontal="center" vertical="center"/>
    </xf>
    <xf numFmtId="0" fontId="27" fillId="8" borderId="1" xfId="0" applyFont="1" applyFill="1" applyBorder="1" applyAlignment="1">
      <alignment horizontal="center" vertical="center"/>
    </xf>
    <xf numFmtId="166" fontId="27" fillId="8" borderId="1" xfId="0" applyNumberFormat="1" applyFont="1" applyFill="1" applyBorder="1" applyAlignment="1">
      <alignment horizontal="center" vertical="center"/>
    </xf>
    <xf numFmtId="166" fontId="26" fillId="8" borderId="1" xfId="0" applyNumberFormat="1" applyFont="1" applyFill="1" applyBorder="1" applyAlignment="1">
      <alignment horizontal="center" vertical="center"/>
    </xf>
    <xf numFmtId="0" fontId="26" fillId="8" borderId="14" xfId="0" applyFont="1" applyFill="1" applyBorder="1" applyAlignment="1">
      <alignment horizontal="center" vertical="center"/>
    </xf>
    <xf numFmtId="0" fontId="26" fillId="8" borderId="15" xfId="0" applyFont="1" applyFill="1" applyBorder="1" applyAlignment="1">
      <alignment horizontal="center" vertical="center"/>
    </xf>
    <xf numFmtId="0" fontId="19" fillId="8" borderId="0" xfId="0" applyFont="1" applyFill="1" applyAlignment="1">
      <alignment horizontal="center" vertical="center"/>
    </xf>
    <xf numFmtId="0" fontId="7" fillId="0" borderId="1" xfId="0" applyFont="1" applyBorder="1" applyAlignment="1">
      <alignment horizont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47" fillId="0" borderId="1" xfId="0" applyFont="1" applyBorder="1" applyAlignment="1">
      <alignment horizontal="center" vertical="center"/>
    </xf>
    <xf numFmtId="0" fontId="20" fillId="0" borderId="11" xfId="0" applyFont="1" applyBorder="1" applyAlignment="1">
      <alignment horizontal="center" vertical="center"/>
    </xf>
    <xf numFmtId="0" fontId="20" fillId="0" borderId="5" xfId="0" applyFont="1" applyBorder="1" applyAlignment="1">
      <alignment horizontal="center" vertical="center"/>
    </xf>
    <xf numFmtId="0" fontId="47" fillId="0" borderId="2" xfId="0" applyFont="1" applyBorder="1" applyAlignment="1">
      <alignment horizontal="center"/>
    </xf>
    <xf numFmtId="0" fontId="47" fillId="0" borderId="3" xfId="0" applyFont="1" applyBorder="1" applyAlignment="1">
      <alignment horizontal="center"/>
    </xf>
    <xf numFmtId="0" fontId="3" fillId="0" borderId="1" xfId="0" applyFont="1" applyBorder="1" applyAlignment="1">
      <alignment horizontal="center" vertical="center"/>
    </xf>
    <xf numFmtId="10" fontId="20" fillId="0" borderId="1" xfId="7" applyNumberFormat="1" applyFont="1" applyFill="1" applyBorder="1" applyAlignment="1">
      <alignment horizontal="center" vertical="center"/>
    </xf>
    <xf numFmtId="0" fontId="25" fillId="0" borderId="1" xfId="0" applyFont="1" applyBorder="1" applyAlignment="1">
      <alignment horizontal="center" vertical="center" wrapText="1"/>
    </xf>
    <xf numFmtId="0" fontId="25" fillId="8" borderId="1" xfId="0" applyFont="1" applyFill="1" applyBorder="1" applyAlignment="1">
      <alignment horizontal="center" vertical="center" wrapText="1"/>
    </xf>
    <xf numFmtId="0" fontId="46" fillId="7" borderId="2" xfId="0" applyFont="1" applyFill="1" applyBorder="1" applyAlignment="1">
      <alignment horizontal="right" vertical="center"/>
    </xf>
    <xf numFmtId="0" fontId="46" fillId="7" borderId="3" xfId="0" applyFont="1" applyFill="1" applyBorder="1" applyAlignment="1">
      <alignment horizontal="right" vertical="center"/>
    </xf>
    <xf numFmtId="0" fontId="46" fillId="7" borderId="4" xfId="0" applyFont="1" applyFill="1" applyBorder="1" applyAlignment="1">
      <alignment horizontal="right" vertical="center"/>
    </xf>
    <xf numFmtId="0" fontId="46" fillId="0" borderId="2" xfId="0" applyFont="1" applyBorder="1" applyAlignment="1">
      <alignment horizontal="right" vertical="center"/>
    </xf>
    <xf numFmtId="0" fontId="46" fillId="0" borderId="3" xfId="0" applyFont="1" applyBorder="1" applyAlignment="1">
      <alignment horizontal="right" vertical="center"/>
    </xf>
    <xf numFmtId="0" fontId="46" fillId="0" borderId="4" xfId="0" applyFont="1" applyBorder="1" applyAlignment="1">
      <alignment horizontal="right" vertical="center"/>
    </xf>
    <xf numFmtId="0" fontId="11"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3" fillId="3" borderId="1" xfId="0" applyFont="1" applyFill="1" applyBorder="1" applyAlignment="1">
      <alignment horizontal="left"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7"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1" fillId="0" borderId="1" xfId="0" applyFont="1" applyBorder="1" applyAlignment="1">
      <alignment horizontal="left" vertical="center"/>
    </xf>
    <xf numFmtId="0" fontId="11" fillId="0" borderId="1" xfId="0" applyFont="1" applyBorder="1" applyAlignment="1">
      <alignment horizontal="left"/>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1" fillId="0" borderId="3" xfId="0" applyFont="1" applyBorder="1" applyAlignment="1">
      <alignment horizontal="center"/>
    </xf>
    <xf numFmtId="0" fontId="3" fillId="3" borderId="1" xfId="0" applyFont="1" applyFill="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4" fillId="0" borderId="1" xfId="0" applyFont="1" applyBorder="1" applyAlignment="1">
      <alignment horizontal="center" vertical="center" wrapText="1"/>
    </xf>
    <xf numFmtId="0" fontId="29" fillId="0" borderId="1" xfId="0" applyFont="1" applyBorder="1"/>
    <xf numFmtId="0" fontId="32" fillId="0" borderId="1" xfId="0" applyFont="1" applyBorder="1" applyAlignment="1">
      <alignment horizontal="center" vertical="center"/>
    </xf>
    <xf numFmtId="0" fontId="14" fillId="0" borderId="1" xfId="0" applyFont="1" applyBorder="1" applyAlignment="1">
      <alignment horizontal="center"/>
    </xf>
    <xf numFmtId="0" fontId="15"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52" fillId="0" borderId="1" xfId="10" applyFont="1" applyBorder="1" applyAlignment="1">
      <alignment horizontal="right" vertical="center" wrapText="1"/>
    </xf>
    <xf numFmtId="44" fontId="50" fillId="0" borderId="1" xfId="8" applyFont="1" applyFill="1" applyBorder="1" applyAlignment="1">
      <alignment horizontal="center" vertical="center"/>
    </xf>
    <xf numFmtId="169" fontId="52" fillId="0" borderId="1" xfId="12" applyNumberFormat="1" applyFont="1" applyFill="1" applyBorder="1" applyAlignment="1">
      <alignment horizontal="center" vertical="center" wrapText="1"/>
    </xf>
    <xf numFmtId="10" fontId="50" fillId="0" borderId="1" xfId="7" applyNumberFormat="1" applyFont="1" applyFill="1" applyBorder="1" applyAlignment="1">
      <alignment horizontal="center" vertical="center"/>
    </xf>
    <xf numFmtId="0" fontId="48" fillId="0" borderId="1" xfId="10" applyFont="1" applyBorder="1" applyAlignment="1">
      <alignment horizontal="center" vertical="center" wrapText="1"/>
    </xf>
    <xf numFmtId="44" fontId="50" fillId="0" borderId="1" xfId="12" applyFont="1" applyFill="1" applyBorder="1" applyAlignment="1">
      <alignment horizontal="center" vertical="center" wrapText="1"/>
    </xf>
    <xf numFmtId="10" fontId="50" fillId="0" borderId="1" xfId="7" applyNumberFormat="1" applyFont="1" applyFill="1" applyBorder="1" applyAlignment="1">
      <alignment horizontal="center" vertical="center" wrapText="1"/>
    </xf>
    <xf numFmtId="8" fontId="50" fillId="0" borderId="1" xfId="10" applyNumberFormat="1" applyFont="1" applyBorder="1" applyAlignment="1">
      <alignment horizontal="center" vertical="center"/>
    </xf>
    <xf numFmtId="0" fontId="49" fillId="0" borderId="1" xfId="10" applyFont="1" applyBorder="1" applyAlignment="1">
      <alignment horizontal="center" vertical="center" wrapText="1"/>
    </xf>
    <xf numFmtId="44" fontId="49" fillId="0" borderId="1" xfId="8" applyFont="1" applyFill="1" applyBorder="1" applyAlignment="1">
      <alignment horizontal="center" vertical="center" wrapText="1"/>
    </xf>
    <xf numFmtId="169" fontId="52" fillId="0" borderId="1" xfId="12" applyNumberFormat="1" applyFont="1" applyFill="1" applyBorder="1" applyAlignment="1">
      <alignment horizontal="right" vertical="center" wrapText="1"/>
    </xf>
    <xf numFmtId="0" fontId="40" fillId="0" borderId="1"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0" xfId="0" applyFont="1" applyAlignment="1">
      <alignment horizontal="center" vertical="center" wrapText="1"/>
    </xf>
    <xf numFmtId="0" fontId="40" fillId="0" borderId="1" xfId="0" applyFont="1" applyBorder="1" applyAlignment="1">
      <alignment horizontal="center" vertical="center"/>
    </xf>
    <xf numFmtId="0" fontId="40" fillId="0" borderId="15" xfId="0" applyFont="1" applyBorder="1" applyAlignment="1">
      <alignment horizontal="center" vertical="center"/>
    </xf>
    <xf numFmtId="0" fontId="40" fillId="0" borderId="5" xfId="0" applyFont="1" applyBorder="1" applyAlignment="1">
      <alignment horizontal="center" vertical="center"/>
    </xf>
    <xf numFmtId="0" fontId="40" fillId="0" borderId="12" xfId="0" applyFont="1" applyBorder="1" applyAlignment="1">
      <alignment horizontal="center" vertical="center"/>
    </xf>
    <xf numFmtId="0" fontId="40" fillId="0" borderId="0" xfId="0" applyFont="1" applyAlignment="1">
      <alignment horizontal="center" vertical="center"/>
    </xf>
    <xf numFmtId="0" fontId="40" fillId="0" borderId="17" xfId="0" applyFont="1" applyBorder="1" applyAlignment="1">
      <alignment horizontal="center" vertical="center"/>
    </xf>
    <xf numFmtId="1" fontId="48" fillId="0" borderId="1" xfId="10" applyNumberFormat="1" applyFont="1" applyBorder="1" applyAlignment="1">
      <alignment horizontal="center" vertical="center" wrapText="1"/>
    </xf>
    <xf numFmtId="9" fontId="48" fillId="0" borderId="1" xfId="11" applyFont="1" applyFill="1" applyBorder="1" applyAlignment="1">
      <alignment horizontal="center" vertical="center" wrapText="1"/>
    </xf>
    <xf numFmtId="1" fontId="49" fillId="0" borderId="1" xfId="10" applyNumberFormat="1" applyFont="1" applyBorder="1" applyAlignment="1">
      <alignment horizontal="center" vertical="center" wrapText="1"/>
    </xf>
    <xf numFmtId="6" fontId="49" fillId="0" borderId="1" xfId="10" applyNumberFormat="1" applyFont="1" applyBorder="1" applyAlignment="1">
      <alignment horizontal="center" vertical="center" wrapText="1"/>
    </xf>
    <xf numFmtId="169" fontId="49" fillId="0" borderId="1" xfId="0" applyNumberFormat="1" applyFont="1" applyBorder="1" applyAlignment="1">
      <alignment horizontal="center" vertical="center" wrapText="1"/>
    </xf>
    <xf numFmtId="14" fontId="49" fillId="0" borderId="1" xfId="0" applyNumberFormat="1" applyFont="1" applyBorder="1" applyAlignment="1">
      <alignment horizontal="center" vertical="center" wrapText="1"/>
    </xf>
    <xf numFmtId="0" fontId="49" fillId="0" borderId="1" xfId="0" applyFont="1" applyBorder="1" applyAlignment="1">
      <alignment horizontal="center" vertical="center" wrapText="1"/>
    </xf>
    <xf numFmtId="0" fontId="40" fillId="0" borderId="1" xfId="10" applyFont="1" applyBorder="1" applyAlignment="1">
      <alignment horizontal="center" vertical="center" wrapText="1"/>
    </xf>
    <xf numFmtId="49" fontId="48" fillId="0" borderId="1" xfId="10" applyNumberFormat="1" applyFont="1" applyBorder="1" applyAlignment="1">
      <alignment horizontal="center" vertical="center" wrapText="1"/>
    </xf>
    <xf numFmtId="1" fontId="49" fillId="0" borderId="1" xfId="0" applyNumberFormat="1" applyFont="1" applyBorder="1" applyAlignment="1">
      <alignment horizontal="center" vertical="center" wrapText="1"/>
    </xf>
    <xf numFmtId="6" fontId="48" fillId="0" borderId="1" xfId="10" applyNumberFormat="1" applyFont="1" applyBorder="1" applyAlignment="1">
      <alignment horizontal="center" vertical="center" wrapText="1"/>
    </xf>
    <xf numFmtId="0" fontId="50" fillId="0" borderId="1" xfId="10" applyFont="1" applyBorder="1" applyAlignment="1">
      <alignment horizontal="center" vertical="center" wrapText="1"/>
    </xf>
    <xf numFmtId="1" fontId="50" fillId="0" borderId="1" xfId="10" applyNumberFormat="1" applyFont="1" applyBorder="1" applyAlignment="1">
      <alignment horizontal="center" vertical="center" wrapText="1"/>
    </xf>
    <xf numFmtId="171" fontId="54" fillId="0" borderId="1" xfId="0" applyNumberFormat="1" applyFont="1" applyBorder="1" applyAlignment="1">
      <alignment horizontal="center" vertical="center" wrapText="1"/>
    </xf>
    <xf numFmtId="44" fontId="56" fillId="0" borderId="1" xfId="8" applyFont="1" applyFill="1" applyBorder="1" applyAlignment="1">
      <alignment horizontal="center" vertical="center"/>
    </xf>
    <xf numFmtId="10" fontId="56" fillId="0" borderId="1" xfId="7" applyNumberFormat="1" applyFont="1" applyFill="1" applyBorder="1" applyAlignment="1">
      <alignment horizontal="center" vertical="center"/>
    </xf>
    <xf numFmtId="0" fontId="54" fillId="0" borderId="1" xfId="0" applyFont="1" applyBorder="1" applyAlignment="1">
      <alignment horizontal="center" vertical="center" wrapText="1"/>
    </xf>
    <xf numFmtId="14" fontId="54" fillId="0" borderId="1" xfId="0" applyNumberFormat="1" applyFont="1" applyBorder="1" applyAlignment="1">
      <alignment horizontal="center" vertical="center" wrapText="1"/>
    </xf>
    <xf numFmtId="170" fontId="54" fillId="0" borderId="1" xfId="0" applyNumberFormat="1" applyFont="1" applyBorder="1" applyAlignment="1">
      <alignment horizontal="center" vertical="center" wrapText="1"/>
    </xf>
    <xf numFmtId="9" fontId="50" fillId="0" borderId="1" xfId="7" applyFont="1" applyFill="1" applyBorder="1" applyAlignment="1">
      <alignment horizontal="center" vertical="center"/>
    </xf>
    <xf numFmtId="2" fontId="48" fillId="0" borderId="1" xfId="10" applyNumberFormat="1" applyFont="1" applyBorder="1" applyAlignment="1">
      <alignment horizontal="center" vertical="center" wrapText="1"/>
    </xf>
    <xf numFmtId="49" fontId="40" fillId="0" borderId="1" xfId="10" applyNumberFormat="1" applyFont="1" applyBorder="1" applyAlignment="1">
      <alignment horizontal="center" vertical="center" wrapText="1"/>
    </xf>
    <xf numFmtId="0" fontId="48" fillId="0" borderId="1" xfId="10" applyFont="1" applyBorder="1" applyAlignment="1">
      <alignment horizontal="center" vertical="center"/>
    </xf>
    <xf numFmtId="1" fontId="40" fillId="0" borderId="1" xfId="10" applyNumberFormat="1" applyFont="1" applyBorder="1" applyAlignment="1">
      <alignment horizontal="center" vertical="center" wrapText="1"/>
    </xf>
    <xf numFmtId="0" fontId="39" fillId="0" borderId="1" xfId="10" applyFont="1" applyBorder="1" applyAlignment="1">
      <alignment horizontal="center" vertical="center" wrapText="1"/>
    </xf>
    <xf numFmtId="44" fontId="49" fillId="0" borderId="1" xfId="12" applyFont="1" applyFill="1" applyBorder="1" applyAlignment="1">
      <alignment horizontal="center" vertical="center" wrapText="1"/>
    </xf>
    <xf numFmtId="44" fontId="48" fillId="0" borderId="1" xfId="12" applyFont="1" applyFill="1" applyBorder="1" applyAlignment="1">
      <alignment horizontal="center" vertical="center" wrapText="1"/>
    </xf>
    <xf numFmtId="6" fontId="48" fillId="0" borderId="1" xfId="10" applyNumberFormat="1" applyFont="1" applyBorder="1" applyAlignment="1">
      <alignment horizontal="center" vertical="center"/>
    </xf>
    <xf numFmtId="0" fontId="49" fillId="0" borderId="1" xfId="0" applyFont="1" applyBorder="1" applyAlignment="1">
      <alignment horizontal="center" vertical="center"/>
    </xf>
    <xf numFmtId="0" fontId="4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8" fillId="0" borderId="1" xfId="10" applyFont="1" applyBorder="1" applyAlignment="1">
      <alignment horizontal="center"/>
    </xf>
    <xf numFmtId="0" fontId="49" fillId="0" borderId="15"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15" xfId="10" applyFont="1" applyBorder="1" applyAlignment="1">
      <alignment horizontal="center" vertical="center" wrapText="1"/>
    </xf>
    <xf numFmtId="0" fontId="49" fillId="0" borderId="16" xfId="10" applyFont="1" applyBorder="1" applyAlignment="1">
      <alignment horizontal="center" vertical="center" wrapText="1"/>
    </xf>
    <xf numFmtId="0" fontId="49" fillId="0" borderId="14" xfId="10" applyFont="1" applyBorder="1" applyAlignment="1">
      <alignment horizontal="center" vertical="center" wrapText="1"/>
    </xf>
    <xf numFmtId="0" fontId="48" fillId="0" borderId="15" xfId="10" applyFont="1" applyBorder="1" applyAlignment="1">
      <alignment horizontal="center" vertical="center" wrapText="1"/>
    </xf>
    <xf numFmtId="0" fontId="48" fillId="0" borderId="16" xfId="10" applyFont="1" applyBorder="1" applyAlignment="1">
      <alignment horizontal="center" vertical="center" wrapText="1"/>
    </xf>
    <xf numFmtId="0" fontId="48" fillId="0" borderId="14" xfId="10" applyFont="1" applyBorder="1" applyAlignment="1">
      <alignment horizontal="center" vertical="center" wrapText="1"/>
    </xf>
    <xf numFmtId="0" fontId="50" fillId="0" borderId="15" xfId="10" applyFont="1" applyBorder="1" applyAlignment="1">
      <alignment horizontal="center" vertical="center"/>
    </xf>
    <xf numFmtId="0" fontId="50" fillId="0" borderId="16" xfId="10" applyFont="1" applyBorder="1" applyAlignment="1">
      <alignment horizontal="center" vertical="center"/>
    </xf>
    <xf numFmtId="0" fontId="50" fillId="0" borderId="14" xfId="10" applyFont="1" applyBorder="1" applyAlignment="1">
      <alignment horizontal="center" vertical="center"/>
    </xf>
    <xf numFmtId="0" fontId="18" fillId="0" borderId="1" xfId="1" applyFont="1" applyBorder="1" applyAlignment="1">
      <alignment horizontal="center" wrapText="1"/>
    </xf>
    <xf numFmtId="0" fontId="16" fillId="5" borderId="6" xfId="1" applyFont="1" applyFill="1" applyBorder="1" applyAlignment="1">
      <alignment horizontal="center" vertical="center"/>
    </xf>
    <xf numFmtId="0" fontId="16" fillId="5" borderId="7" xfId="1" applyFont="1" applyFill="1" applyBorder="1" applyAlignment="1">
      <alignment horizontal="center" vertical="center"/>
    </xf>
    <xf numFmtId="0" fontId="16" fillId="5" borderId="8" xfId="1" applyFont="1" applyFill="1" applyBorder="1" applyAlignment="1">
      <alignment horizontal="center" vertical="center"/>
    </xf>
    <xf numFmtId="0" fontId="16" fillId="5" borderId="1" xfId="1" applyFont="1" applyFill="1" applyBorder="1" applyAlignment="1">
      <alignment horizontal="center" vertical="center"/>
    </xf>
    <xf numFmtId="0" fontId="18" fillId="0" borderId="1" xfId="1" applyFont="1" applyBorder="1" applyAlignment="1">
      <alignment horizontal="center" vertical="center" wrapText="1"/>
    </xf>
    <xf numFmtId="0" fontId="16" fillId="5" borderId="2" xfId="1" applyFont="1" applyFill="1" applyBorder="1" applyAlignment="1">
      <alignment horizontal="center" vertical="center"/>
    </xf>
    <xf numFmtId="0" fontId="16" fillId="5" borderId="3" xfId="1" applyFont="1" applyFill="1" applyBorder="1" applyAlignment="1">
      <alignment horizontal="center" vertical="center"/>
    </xf>
    <xf numFmtId="0" fontId="16" fillId="5" borderId="4" xfId="1" applyFont="1" applyFill="1" applyBorder="1" applyAlignment="1">
      <alignment horizontal="center" vertical="center"/>
    </xf>
    <xf numFmtId="0" fontId="18" fillId="0" borderId="1" xfId="1" applyFont="1" applyBorder="1" applyAlignment="1">
      <alignment horizontal="center" vertical="center"/>
    </xf>
  </cellXfs>
  <cellStyles count="13">
    <cellStyle name="BodyStyle" xfId="5" xr:uid="{00000000-0005-0000-0000-000000000000}"/>
    <cellStyle name="HeaderStyle" xfId="4" xr:uid="{00000000-0005-0000-0000-000001000000}"/>
    <cellStyle name="Millares 2" xfId="3" xr:uid="{00000000-0005-0000-0000-000002000000}"/>
    <cellStyle name="Moneda" xfId="8" builtinId="4"/>
    <cellStyle name="Moneda [0]" xfId="9" builtinId="7"/>
    <cellStyle name="Moneda 2" xfId="2" xr:uid="{00000000-0005-0000-0000-000005000000}"/>
    <cellStyle name="Moneda 4" xfId="12" xr:uid="{00000000-0005-0000-0000-000006000000}"/>
    <cellStyle name="Normal" xfId="0" builtinId="0"/>
    <cellStyle name="Normal 2" xfId="1" xr:uid="{00000000-0005-0000-0000-000008000000}"/>
    <cellStyle name="Normal 4" xfId="10" xr:uid="{00000000-0005-0000-0000-000009000000}"/>
    <cellStyle name="Numeric" xfId="6" xr:uid="{00000000-0005-0000-0000-00000A000000}"/>
    <cellStyle name="Porcentaje" xfId="7" builtinId="5"/>
    <cellStyle name="Porcentaje 3" xfId="11" xr:uid="{00000000-0005-0000-0000-00000C000000}"/>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1028700</xdr:colOff>
      <xdr:row>0</xdr:row>
      <xdr:rowOff>47625</xdr:rowOff>
    </xdr:from>
    <xdr:ext cx="1371600" cy="1114425"/>
    <xdr:pic>
      <xdr:nvPicPr>
        <xdr:cNvPr id="2" name="image1.png">
          <a:extLst>
            <a:ext uri="{FF2B5EF4-FFF2-40B4-BE49-F238E27FC236}">
              <a16:creationId xmlns:a16="http://schemas.microsoft.com/office/drawing/2014/main" id="{55F8E59A-23E1-4B56-A568-08628900CD11}"/>
            </a:ext>
          </a:extLst>
        </xdr:cNvPr>
        <xdr:cNvPicPr preferRelativeResize="0"/>
      </xdr:nvPicPr>
      <xdr:blipFill>
        <a:blip xmlns:r="http://schemas.openxmlformats.org/officeDocument/2006/relationships" r:embed="rId1" cstate="print"/>
        <a:stretch>
          <a:fillRect/>
        </a:stretch>
      </xdr:blipFill>
      <xdr:spPr>
        <a:xfrm>
          <a:off x="1028700" y="47625"/>
          <a:ext cx="1371600" cy="11144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Usuario invitado" id="{45B6A0D2-C06D-43AB-8589-4D869E48416A}" userId="" providerId="Windows Live"/>
  <person displayName="Luz Marlene Andrade Hong" id="{1698FD0F-A84C-445B-8DF5-A6D94A70263F}" userId="e68ce1992bea921d"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O22" dT="2026-01-21T20:34:28.81" personId="{1698FD0F-A84C-445B-8DF5-A6D94A70263F}" id="{5F73126F-AAA8-40DF-9D58-D848B042F790}">
    <text>Cambiar de 2 a 1</text>
  </threadedComment>
  <threadedComment ref="K63" dT="2025-04-07T14:41:26.19" personId="{45B6A0D2-C06D-43AB-8589-4D869E48416A}" id="{A204124A-4FD8-4FC6-A514-3199846C29E2}">
    <text>Aumentar información documentada</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60" zoomScaleNormal="60" workbookViewId="0">
      <selection activeCell="J48" sqref="J48"/>
    </sheetView>
  </sheetViews>
  <sheetFormatPr baseColWidth="10" defaultColWidth="10.85546875" defaultRowHeight="15"/>
  <cols>
    <col min="1" max="1" width="34.140625" style="13" customWidth="1"/>
    <col min="2" max="2" width="10.85546875" style="5"/>
    <col min="3" max="3" width="28.42578125" style="5" customWidth="1"/>
    <col min="4" max="4" width="21.42578125" style="5" customWidth="1"/>
    <col min="5" max="5" width="19.42578125" style="5" customWidth="1"/>
    <col min="6" max="6" width="27.42578125" style="5" customWidth="1"/>
    <col min="7" max="7" width="17.140625" style="5" customWidth="1"/>
    <col min="8" max="8" width="27.42578125" style="5" customWidth="1"/>
    <col min="9" max="9" width="15.42578125" style="5" customWidth="1"/>
    <col min="10" max="10" width="17.85546875" style="5" customWidth="1"/>
    <col min="11" max="11" width="19.42578125" style="5" customWidth="1"/>
    <col min="12" max="12" width="25.42578125" style="5" customWidth="1"/>
    <col min="13" max="13" width="20.5703125" style="5" customWidth="1"/>
    <col min="14" max="15" width="10.85546875" style="5"/>
    <col min="16" max="16" width="16.5703125" style="5" customWidth="1"/>
    <col min="17" max="17" width="20.42578125" style="5" customWidth="1"/>
    <col min="18" max="18" width="18.5703125" style="5" customWidth="1"/>
    <col min="19" max="19" width="22.85546875" style="5" customWidth="1"/>
    <col min="20" max="20" width="22.140625" style="5" customWidth="1"/>
    <col min="21" max="21" width="25.42578125" style="5" customWidth="1"/>
    <col min="22" max="22" width="21.140625" style="5" customWidth="1"/>
    <col min="23" max="23" width="19.140625" style="5" customWidth="1"/>
    <col min="24" max="24" width="17.42578125" style="5" customWidth="1"/>
    <col min="25" max="25" width="16.42578125" style="5" customWidth="1"/>
    <col min="26" max="26" width="16.140625" style="5" customWidth="1"/>
    <col min="27" max="27" width="28.5703125" style="5" customWidth="1"/>
    <col min="28" max="28" width="19.42578125" style="5" customWidth="1"/>
    <col min="29" max="29" width="21.140625" style="5" customWidth="1"/>
    <col min="30" max="30" width="21.85546875" style="5" customWidth="1"/>
    <col min="31" max="31" width="25.42578125" style="5" customWidth="1"/>
    <col min="32" max="32" width="22.140625" style="5" customWidth="1"/>
    <col min="33" max="33" width="29.5703125" style="5" customWidth="1"/>
    <col min="34" max="34" width="18.5703125" style="5" customWidth="1"/>
    <col min="35" max="35" width="18.140625" style="5" customWidth="1"/>
    <col min="36" max="36" width="22.140625" style="5" customWidth="1"/>
    <col min="37" max="16384" width="10.85546875" style="5"/>
  </cols>
  <sheetData>
    <row r="1" spans="1:50" ht="54.75" customHeight="1">
      <c r="A1" s="268" t="s">
        <v>151</v>
      </c>
      <c r="B1" s="268"/>
      <c r="C1" s="268"/>
      <c r="D1" s="268"/>
      <c r="E1" s="268"/>
      <c r="F1" s="268"/>
      <c r="G1" s="268"/>
      <c r="H1" s="268"/>
    </row>
    <row r="2" spans="1:50" ht="33" customHeight="1">
      <c r="A2" s="272" t="s">
        <v>170</v>
      </c>
      <c r="B2" s="272"/>
      <c r="C2" s="272"/>
      <c r="D2" s="272"/>
      <c r="E2" s="272"/>
      <c r="F2" s="272"/>
      <c r="G2" s="272"/>
      <c r="H2" s="272"/>
      <c r="I2" s="6"/>
      <c r="J2" s="6"/>
      <c r="K2" s="6"/>
      <c r="L2" s="6"/>
      <c r="M2" s="6"/>
      <c r="N2" s="6"/>
      <c r="O2" s="6"/>
      <c r="P2" s="6"/>
      <c r="Q2" s="6"/>
      <c r="R2" s="6"/>
      <c r="S2" s="6"/>
      <c r="T2" s="6"/>
      <c r="U2" s="6"/>
      <c r="V2" s="6"/>
      <c r="W2" s="6"/>
      <c r="X2" s="6"/>
      <c r="Y2" s="6"/>
      <c r="Z2" s="6"/>
      <c r="AA2" s="7"/>
      <c r="AB2" s="7"/>
      <c r="AC2" s="7"/>
      <c r="AD2" s="7"/>
      <c r="AE2" s="7"/>
      <c r="AF2" s="7"/>
      <c r="AG2" s="8"/>
      <c r="AH2" s="8"/>
      <c r="AI2" s="8"/>
      <c r="AJ2" s="8"/>
      <c r="AK2" s="8"/>
      <c r="AL2" s="8"/>
      <c r="AM2" s="8"/>
      <c r="AN2" s="8"/>
      <c r="AO2" s="8"/>
      <c r="AP2" s="8"/>
      <c r="AQ2" s="6"/>
      <c r="AR2" s="6"/>
      <c r="AS2" s="6"/>
      <c r="AT2" s="6"/>
      <c r="AU2" s="6"/>
      <c r="AV2" s="6"/>
      <c r="AW2" s="6"/>
      <c r="AX2" s="6"/>
    </row>
    <row r="3" spans="1:50" ht="48" customHeight="1">
      <c r="A3" s="9" t="s">
        <v>86</v>
      </c>
      <c r="B3" s="267" t="s">
        <v>99</v>
      </c>
      <c r="C3" s="267"/>
      <c r="D3" s="267"/>
      <c r="E3" s="267"/>
      <c r="F3" s="267"/>
      <c r="G3" s="267"/>
      <c r="H3" s="267"/>
    </row>
    <row r="4" spans="1:50" ht="48" customHeight="1">
      <c r="A4" s="9" t="s">
        <v>157</v>
      </c>
      <c r="B4" s="269" t="s">
        <v>176</v>
      </c>
      <c r="C4" s="270"/>
      <c r="D4" s="270"/>
      <c r="E4" s="270"/>
      <c r="F4" s="270"/>
      <c r="G4" s="270"/>
      <c r="H4" s="271"/>
    </row>
    <row r="5" spans="1:50" ht="31.5" customHeight="1">
      <c r="A5" s="9" t="s">
        <v>175</v>
      </c>
      <c r="B5" s="267" t="s">
        <v>100</v>
      </c>
      <c r="C5" s="267"/>
      <c r="D5" s="267"/>
      <c r="E5" s="267"/>
      <c r="F5" s="267"/>
      <c r="G5" s="267"/>
      <c r="H5" s="267"/>
    </row>
    <row r="6" spans="1:50" ht="40.5" customHeight="1">
      <c r="A6" s="9" t="s">
        <v>78</v>
      </c>
      <c r="B6" s="269" t="s">
        <v>101</v>
      </c>
      <c r="C6" s="270"/>
      <c r="D6" s="270"/>
      <c r="E6" s="270"/>
      <c r="F6" s="270"/>
      <c r="G6" s="270"/>
      <c r="H6" s="271"/>
    </row>
    <row r="7" spans="1:50" ht="41.1" customHeight="1">
      <c r="A7" s="9" t="s">
        <v>92</v>
      </c>
      <c r="B7" s="267" t="s">
        <v>102</v>
      </c>
      <c r="C7" s="267"/>
      <c r="D7" s="267"/>
      <c r="E7" s="267"/>
      <c r="F7" s="267"/>
      <c r="G7" s="267"/>
      <c r="H7" s="267"/>
    </row>
    <row r="8" spans="1:50" ht="48.95" customHeight="1">
      <c r="A8" s="9" t="s">
        <v>31</v>
      </c>
      <c r="B8" s="267" t="s">
        <v>182</v>
      </c>
      <c r="C8" s="267"/>
      <c r="D8" s="267"/>
      <c r="E8" s="267"/>
      <c r="F8" s="267"/>
      <c r="G8" s="267"/>
      <c r="H8" s="267"/>
    </row>
    <row r="9" spans="1:50" ht="48.95" customHeight="1">
      <c r="A9" s="9" t="s">
        <v>183</v>
      </c>
      <c r="B9" s="269" t="s">
        <v>184</v>
      </c>
      <c r="C9" s="270"/>
      <c r="D9" s="270"/>
      <c r="E9" s="270"/>
      <c r="F9" s="270"/>
      <c r="G9" s="270"/>
      <c r="H9" s="271"/>
    </row>
    <row r="10" spans="1:50" ht="30">
      <c r="A10" s="9" t="s">
        <v>32</v>
      </c>
      <c r="B10" s="267" t="s">
        <v>103</v>
      </c>
      <c r="C10" s="267"/>
      <c r="D10" s="267"/>
      <c r="E10" s="267"/>
      <c r="F10" s="267"/>
      <c r="G10" s="267"/>
      <c r="H10" s="267"/>
    </row>
    <row r="11" spans="1:50" ht="30">
      <c r="A11" s="9" t="s">
        <v>7</v>
      </c>
      <c r="B11" s="267" t="s">
        <v>104</v>
      </c>
      <c r="C11" s="267"/>
      <c r="D11" s="267"/>
      <c r="E11" s="267"/>
      <c r="F11" s="267"/>
      <c r="G11" s="267"/>
      <c r="H11" s="267"/>
    </row>
    <row r="12" spans="1:50" ht="33.950000000000003" customHeight="1">
      <c r="A12" s="9" t="s">
        <v>79</v>
      </c>
      <c r="B12" s="267" t="s">
        <v>105</v>
      </c>
      <c r="C12" s="267"/>
      <c r="D12" s="267"/>
      <c r="E12" s="267"/>
      <c r="F12" s="267"/>
      <c r="G12" s="267"/>
      <c r="H12" s="267"/>
    </row>
    <row r="13" spans="1:50" ht="30">
      <c r="A13" s="9" t="s">
        <v>28</v>
      </c>
      <c r="B13" s="267" t="s">
        <v>106</v>
      </c>
      <c r="C13" s="267"/>
      <c r="D13" s="267"/>
      <c r="E13" s="267"/>
      <c r="F13" s="267"/>
      <c r="G13" s="267"/>
      <c r="H13" s="267"/>
    </row>
    <row r="14" spans="1:50" ht="30">
      <c r="A14" s="9" t="s">
        <v>96</v>
      </c>
      <c r="B14" s="267" t="s">
        <v>107</v>
      </c>
      <c r="C14" s="267"/>
      <c r="D14" s="267"/>
      <c r="E14" s="267"/>
      <c r="F14" s="267"/>
      <c r="G14" s="267"/>
      <c r="H14" s="267"/>
    </row>
    <row r="15" spans="1:50" ht="44.1" customHeight="1">
      <c r="A15" s="9" t="s">
        <v>93</v>
      </c>
      <c r="B15" s="267" t="s">
        <v>108</v>
      </c>
      <c r="C15" s="267"/>
      <c r="D15" s="267"/>
      <c r="E15" s="267"/>
      <c r="F15" s="267"/>
      <c r="G15" s="267"/>
      <c r="H15" s="267"/>
    </row>
    <row r="16" spans="1:50" ht="60">
      <c r="A16" s="9" t="s">
        <v>8</v>
      </c>
      <c r="B16" s="267" t="s">
        <v>109</v>
      </c>
      <c r="C16" s="267"/>
      <c r="D16" s="267"/>
      <c r="E16" s="267"/>
      <c r="F16" s="267"/>
      <c r="G16" s="267"/>
      <c r="H16" s="267"/>
    </row>
    <row r="17" spans="1:8" ht="58.5" customHeight="1">
      <c r="A17" s="9" t="s">
        <v>29</v>
      </c>
      <c r="B17" s="267" t="s">
        <v>110</v>
      </c>
      <c r="C17" s="267"/>
      <c r="D17" s="267"/>
      <c r="E17" s="267"/>
      <c r="F17" s="267"/>
      <c r="G17" s="267"/>
      <c r="H17" s="267"/>
    </row>
    <row r="18" spans="1:8" ht="30">
      <c r="A18" s="9" t="s">
        <v>80</v>
      </c>
      <c r="B18" s="267" t="s">
        <v>111</v>
      </c>
      <c r="C18" s="267"/>
      <c r="D18" s="267"/>
      <c r="E18" s="267"/>
      <c r="F18" s="267"/>
      <c r="G18" s="267"/>
      <c r="H18" s="267"/>
    </row>
    <row r="19" spans="1:8" ht="30" customHeight="1">
      <c r="A19" s="274"/>
      <c r="B19" s="275"/>
      <c r="C19" s="275"/>
      <c r="D19" s="275"/>
      <c r="E19" s="275"/>
      <c r="F19" s="275"/>
      <c r="G19" s="275"/>
      <c r="H19" s="276"/>
    </row>
    <row r="20" spans="1:8" ht="37.5" customHeight="1">
      <c r="A20" s="272" t="s">
        <v>171</v>
      </c>
      <c r="B20" s="272"/>
      <c r="C20" s="272"/>
      <c r="D20" s="272"/>
      <c r="E20" s="272"/>
      <c r="F20" s="272"/>
      <c r="G20" s="272"/>
      <c r="H20" s="272"/>
    </row>
    <row r="21" spans="1:8" ht="117" customHeight="1">
      <c r="A21" s="277" t="s">
        <v>33</v>
      </c>
      <c r="B21" s="277"/>
      <c r="C21" s="277"/>
      <c r="D21" s="277"/>
      <c r="E21" s="277"/>
      <c r="F21" s="277"/>
      <c r="G21" s="277"/>
      <c r="H21" s="277"/>
    </row>
    <row r="22" spans="1:8" ht="117" customHeight="1">
      <c r="A22" s="9" t="s">
        <v>92</v>
      </c>
      <c r="B22" s="267" t="s">
        <v>102</v>
      </c>
      <c r="C22" s="267"/>
      <c r="D22" s="267"/>
      <c r="E22" s="267"/>
      <c r="F22" s="267"/>
      <c r="G22" s="267"/>
      <c r="H22" s="267"/>
    </row>
    <row r="23" spans="1:8" ht="167.1" customHeight="1">
      <c r="A23" s="9" t="s">
        <v>81</v>
      </c>
      <c r="B23" s="277" t="s">
        <v>112</v>
      </c>
      <c r="C23" s="277"/>
      <c r="D23" s="277"/>
      <c r="E23" s="277"/>
      <c r="F23" s="277"/>
      <c r="G23" s="277"/>
      <c r="H23" s="277"/>
    </row>
    <row r="24" spans="1:8" ht="69.75" customHeight="1">
      <c r="A24" s="9" t="s">
        <v>177</v>
      </c>
      <c r="B24" s="277" t="s">
        <v>113</v>
      </c>
      <c r="C24" s="277"/>
      <c r="D24" s="277"/>
      <c r="E24" s="277"/>
      <c r="F24" s="277"/>
      <c r="G24" s="277"/>
      <c r="H24" s="277"/>
    </row>
    <row r="25" spans="1:8" ht="60" customHeight="1">
      <c r="A25" s="9" t="s">
        <v>178</v>
      </c>
      <c r="B25" s="277" t="s">
        <v>115</v>
      </c>
      <c r="C25" s="277"/>
      <c r="D25" s="277"/>
      <c r="E25" s="277"/>
      <c r="F25" s="277"/>
      <c r="G25" s="277"/>
      <c r="H25" s="277"/>
    </row>
    <row r="26" spans="1:8" ht="24.75" customHeight="1">
      <c r="A26" s="10" t="s">
        <v>83</v>
      </c>
      <c r="B26" s="273" t="s">
        <v>114</v>
      </c>
      <c r="C26" s="273"/>
      <c r="D26" s="273"/>
      <c r="E26" s="273"/>
      <c r="F26" s="273"/>
      <c r="G26" s="273"/>
      <c r="H26" s="273"/>
    </row>
    <row r="27" spans="1:8" ht="26.25" customHeight="1">
      <c r="A27" s="10" t="s">
        <v>84</v>
      </c>
      <c r="B27" s="273" t="s">
        <v>94</v>
      </c>
      <c r="C27" s="273"/>
      <c r="D27" s="273"/>
      <c r="E27" s="273"/>
      <c r="F27" s="273"/>
      <c r="G27" s="273"/>
      <c r="H27" s="273"/>
    </row>
    <row r="28" spans="1:8" ht="53.25" customHeight="1">
      <c r="A28" s="9" t="s">
        <v>158</v>
      </c>
      <c r="B28" s="277" t="s">
        <v>164</v>
      </c>
      <c r="C28" s="277"/>
      <c r="D28" s="277"/>
      <c r="E28" s="277"/>
      <c r="F28" s="277"/>
      <c r="G28" s="277"/>
      <c r="H28" s="277"/>
    </row>
    <row r="29" spans="1:8" ht="45" customHeight="1">
      <c r="A29" s="9" t="s">
        <v>160</v>
      </c>
      <c r="B29" s="293" t="s">
        <v>165</v>
      </c>
      <c r="C29" s="294"/>
      <c r="D29" s="294"/>
      <c r="E29" s="294"/>
      <c r="F29" s="294"/>
      <c r="G29" s="294"/>
      <c r="H29" s="295"/>
    </row>
    <row r="30" spans="1:8" ht="45" customHeight="1">
      <c r="A30" s="9" t="s">
        <v>159</v>
      </c>
      <c r="B30" s="293" t="s">
        <v>166</v>
      </c>
      <c r="C30" s="294"/>
      <c r="D30" s="294"/>
      <c r="E30" s="294"/>
      <c r="F30" s="294"/>
      <c r="G30" s="294"/>
      <c r="H30" s="295"/>
    </row>
    <row r="31" spans="1:8" ht="45" customHeight="1">
      <c r="A31" s="9" t="s">
        <v>150</v>
      </c>
      <c r="B31" s="293" t="s">
        <v>167</v>
      </c>
      <c r="C31" s="294"/>
      <c r="D31" s="294"/>
      <c r="E31" s="294"/>
      <c r="F31" s="294"/>
      <c r="G31" s="294"/>
      <c r="H31" s="295"/>
    </row>
    <row r="32" spans="1:8" ht="33" customHeight="1">
      <c r="A32" s="10" t="s">
        <v>179</v>
      </c>
      <c r="B32" s="277" t="s">
        <v>116</v>
      </c>
      <c r="C32" s="277"/>
      <c r="D32" s="277"/>
      <c r="E32" s="277"/>
      <c r="F32" s="277"/>
      <c r="G32" s="277"/>
      <c r="H32" s="277"/>
    </row>
    <row r="33" spans="1:8" ht="39" customHeight="1">
      <c r="A33" s="9" t="s">
        <v>85</v>
      </c>
      <c r="B33" s="273" t="s">
        <v>168</v>
      </c>
      <c r="C33" s="273"/>
      <c r="D33" s="273"/>
      <c r="E33" s="273"/>
      <c r="F33" s="273"/>
      <c r="G33" s="273"/>
      <c r="H33" s="273"/>
    </row>
    <row r="34" spans="1:8" ht="39" customHeight="1">
      <c r="A34" s="272" t="s">
        <v>200</v>
      </c>
      <c r="B34" s="272"/>
      <c r="C34" s="272"/>
      <c r="D34" s="272"/>
      <c r="E34" s="272"/>
      <c r="F34" s="272"/>
      <c r="G34" s="272"/>
      <c r="H34" s="272"/>
    </row>
    <row r="35" spans="1:8" ht="79.5" customHeight="1">
      <c r="A35" s="269" t="s">
        <v>201</v>
      </c>
      <c r="B35" s="270"/>
      <c r="C35" s="270"/>
      <c r="D35" s="270"/>
      <c r="E35" s="270"/>
      <c r="F35" s="270"/>
      <c r="G35" s="270"/>
      <c r="H35" s="271"/>
    </row>
    <row r="36" spans="1:8" ht="33" customHeight="1">
      <c r="A36" s="9" t="s">
        <v>25</v>
      </c>
      <c r="B36" s="277" t="s">
        <v>139</v>
      </c>
      <c r="C36" s="277"/>
      <c r="D36" s="277"/>
      <c r="E36" s="277"/>
      <c r="F36" s="277"/>
      <c r="G36" s="277"/>
      <c r="H36" s="277"/>
    </row>
    <row r="37" spans="1:8" ht="33" customHeight="1">
      <c r="A37" s="9" t="s">
        <v>26</v>
      </c>
      <c r="B37" s="277" t="s">
        <v>140</v>
      </c>
      <c r="C37" s="277"/>
      <c r="D37" s="277"/>
      <c r="E37" s="277"/>
      <c r="F37" s="277"/>
      <c r="G37" s="277"/>
      <c r="H37" s="277"/>
    </row>
    <row r="38" spans="1:8" ht="33" customHeight="1">
      <c r="A38" s="14"/>
      <c r="B38" s="15"/>
      <c r="C38" s="15"/>
      <c r="D38" s="15"/>
      <c r="E38" s="15"/>
      <c r="F38" s="15"/>
      <c r="G38" s="15"/>
      <c r="H38" s="16"/>
    </row>
    <row r="39" spans="1:8" ht="34.5" customHeight="1">
      <c r="A39" s="272" t="s">
        <v>172</v>
      </c>
      <c r="B39" s="272"/>
      <c r="C39" s="272"/>
      <c r="D39" s="272"/>
      <c r="E39" s="272"/>
      <c r="F39" s="272"/>
      <c r="G39" s="272"/>
      <c r="H39" s="272"/>
    </row>
    <row r="40" spans="1:8" ht="34.5" customHeight="1">
      <c r="A40" s="9" t="s">
        <v>9</v>
      </c>
      <c r="B40" s="277" t="s">
        <v>117</v>
      </c>
      <c r="C40" s="277"/>
      <c r="D40" s="277"/>
      <c r="E40" s="277"/>
      <c r="F40" s="277"/>
      <c r="G40" s="277"/>
      <c r="H40" s="277"/>
    </row>
    <row r="41" spans="1:8" ht="29.25" customHeight="1">
      <c r="A41" s="9" t="s">
        <v>10</v>
      </c>
      <c r="B41" s="277" t="s">
        <v>118</v>
      </c>
      <c r="C41" s="277"/>
      <c r="D41" s="277"/>
      <c r="E41" s="277"/>
      <c r="F41" s="277"/>
      <c r="G41" s="277"/>
      <c r="H41" s="277"/>
    </row>
    <row r="42" spans="1:8" ht="42" customHeight="1">
      <c r="A42" s="9" t="s">
        <v>141</v>
      </c>
      <c r="B42" s="277" t="s">
        <v>186</v>
      </c>
      <c r="C42" s="277"/>
      <c r="D42" s="277"/>
      <c r="E42" s="277"/>
      <c r="F42" s="277"/>
      <c r="G42" s="277"/>
      <c r="H42" s="277"/>
    </row>
    <row r="43" spans="1:8" ht="42" customHeight="1">
      <c r="A43" s="9" t="s">
        <v>188</v>
      </c>
      <c r="B43" s="293" t="s">
        <v>189</v>
      </c>
      <c r="C43" s="294"/>
      <c r="D43" s="294"/>
      <c r="E43" s="294"/>
      <c r="F43" s="294"/>
      <c r="G43" s="294"/>
      <c r="H43" s="295"/>
    </row>
    <row r="44" spans="1:8" ht="42" customHeight="1">
      <c r="A44" s="9" t="s">
        <v>142</v>
      </c>
      <c r="B44" s="293" t="s">
        <v>190</v>
      </c>
      <c r="C44" s="294"/>
      <c r="D44" s="294"/>
      <c r="E44" s="294"/>
      <c r="F44" s="294"/>
      <c r="G44" s="294"/>
      <c r="H44" s="295"/>
    </row>
    <row r="45" spans="1:8" ht="42" customHeight="1">
      <c r="A45" s="9" t="s">
        <v>191</v>
      </c>
      <c r="B45" s="293" t="s">
        <v>193</v>
      </c>
      <c r="C45" s="294"/>
      <c r="D45" s="294"/>
      <c r="E45" s="294"/>
      <c r="F45" s="294"/>
      <c r="G45" s="294"/>
      <c r="H45" s="295"/>
    </row>
    <row r="46" spans="1:8" ht="86.1" customHeight="1">
      <c r="A46" s="11" t="s">
        <v>195</v>
      </c>
      <c r="B46" s="278" t="s">
        <v>119</v>
      </c>
      <c r="C46" s="278"/>
      <c r="D46" s="278"/>
      <c r="E46" s="278"/>
      <c r="F46" s="278"/>
      <c r="G46" s="278"/>
      <c r="H46" s="278"/>
    </row>
    <row r="47" spans="1:8" ht="39.75" customHeight="1">
      <c r="A47" s="11" t="s">
        <v>199</v>
      </c>
      <c r="B47" s="280" t="s">
        <v>202</v>
      </c>
      <c r="C47" s="281"/>
      <c r="D47" s="281"/>
      <c r="E47" s="281"/>
      <c r="F47" s="281"/>
      <c r="G47" s="281"/>
      <c r="H47" s="282"/>
    </row>
    <row r="48" spans="1:8" ht="31.5" customHeight="1">
      <c r="A48" s="11" t="s">
        <v>11</v>
      </c>
      <c r="B48" s="278" t="s">
        <v>194</v>
      </c>
      <c r="C48" s="278"/>
      <c r="D48" s="278"/>
      <c r="E48" s="278"/>
      <c r="F48" s="278"/>
      <c r="G48" s="278"/>
      <c r="H48" s="278"/>
    </row>
    <row r="49" spans="1:8" ht="45">
      <c r="A49" s="11" t="s">
        <v>196</v>
      </c>
      <c r="B49" s="278" t="s">
        <v>120</v>
      </c>
      <c r="C49" s="278"/>
      <c r="D49" s="278"/>
      <c r="E49" s="278"/>
      <c r="F49" s="278"/>
      <c r="G49" s="278"/>
      <c r="H49" s="278"/>
    </row>
    <row r="50" spans="1:8" ht="43.5" customHeight="1">
      <c r="A50" s="11" t="s">
        <v>13</v>
      </c>
      <c r="B50" s="278" t="s">
        <v>121</v>
      </c>
      <c r="C50" s="278"/>
      <c r="D50" s="278"/>
      <c r="E50" s="278"/>
      <c r="F50" s="278"/>
      <c r="G50" s="278"/>
      <c r="H50" s="278"/>
    </row>
    <row r="51" spans="1:8" ht="40.5" customHeight="1">
      <c r="A51" s="11" t="s">
        <v>14</v>
      </c>
      <c r="B51" s="278" t="s">
        <v>122</v>
      </c>
      <c r="C51" s="278"/>
      <c r="D51" s="278"/>
      <c r="E51" s="278"/>
      <c r="F51" s="278"/>
      <c r="G51" s="278"/>
      <c r="H51" s="278"/>
    </row>
    <row r="52" spans="1:8" ht="75.75" customHeight="1">
      <c r="A52" s="12" t="s">
        <v>15</v>
      </c>
      <c r="B52" s="279" t="s">
        <v>123</v>
      </c>
      <c r="C52" s="279"/>
      <c r="D52" s="279"/>
      <c r="E52" s="279"/>
      <c r="F52" s="279"/>
      <c r="G52" s="279"/>
      <c r="H52" s="279"/>
    </row>
    <row r="53" spans="1:8" ht="41.25" customHeight="1">
      <c r="A53" s="12" t="s">
        <v>16</v>
      </c>
      <c r="B53" s="279" t="s">
        <v>124</v>
      </c>
      <c r="C53" s="279"/>
      <c r="D53" s="279"/>
      <c r="E53" s="279"/>
      <c r="F53" s="279"/>
      <c r="G53" s="279"/>
      <c r="H53" s="279"/>
    </row>
    <row r="54" spans="1:8" ht="47.45" customHeight="1">
      <c r="A54" s="12" t="s">
        <v>156</v>
      </c>
      <c r="B54" s="279" t="s">
        <v>125</v>
      </c>
      <c r="C54" s="279"/>
      <c r="D54" s="279"/>
      <c r="E54" s="279"/>
      <c r="F54" s="279"/>
      <c r="G54" s="279"/>
      <c r="H54" s="279"/>
    </row>
    <row r="55" spans="1:8" ht="57.6" customHeight="1">
      <c r="A55" s="12" t="s">
        <v>34</v>
      </c>
      <c r="B55" s="279" t="s">
        <v>126</v>
      </c>
      <c r="C55" s="279"/>
      <c r="D55" s="279"/>
      <c r="E55" s="279"/>
      <c r="F55" s="279"/>
      <c r="G55" s="279"/>
      <c r="H55" s="279"/>
    </row>
    <row r="56" spans="1:8" ht="31.5" customHeight="1">
      <c r="A56" s="12" t="s">
        <v>97</v>
      </c>
      <c r="B56" s="279" t="s">
        <v>127</v>
      </c>
      <c r="C56" s="279"/>
      <c r="D56" s="279"/>
      <c r="E56" s="279"/>
      <c r="F56" s="279"/>
      <c r="G56" s="279"/>
      <c r="H56" s="279"/>
    </row>
    <row r="57" spans="1:8" ht="70.5" customHeight="1">
      <c r="A57" s="12" t="s">
        <v>98</v>
      </c>
      <c r="B57" s="279" t="s">
        <v>128</v>
      </c>
      <c r="C57" s="279"/>
      <c r="D57" s="279"/>
      <c r="E57" s="279"/>
      <c r="F57" s="279"/>
      <c r="G57" s="279"/>
      <c r="H57" s="279"/>
    </row>
    <row r="58" spans="1:8" ht="33.75" customHeight="1">
      <c r="A58" s="285"/>
      <c r="B58" s="285"/>
      <c r="C58" s="285"/>
      <c r="D58" s="285"/>
      <c r="E58" s="285"/>
      <c r="F58" s="285"/>
      <c r="G58" s="285"/>
      <c r="H58" s="286"/>
    </row>
    <row r="59" spans="1:8" ht="32.25" customHeight="1">
      <c r="A59" s="288" t="s">
        <v>174</v>
      </c>
      <c r="B59" s="288"/>
      <c r="C59" s="288"/>
      <c r="D59" s="288"/>
      <c r="E59" s="288"/>
      <c r="F59" s="288"/>
      <c r="G59" s="288"/>
      <c r="H59" s="288"/>
    </row>
    <row r="60" spans="1:8" ht="34.5" customHeight="1">
      <c r="A60" s="9" t="s">
        <v>21</v>
      </c>
      <c r="B60" s="283" t="s">
        <v>134</v>
      </c>
      <c r="C60" s="283"/>
      <c r="D60" s="283"/>
      <c r="E60" s="283"/>
      <c r="F60" s="283"/>
      <c r="G60" s="283"/>
      <c r="H60" s="283"/>
    </row>
    <row r="61" spans="1:8" ht="60" customHeight="1">
      <c r="A61" s="9" t="s">
        <v>30</v>
      </c>
      <c r="B61" s="292" t="s">
        <v>135</v>
      </c>
      <c r="C61" s="292"/>
      <c r="D61" s="292"/>
      <c r="E61" s="292"/>
      <c r="F61" s="292"/>
      <c r="G61" s="292"/>
      <c r="H61" s="292"/>
    </row>
    <row r="62" spans="1:8" ht="41.25" customHeight="1">
      <c r="A62" s="9" t="s">
        <v>197</v>
      </c>
      <c r="B62" s="289" t="s">
        <v>198</v>
      </c>
      <c r="C62" s="290"/>
      <c r="D62" s="290"/>
      <c r="E62" s="290"/>
      <c r="F62" s="290"/>
      <c r="G62" s="290"/>
      <c r="H62" s="291"/>
    </row>
    <row r="63" spans="1:8" ht="42" customHeight="1">
      <c r="A63" s="9" t="s">
        <v>22</v>
      </c>
      <c r="B63" s="277" t="s">
        <v>136</v>
      </c>
      <c r="C63" s="277"/>
      <c r="D63" s="277"/>
      <c r="E63" s="277"/>
      <c r="F63" s="277"/>
      <c r="G63" s="277"/>
      <c r="H63" s="277"/>
    </row>
    <row r="64" spans="1:8" ht="31.5" customHeight="1">
      <c r="A64" s="9" t="s">
        <v>23</v>
      </c>
      <c r="B64" s="283" t="s">
        <v>137</v>
      </c>
      <c r="C64" s="283"/>
      <c r="D64" s="283"/>
      <c r="E64" s="283"/>
      <c r="F64" s="283"/>
      <c r="G64" s="283"/>
      <c r="H64" s="283"/>
    </row>
    <row r="65" spans="1:8" ht="45.75" customHeight="1">
      <c r="A65" s="9" t="s">
        <v>24</v>
      </c>
      <c r="B65" s="283" t="s">
        <v>138</v>
      </c>
      <c r="C65" s="283"/>
      <c r="D65" s="283"/>
      <c r="E65" s="283"/>
      <c r="F65" s="283"/>
      <c r="G65" s="283"/>
      <c r="H65" s="283"/>
    </row>
    <row r="66" spans="1:8" ht="30.75" customHeight="1">
      <c r="A66" s="287"/>
      <c r="B66" s="287"/>
      <c r="C66" s="287"/>
      <c r="D66" s="287"/>
      <c r="E66" s="287"/>
      <c r="F66" s="287"/>
      <c r="G66" s="287"/>
      <c r="H66" s="287"/>
    </row>
    <row r="67" spans="1:8" ht="34.5" customHeight="1">
      <c r="A67" s="288" t="s">
        <v>173</v>
      </c>
      <c r="B67" s="288"/>
      <c r="C67" s="288"/>
      <c r="D67" s="288"/>
      <c r="E67" s="288"/>
      <c r="F67" s="288"/>
      <c r="G67" s="288"/>
      <c r="H67" s="288"/>
    </row>
    <row r="68" spans="1:8" ht="39.75" customHeight="1">
      <c r="A68" s="12" t="s">
        <v>18</v>
      </c>
      <c r="B68" s="283" t="s">
        <v>129</v>
      </c>
      <c r="C68" s="283"/>
      <c r="D68" s="283"/>
      <c r="E68" s="283"/>
      <c r="F68" s="283"/>
      <c r="G68" s="283"/>
      <c r="H68" s="283"/>
    </row>
    <row r="69" spans="1:8" ht="39.75" customHeight="1">
      <c r="A69" s="12" t="s">
        <v>12</v>
      </c>
      <c r="B69" s="283" t="s">
        <v>130</v>
      </c>
      <c r="C69" s="283"/>
      <c r="D69" s="283"/>
      <c r="E69" s="283"/>
      <c r="F69" s="283"/>
      <c r="G69" s="283"/>
      <c r="H69" s="283"/>
    </row>
    <row r="70" spans="1:8" ht="42" customHeight="1">
      <c r="A70" s="12" t="s">
        <v>17</v>
      </c>
      <c r="B70" s="279" t="s">
        <v>131</v>
      </c>
      <c r="C70" s="279"/>
      <c r="D70" s="279"/>
      <c r="E70" s="279"/>
      <c r="F70" s="279"/>
      <c r="G70" s="279"/>
      <c r="H70" s="279"/>
    </row>
    <row r="71" spans="1:8" ht="33.75" customHeight="1">
      <c r="A71" s="12" t="s">
        <v>19</v>
      </c>
      <c r="B71" s="283" t="s">
        <v>132</v>
      </c>
      <c r="C71" s="283"/>
      <c r="D71" s="283"/>
      <c r="E71" s="283"/>
      <c r="F71" s="283"/>
      <c r="G71" s="283"/>
      <c r="H71" s="283"/>
    </row>
    <row r="72" spans="1:8" ht="33" customHeight="1">
      <c r="A72" s="12" t="s">
        <v>20</v>
      </c>
      <c r="B72" s="283" t="s">
        <v>133</v>
      </c>
      <c r="C72" s="283"/>
      <c r="D72" s="283"/>
      <c r="E72" s="283"/>
      <c r="F72" s="283"/>
      <c r="G72" s="283"/>
      <c r="H72" s="283"/>
    </row>
    <row r="73" spans="1:8" ht="33.75" customHeight="1">
      <c r="A73" s="284"/>
      <c r="B73" s="284"/>
      <c r="C73" s="284"/>
      <c r="D73" s="284"/>
      <c r="E73" s="284"/>
      <c r="F73" s="284"/>
      <c r="G73" s="284"/>
      <c r="H73" s="284"/>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96"/>
  <sheetViews>
    <sheetView tabSelected="1" topLeftCell="C1" zoomScale="20" zoomScaleNormal="20" workbookViewId="0">
      <pane ySplit="8" topLeftCell="A15" activePane="bottomLeft" state="frozen"/>
      <selection activeCell="A10" sqref="A10"/>
      <selection pane="bottomLeft" activeCell="AE16" sqref="AE16"/>
    </sheetView>
  </sheetViews>
  <sheetFormatPr baseColWidth="10" defaultColWidth="11.42578125" defaultRowHeight="15.75"/>
  <cols>
    <col min="1" max="2" width="26.42578125" style="64" customWidth="1"/>
    <col min="3" max="3" width="57.42578125" style="64" customWidth="1"/>
    <col min="4" max="4" width="54.5703125" style="64" customWidth="1"/>
    <col min="5" max="5" width="44.5703125" style="64" customWidth="1"/>
    <col min="6" max="6" width="50.5703125" style="82" customWidth="1"/>
    <col min="7" max="7" width="23.5703125" style="64" customWidth="1"/>
    <col min="8" max="8" width="27.140625" style="64" customWidth="1"/>
    <col min="9" max="9" width="27.5703125" style="64" customWidth="1"/>
    <col min="10" max="10" width="65.42578125" style="64" customWidth="1"/>
    <col min="11" max="11" width="95.42578125" style="83" customWidth="1"/>
    <col min="12" max="12" width="35.140625" style="83" hidden="1" customWidth="1"/>
    <col min="13" max="13" width="26.85546875" style="83" hidden="1" customWidth="1"/>
    <col min="14" max="14" width="40.5703125" style="83" hidden="1" customWidth="1"/>
    <col min="15" max="15" width="38.7109375" style="83" hidden="1" customWidth="1"/>
    <col min="16" max="16" width="51" style="83" hidden="1" customWidth="1"/>
    <col min="17" max="17" width="45.28515625" style="83" hidden="1" customWidth="1"/>
    <col min="18" max="18" width="52.28515625" style="247" bestFit="1" customWidth="1"/>
    <col min="19" max="19" width="41.5703125" style="83" hidden="1" customWidth="1"/>
    <col min="20" max="20" width="36.28515625" style="83" hidden="1" customWidth="1"/>
    <col min="21" max="21" width="30.85546875" style="83" hidden="1" customWidth="1"/>
    <col min="22" max="22" width="54.42578125" style="83" hidden="1" customWidth="1"/>
    <col min="23" max="23" width="26.5703125" style="83" hidden="1" customWidth="1"/>
    <col min="24" max="24" width="38.7109375" style="83" hidden="1" customWidth="1"/>
    <col min="25" max="25" width="62.28515625" style="83" bestFit="1" customWidth="1"/>
    <col min="26" max="28" width="30.140625" style="64" hidden="1" customWidth="1"/>
    <col min="29" max="29" width="40.140625" style="84" hidden="1" customWidth="1"/>
    <col min="30" max="30" width="43" style="84" hidden="1" customWidth="1"/>
    <col min="31" max="31" width="44.42578125" style="84" bestFit="1" customWidth="1"/>
    <col min="32" max="32" width="62.85546875" style="84" customWidth="1"/>
    <col min="33" max="33" width="27.42578125" style="64" customWidth="1"/>
    <col min="34" max="34" width="0" style="64" hidden="1" customWidth="1"/>
    <col min="35" max="35" width="23.140625" style="64" customWidth="1"/>
    <col min="36" max="36" width="61.7109375" style="64" customWidth="1"/>
    <col min="37" max="38" width="11.42578125" style="64"/>
    <col min="39" max="39" width="14.5703125" style="64" bestFit="1" customWidth="1"/>
    <col min="40" max="16384" width="11.42578125" style="64"/>
  </cols>
  <sheetData>
    <row r="1" spans="1:32">
      <c r="A1" s="248"/>
      <c r="B1" s="248"/>
      <c r="C1" s="249" t="s">
        <v>1</v>
      </c>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93" t="s">
        <v>251</v>
      </c>
    </row>
    <row r="2" spans="1:32">
      <c r="A2" s="248"/>
      <c r="B2" s="248"/>
      <c r="C2" s="249" t="s">
        <v>2</v>
      </c>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1"/>
      <c r="AF2" s="93" t="s">
        <v>3</v>
      </c>
    </row>
    <row r="3" spans="1:32">
      <c r="A3" s="248"/>
      <c r="B3" s="248"/>
      <c r="C3" s="249" t="s">
        <v>252</v>
      </c>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1"/>
      <c r="AF3" s="93" t="s">
        <v>250</v>
      </c>
    </row>
    <row r="4" spans="1:32">
      <c r="A4" s="248"/>
      <c r="B4" s="248"/>
      <c r="C4" s="249" t="s">
        <v>249</v>
      </c>
      <c r="D4" s="250"/>
      <c r="E4" s="250"/>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c r="AE4" s="251"/>
      <c r="AF4" s="93" t="s">
        <v>204</v>
      </c>
    </row>
    <row r="5" spans="1:32">
      <c r="A5" s="252" t="s">
        <v>162</v>
      </c>
      <c r="B5" s="252"/>
      <c r="C5" s="255" t="s">
        <v>1274</v>
      </c>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94"/>
    </row>
    <row r="6" spans="1:32">
      <c r="A6" s="253" t="s">
        <v>152</v>
      </c>
      <c r="B6" s="254"/>
      <c r="C6" s="254"/>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row>
    <row r="7" spans="1:32">
      <c r="A7" s="257" t="s">
        <v>244</v>
      </c>
      <c r="B7" s="257"/>
      <c r="C7" s="257"/>
      <c r="D7" s="257"/>
      <c r="E7" s="257"/>
      <c r="F7" s="257"/>
      <c r="G7" s="257"/>
      <c r="H7" s="257"/>
      <c r="I7" s="257"/>
      <c r="J7" s="257"/>
      <c r="K7" s="257"/>
      <c r="L7" s="257"/>
      <c r="M7" s="257"/>
      <c r="N7" s="257"/>
      <c r="O7" s="257"/>
      <c r="P7" s="257" t="s">
        <v>245</v>
      </c>
      <c r="Q7" s="257"/>
      <c r="R7" s="257"/>
      <c r="S7" s="257"/>
      <c r="T7" s="257" t="s">
        <v>246</v>
      </c>
      <c r="U7" s="257"/>
      <c r="V7" s="257"/>
      <c r="W7" s="257"/>
      <c r="X7" s="257"/>
      <c r="Y7" s="257" t="s">
        <v>247</v>
      </c>
      <c r="Z7" s="257"/>
      <c r="AA7" s="257"/>
      <c r="AB7" s="257"/>
      <c r="AC7" s="258" t="s">
        <v>248</v>
      </c>
      <c r="AD7" s="258"/>
      <c r="AE7" s="258"/>
      <c r="AF7" s="258"/>
    </row>
    <row r="8" spans="1:32" s="68" customFormat="1" ht="180">
      <c r="A8" s="65" t="s">
        <v>86</v>
      </c>
      <c r="B8" s="65" t="s">
        <v>157</v>
      </c>
      <c r="C8" s="65" t="s">
        <v>149</v>
      </c>
      <c r="D8" s="65" t="s">
        <v>27</v>
      </c>
      <c r="E8" s="65" t="s">
        <v>95</v>
      </c>
      <c r="F8" s="65" t="s">
        <v>6</v>
      </c>
      <c r="G8" s="65" t="s">
        <v>183</v>
      </c>
      <c r="H8" s="65" t="s">
        <v>32</v>
      </c>
      <c r="I8" s="65" t="s">
        <v>7</v>
      </c>
      <c r="J8" s="66" t="s">
        <v>148</v>
      </c>
      <c r="K8" s="65" t="s">
        <v>91</v>
      </c>
      <c r="L8" s="65" t="s">
        <v>90</v>
      </c>
      <c r="M8" s="65" t="s">
        <v>169</v>
      </c>
      <c r="N8" s="65" t="s">
        <v>8</v>
      </c>
      <c r="O8" s="65" t="s">
        <v>29</v>
      </c>
      <c r="P8" s="65" t="s">
        <v>240</v>
      </c>
      <c r="Q8" s="65" t="s">
        <v>154</v>
      </c>
      <c r="R8" s="238" t="s">
        <v>155</v>
      </c>
      <c r="S8" s="65" t="s">
        <v>153</v>
      </c>
      <c r="T8" s="65" t="s">
        <v>209</v>
      </c>
      <c r="U8" s="65" t="s">
        <v>241</v>
      </c>
      <c r="V8" s="65" t="s">
        <v>242</v>
      </c>
      <c r="W8" s="65" t="s">
        <v>243</v>
      </c>
      <c r="X8" s="65" t="s">
        <v>210</v>
      </c>
      <c r="Y8" s="65" t="s">
        <v>253</v>
      </c>
      <c r="Z8" s="65" t="s">
        <v>254</v>
      </c>
      <c r="AA8" s="65" t="s">
        <v>255</v>
      </c>
      <c r="AB8" s="65" t="s">
        <v>256</v>
      </c>
      <c r="AC8" s="67" t="s">
        <v>211</v>
      </c>
      <c r="AD8" s="67" t="s">
        <v>212</v>
      </c>
      <c r="AE8" s="67" t="s">
        <v>213</v>
      </c>
      <c r="AF8" s="67" t="s">
        <v>214</v>
      </c>
    </row>
    <row r="9" spans="1:32" s="53" customFormat="1" ht="409.5">
      <c r="A9" s="48" t="s">
        <v>257</v>
      </c>
      <c r="B9" s="48" t="s">
        <v>258</v>
      </c>
      <c r="C9" s="230" t="s">
        <v>259</v>
      </c>
      <c r="D9" s="230" t="s">
        <v>260</v>
      </c>
      <c r="E9" s="48" t="s">
        <v>261</v>
      </c>
      <c r="F9" s="49" t="s">
        <v>262</v>
      </c>
      <c r="G9" s="50" t="s">
        <v>263</v>
      </c>
      <c r="H9" s="48" t="s">
        <v>264</v>
      </c>
      <c r="I9" s="48" t="s">
        <v>265</v>
      </c>
      <c r="J9" s="48" t="s">
        <v>266</v>
      </c>
      <c r="K9" s="49" t="s">
        <v>267</v>
      </c>
      <c r="L9" s="51">
        <v>1</v>
      </c>
      <c r="M9" s="48" t="s">
        <v>268</v>
      </c>
      <c r="N9" s="48" t="s">
        <v>269</v>
      </c>
      <c r="O9" s="48">
        <v>6</v>
      </c>
      <c r="P9" s="48" t="s">
        <v>270</v>
      </c>
      <c r="Q9" s="48">
        <v>2</v>
      </c>
      <c r="R9" s="239">
        <v>2</v>
      </c>
      <c r="S9" s="49">
        <v>2.67</v>
      </c>
      <c r="T9" s="48">
        <v>0</v>
      </c>
      <c r="U9" s="61">
        <v>1.3260000000000001</v>
      </c>
      <c r="V9" s="58">
        <f>SUM(Y9:AB9)</f>
        <v>4.4999999999999998E-2</v>
      </c>
      <c r="W9" s="60"/>
      <c r="X9" s="61">
        <f>+T9+U9+V9</f>
        <v>1.371</v>
      </c>
      <c r="Y9" s="58">
        <v>4.4999999999999998E-2</v>
      </c>
      <c r="Z9" s="60"/>
      <c r="AA9" s="60"/>
      <c r="AB9" s="60"/>
      <c r="AC9" s="56">
        <f>+IF((V9/R9)&gt;100%,100%,(V9/R9))*L9</f>
        <v>2.2499999999999999E-2</v>
      </c>
      <c r="AD9" s="56">
        <f>+IF(((X9)/O9)&gt;100%,100%,((X9)/O9))*L9</f>
        <v>0.22850000000000001</v>
      </c>
      <c r="AE9" s="56">
        <f>+IF(((V9)/R9)&gt;100%,100%,((V9)/R9))</f>
        <v>2.2499999999999999E-2</v>
      </c>
      <c r="AF9" s="56">
        <f>+IF(((X9)/O9)&gt;100%,100%,((X9))/O9)</f>
        <v>0.22850000000000001</v>
      </c>
    </row>
    <row r="10" spans="1:32" s="53" customFormat="1" ht="130.5" customHeight="1">
      <c r="A10" s="85"/>
      <c r="B10" s="85"/>
      <c r="C10" s="85"/>
      <c r="D10" s="85"/>
      <c r="E10" s="85"/>
      <c r="F10" s="87"/>
      <c r="G10" s="88"/>
      <c r="H10" s="85"/>
      <c r="I10" s="85"/>
      <c r="J10" s="85"/>
      <c r="K10" s="87"/>
      <c r="L10" s="89"/>
      <c r="M10" s="85"/>
      <c r="N10" s="261" t="s">
        <v>1254</v>
      </c>
      <c r="O10" s="262"/>
      <c r="P10" s="262"/>
      <c r="Q10" s="262"/>
      <c r="R10" s="262"/>
      <c r="S10" s="262"/>
      <c r="T10" s="262"/>
      <c r="U10" s="262"/>
      <c r="V10" s="262"/>
      <c r="W10" s="262"/>
      <c r="X10" s="262"/>
      <c r="Y10" s="262"/>
      <c r="Z10" s="262"/>
      <c r="AA10" s="262"/>
      <c r="AB10" s="263"/>
      <c r="AC10" s="90">
        <f>+AC9</f>
        <v>2.2499999999999999E-2</v>
      </c>
      <c r="AD10" s="90">
        <f t="shared" ref="AD10:AF10" si="0">+AD9</f>
        <v>0.22850000000000001</v>
      </c>
      <c r="AE10" s="90">
        <f t="shared" si="0"/>
        <v>2.2499999999999999E-2</v>
      </c>
      <c r="AF10" s="90">
        <f t="shared" si="0"/>
        <v>0.22850000000000001</v>
      </c>
    </row>
    <row r="11" spans="1:32" s="53" customFormat="1" ht="409.5">
      <c r="A11" s="48" t="s">
        <v>271</v>
      </c>
      <c r="B11" s="48" t="s">
        <v>272</v>
      </c>
      <c r="C11" s="48" t="s">
        <v>273</v>
      </c>
      <c r="D11" s="48" t="s">
        <v>274</v>
      </c>
      <c r="E11" s="48" t="s">
        <v>275</v>
      </c>
      <c r="F11" s="259" t="s">
        <v>276</v>
      </c>
      <c r="G11" s="50" t="s">
        <v>277</v>
      </c>
      <c r="H11" s="48" t="s">
        <v>278</v>
      </c>
      <c r="I11" s="48" t="s">
        <v>265</v>
      </c>
      <c r="J11" s="48" t="s">
        <v>266</v>
      </c>
      <c r="K11" s="49" t="s">
        <v>279</v>
      </c>
      <c r="L11" s="51">
        <v>0.5</v>
      </c>
      <c r="M11" s="48" t="s">
        <v>268</v>
      </c>
      <c r="N11" s="48" t="s">
        <v>280</v>
      </c>
      <c r="O11" s="48">
        <v>1</v>
      </c>
      <c r="P11" s="48" t="s">
        <v>270</v>
      </c>
      <c r="Q11" s="58">
        <v>0.5</v>
      </c>
      <c r="R11" s="239">
        <v>0.55000000000000004</v>
      </c>
      <c r="S11" s="59" t="s">
        <v>270</v>
      </c>
      <c r="T11" s="48">
        <v>0</v>
      </c>
      <c r="U11" s="58">
        <v>0.5</v>
      </c>
      <c r="V11" s="58">
        <f t="shared" ref="V11:V89" si="1">SUM(Y11:AB11)</f>
        <v>0.05</v>
      </c>
      <c r="W11" s="60"/>
      <c r="X11" s="61">
        <f t="shared" ref="X11:X89" si="2">+T11+U11+V11</f>
        <v>0.55000000000000004</v>
      </c>
      <c r="Y11" s="58">
        <v>0.05</v>
      </c>
      <c r="Z11" s="60"/>
      <c r="AA11" s="60"/>
      <c r="AB11" s="60"/>
      <c r="AC11" s="56">
        <f t="shared" ref="AC11:AC87" si="3">+IF((V11/R11)&gt;100%,100%,(V11/R11))*L11</f>
        <v>4.5454545454545456E-2</v>
      </c>
      <c r="AD11" s="56">
        <f t="shared" ref="AD11:AD87" si="4">+IF(((X11)/O11)&gt;100%,100%,((X11)/O11))*L11</f>
        <v>0.27500000000000002</v>
      </c>
      <c r="AE11" s="56">
        <f t="shared" ref="AE11:AE87" si="5">+IF(((V11)/R11)&gt;100%,100%,((V11)/R11))</f>
        <v>9.0909090909090912E-2</v>
      </c>
      <c r="AF11" s="56">
        <f t="shared" ref="AF11:AF87" si="6">+IF(((X11)/O11)&gt;100%,100%,((X11))/O11)</f>
        <v>0.55000000000000004</v>
      </c>
    </row>
    <row r="12" spans="1:32" s="53" customFormat="1" ht="409.5">
      <c r="A12" s="48" t="s">
        <v>271</v>
      </c>
      <c r="B12" s="48" t="s">
        <v>272</v>
      </c>
      <c r="C12" s="48" t="s">
        <v>273</v>
      </c>
      <c r="D12" s="48" t="s">
        <v>274</v>
      </c>
      <c r="E12" s="48" t="s">
        <v>275</v>
      </c>
      <c r="F12" s="259"/>
      <c r="G12" s="50" t="s">
        <v>277</v>
      </c>
      <c r="H12" s="48" t="s">
        <v>281</v>
      </c>
      <c r="I12" s="48" t="s">
        <v>265</v>
      </c>
      <c r="J12" s="48" t="s">
        <v>266</v>
      </c>
      <c r="K12" s="49" t="s">
        <v>282</v>
      </c>
      <c r="L12" s="51">
        <v>0.5</v>
      </c>
      <c r="M12" s="48" t="s">
        <v>268</v>
      </c>
      <c r="N12" s="48" t="s">
        <v>283</v>
      </c>
      <c r="O12" s="48">
        <v>1</v>
      </c>
      <c r="P12" s="48" t="s">
        <v>270</v>
      </c>
      <c r="Q12" s="58">
        <v>0.5</v>
      </c>
      <c r="R12" s="239">
        <v>0.55000000000000004</v>
      </c>
      <c r="S12" s="59" t="s">
        <v>270</v>
      </c>
      <c r="T12" s="48">
        <v>0</v>
      </c>
      <c r="U12" s="58">
        <v>0.5</v>
      </c>
      <c r="V12" s="58">
        <f t="shared" si="1"/>
        <v>0.05</v>
      </c>
      <c r="W12" s="60"/>
      <c r="X12" s="61">
        <f t="shared" si="2"/>
        <v>0.55000000000000004</v>
      </c>
      <c r="Y12" s="58">
        <v>0.05</v>
      </c>
      <c r="Z12" s="60"/>
      <c r="AA12" s="60"/>
      <c r="AB12" s="60"/>
      <c r="AC12" s="56">
        <f t="shared" si="3"/>
        <v>4.5454545454545456E-2</v>
      </c>
      <c r="AD12" s="56">
        <f t="shared" si="4"/>
        <v>0.27500000000000002</v>
      </c>
      <c r="AE12" s="56">
        <f t="shared" si="5"/>
        <v>9.0909090909090912E-2</v>
      </c>
      <c r="AF12" s="56">
        <f t="shared" si="6"/>
        <v>0.55000000000000004</v>
      </c>
    </row>
    <row r="13" spans="1:32" s="53" customFormat="1" ht="143.25" customHeight="1">
      <c r="A13" s="85"/>
      <c r="B13" s="85"/>
      <c r="C13" s="85"/>
      <c r="D13" s="85"/>
      <c r="E13" s="85"/>
      <c r="F13" s="87"/>
      <c r="G13" s="88"/>
      <c r="H13" s="85"/>
      <c r="I13" s="85"/>
      <c r="J13" s="85"/>
      <c r="K13" s="87"/>
      <c r="L13" s="89"/>
      <c r="M13" s="85"/>
      <c r="N13" s="261" t="s">
        <v>1255</v>
      </c>
      <c r="O13" s="262"/>
      <c r="P13" s="262"/>
      <c r="Q13" s="262"/>
      <c r="R13" s="262"/>
      <c r="S13" s="262"/>
      <c r="T13" s="262"/>
      <c r="U13" s="262"/>
      <c r="V13" s="262"/>
      <c r="W13" s="262"/>
      <c r="X13" s="262"/>
      <c r="Y13" s="262"/>
      <c r="Z13" s="262"/>
      <c r="AA13" s="262"/>
      <c r="AB13" s="263"/>
      <c r="AC13" s="90">
        <f>SUM(AC11:AC12)</f>
        <v>9.0909090909090912E-2</v>
      </c>
      <c r="AD13" s="90">
        <f>SUM(AD11:AD12)</f>
        <v>0.55000000000000004</v>
      </c>
      <c r="AE13" s="90">
        <f>AVERAGE(AE11:AE12)</f>
        <v>9.0909090909090912E-2</v>
      </c>
      <c r="AF13" s="90">
        <f>AVERAGE(AF11:AF12)</f>
        <v>0.55000000000000004</v>
      </c>
    </row>
    <row r="14" spans="1:32" s="53" customFormat="1" ht="409.5">
      <c r="A14" s="48" t="s">
        <v>284</v>
      </c>
      <c r="B14" s="48" t="s">
        <v>285</v>
      </c>
      <c r="C14" s="230" t="s">
        <v>286</v>
      </c>
      <c r="D14" s="230" t="s">
        <v>287</v>
      </c>
      <c r="E14" s="48" t="s">
        <v>288</v>
      </c>
      <c r="F14" s="259" t="s">
        <v>289</v>
      </c>
      <c r="G14" s="50" t="s">
        <v>290</v>
      </c>
      <c r="H14" s="48" t="s">
        <v>291</v>
      </c>
      <c r="I14" s="48" t="s">
        <v>265</v>
      </c>
      <c r="J14" s="48" t="s">
        <v>292</v>
      </c>
      <c r="K14" s="49" t="s">
        <v>293</v>
      </c>
      <c r="L14" s="54">
        <v>0.5</v>
      </c>
      <c r="M14" s="48" t="s">
        <v>294</v>
      </c>
      <c r="N14" s="48" t="s">
        <v>269</v>
      </c>
      <c r="O14" s="48">
        <v>1</v>
      </c>
      <c r="P14" s="69">
        <v>0.28999999999999998</v>
      </c>
      <c r="Q14" s="58">
        <f>0.39+0.07</f>
        <v>0.46</v>
      </c>
      <c r="R14" s="240">
        <f>0.16+0.037</f>
        <v>0.19700000000000001</v>
      </c>
      <c r="S14" s="59">
        <v>5.2999999999999936E-2</v>
      </c>
      <c r="T14" s="57">
        <v>0.22</v>
      </c>
      <c r="U14" s="58">
        <v>0.42290000000000005</v>
      </c>
      <c r="V14" s="58">
        <f t="shared" si="1"/>
        <v>5.6899999999999999E-2</v>
      </c>
      <c r="W14" s="60"/>
      <c r="X14" s="61">
        <f t="shared" si="2"/>
        <v>0.69979999999999998</v>
      </c>
      <c r="Y14" s="58">
        <v>5.6899999999999999E-2</v>
      </c>
      <c r="Z14" s="60"/>
      <c r="AA14" s="60"/>
      <c r="AB14" s="60"/>
      <c r="AC14" s="56">
        <f t="shared" si="3"/>
        <v>0.14441624365482233</v>
      </c>
      <c r="AD14" s="56">
        <f t="shared" si="4"/>
        <v>0.34989999999999999</v>
      </c>
      <c r="AE14" s="56">
        <f t="shared" si="5"/>
        <v>0.28883248730964467</v>
      </c>
      <c r="AF14" s="56">
        <f t="shared" si="6"/>
        <v>0.69979999999999998</v>
      </c>
    </row>
    <row r="15" spans="1:32" s="53" customFormat="1" ht="409.5">
      <c r="A15" s="48" t="s">
        <v>284</v>
      </c>
      <c r="B15" s="48" t="s">
        <v>285</v>
      </c>
      <c r="C15" s="48" t="s">
        <v>286</v>
      </c>
      <c r="D15" s="48" t="s">
        <v>287</v>
      </c>
      <c r="E15" s="48" t="s">
        <v>288</v>
      </c>
      <c r="F15" s="259"/>
      <c r="G15" s="50" t="s">
        <v>290</v>
      </c>
      <c r="H15" s="48" t="s">
        <v>295</v>
      </c>
      <c r="I15" s="48" t="s">
        <v>265</v>
      </c>
      <c r="J15" s="48" t="s">
        <v>296</v>
      </c>
      <c r="K15" s="49" t="s">
        <v>297</v>
      </c>
      <c r="L15" s="54">
        <v>0.2</v>
      </c>
      <c r="M15" s="48" t="s">
        <v>294</v>
      </c>
      <c r="N15" s="48" t="s">
        <v>269</v>
      </c>
      <c r="O15" s="48">
        <v>1</v>
      </c>
      <c r="P15" s="69">
        <v>0.61</v>
      </c>
      <c r="Q15" s="58">
        <v>0.27</v>
      </c>
      <c r="R15" s="241">
        <v>0.1</v>
      </c>
      <c r="S15" s="59">
        <v>0.04</v>
      </c>
      <c r="T15" s="69">
        <v>0.61</v>
      </c>
      <c r="U15" s="58">
        <v>0.27</v>
      </c>
      <c r="V15" s="58">
        <f t="shared" si="1"/>
        <v>8.9999999999999993E-3</v>
      </c>
      <c r="W15" s="60"/>
      <c r="X15" s="61">
        <f t="shared" si="2"/>
        <v>0.88900000000000001</v>
      </c>
      <c r="Y15" s="58">
        <v>8.9999999999999993E-3</v>
      </c>
      <c r="Z15" s="60"/>
      <c r="AA15" s="60"/>
      <c r="AB15" s="60"/>
      <c r="AC15" s="56">
        <f t="shared" si="3"/>
        <v>1.7999999999999999E-2</v>
      </c>
      <c r="AD15" s="56">
        <f t="shared" si="4"/>
        <v>0.17780000000000001</v>
      </c>
      <c r="AE15" s="56">
        <f t="shared" si="5"/>
        <v>8.9999999999999983E-2</v>
      </c>
      <c r="AF15" s="56">
        <f t="shared" si="6"/>
        <v>0.88900000000000001</v>
      </c>
    </row>
    <row r="16" spans="1:32" s="53" customFormat="1" ht="409.5">
      <c r="A16" s="48" t="s">
        <v>284</v>
      </c>
      <c r="B16" s="48" t="s">
        <v>285</v>
      </c>
      <c r="C16" s="48" t="s">
        <v>286</v>
      </c>
      <c r="D16" s="48" t="s">
        <v>287</v>
      </c>
      <c r="E16" s="48" t="s">
        <v>288</v>
      </c>
      <c r="F16" s="259"/>
      <c r="G16" s="50" t="s">
        <v>290</v>
      </c>
      <c r="H16" s="48" t="s">
        <v>298</v>
      </c>
      <c r="I16" s="48" t="s">
        <v>265</v>
      </c>
      <c r="J16" s="48" t="s">
        <v>299</v>
      </c>
      <c r="K16" s="49" t="s">
        <v>300</v>
      </c>
      <c r="L16" s="54">
        <v>2.1999999999999999E-2</v>
      </c>
      <c r="M16" s="48" t="s">
        <v>294</v>
      </c>
      <c r="N16" s="48" t="s">
        <v>301</v>
      </c>
      <c r="O16" s="48">
        <v>1</v>
      </c>
      <c r="P16" s="57" t="s">
        <v>270</v>
      </c>
      <c r="Q16" s="58">
        <v>0.1</v>
      </c>
      <c r="R16" s="241">
        <v>0.4</v>
      </c>
      <c r="S16" s="59">
        <v>0.6</v>
      </c>
      <c r="T16" s="57">
        <v>0</v>
      </c>
      <c r="U16" s="58">
        <v>0</v>
      </c>
      <c r="V16" s="58">
        <f t="shared" si="1"/>
        <v>0.1278</v>
      </c>
      <c r="W16" s="60"/>
      <c r="X16" s="61">
        <f t="shared" si="2"/>
        <v>0.1278</v>
      </c>
      <c r="Y16" s="58">
        <v>0.1278</v>
      </c>
      <c r="Z16" s="60"/>
      <c r="AA16" s="60"/>
      <c r="AB16" s="60"/>
      <c r="AC16" s="56">
        <f t="shared" si="3"/>
        <v>7.0289999999999988E-3</v>
      </c>
      <c r="AD16" s="56">
        <f t="shared" si="4"/>
        <v>2.8115999999999996E-3</v>
      </c>
      <c r="AE16" s="56">
        <f t="shared" si="5"/>
        <v>0.31949999999999995</v>
      </c>
      <c r="AF16" s="56">
        <f t="shared" si="6"/>
        <v>0.1278</v>
      </c>
    </row>
    <row r="17" spans="1:33" s="53" customFormat="1" ht="409.5">
      <c r="A17" s="48" t="s">
        <v>284</v>
      </c>
      <c r="B17" s="48" t="s">
        <v>285</v>
      </c>
      <c r="C17" s="48" t="s">
        <v>286</v>
      </c>
      <c r="D17" s="48" t="s">
        <v>287</v>
      </c>
      <c r="E17" s="48" t="s">
        <v>288</v>
      </c>
      <c r="F17" s="259"/>
      <c r="G17" s="50" t="s">
        <v>290</v>
      </c>
      <c r="H17" s="48" t="s">
        <v>302</v>
      </c>
      <c r="I17" s="48" t="s">
        <v>265</v>
      </c>
      <c r="J17" s="48" t="s">
        <v>299</v>
      </c>
      <c r="K17" s="49" t="s">
        <v>303</v>
      </c>
      <c r="L17" s="54">
        <v>2.1399999999999999E-2</v>
      </c>
      <c r="M17" s="48" t="s">
        <v>294</v>
      </c>
      <c r="N17" s="48" t="s">
        <v>301</v>
      </c>
      <c r="O17" s="48">
        <v>1</v>
      </c>
      <c r="P17" s="57">
        <v>0.1</v>
      </c>
      <c r="Q17" s="58">
        <v>0.18</v>
      </c>
      <c r="R17" s="242">
        <v>0.4</v>
      </c>
      <c r="S17" s="59">
        <v>1</v>
      </c>
      <c r="T17" s="57">
        <v>0</v>
      </c>
      <c r="U17" s="58">
        <v>0</v>
      </c>
      <c r="V17" s="58">
        <f t="shared" si="1"/>
        <v>0</v>
      </c>
      <c r="W17" s="60"/>
      <c r="X17" s="70">
        <f t="shared" si="2"/>
        <v>0</v>
      </c>
      <c r="Y17" s="58">
        <v>0</v>
      </c>
      <c r="Z17" s="60"/>
      <c r="AA17" s="60"/>
      <c r="AB17" s="60"/>
      <c r="AC17" s="56">
        <f t="shared" si="3"/>
        <v>0</v>
      </c>
      <c r="AD17" s="56">
        <f t="shared" si="4"/>
        <v>0</v>
      </c>
      <c r="AE17" s="56">
        <f t="shared" si="5"/>
        <v>0</v>
      </c>
      <c r="AF17" s="56">
        <f t="shared" si="6"/>
        <v>0</v>
      </c>
    </row>
    <row r="18" spans="1:33" s="53" customFormat="1" ht="409.5">
      <c r="A18" s="48" t="s">
        <v>284</v>
      </c>
      <c r="B18" s="48" t="s">
        <v>285</v>
      </c>
      <c r="C18" s="48" t="s">
        <v>286</v>
      </c>
      <c r="D18" s="48" t="s">
        <v>287</v>
      </c>
      <c r="E18" s="48" t="s">
        <v>288</v>
      </c>
      <c r="F18" s="259"/>
      <c r="G18" s="50" t="s">
        <v>290</v>
      </c>
      <c r="H18" s="48" t="s">
        <v>304</v>
      </c>
      <c r="I18" s="48" t="s">
        <v>265</v>
      </c>
      <c r="J18" s="48" t="s">
        <v>299</v>
      </c>
      <c r="K18" s="49" t="s">
        <v>305</v>
      </c>
      <c r="L18" s="54">
        <v>2.1399999999999999E-2</v>
      </c>
      <c r="M18" s="48" t="s">
        <v>294</v>
      </c>
      <c r="N18" s="48" t="s">
        <v>301</v>
      </c>
      <c r="O18" s="48">
        <v>1</v>
      </c>
      <c r="P18" s="57">
        <v>0.2</v>
      </c>
      <c r="Q18" s="58">
        <v>0.4</v>
      </c>
      <c r="R18" s="242">
        <v>0.4</v>
      </c>
      <c r="S18" s="59">
        <v>1</v>
      </c>
      <c r="T18" s="57">
        <v>0</v>
      </c>
      <c r="U18" s="58">
        <v>0</v>
      </c>
      <c r="V18" s="58">
        <f t="shared" si="1"/>
        <v>0</v>
      </c>
      <c r="W18" s="60"/>
      <c r="X18" s="70">
        <f t="shared" si="2"/>
        <v>0</v>
      </c>
      <c r="Y18" s="58">
        <v>0</v>
      </c>
      <c r="Z18" s="60"/>
      <c r="AA18" s="60"/>
      <c r="AB18" s="60"/>
      <c r="AC18" s="56">
        <f t="shared" si="3"/>
        <v>0</v>
      </c>
      <c r="AD18" s="56">
        <f t="shared" si="4"/>
        <v>0</v>
      </c>
      <c r="AE18" s="56">
        <f t="shared" si="5"/>
        <v>0</v>
      </c>
      <c r="AF18" s="56">
        <f t="shared" si="6"/>
        <v>0</v>
      </c>
    </row>
    <row r="19" spans="1:33" s="53" customFormat="1" ht="409.5">
      <c r="A19" s="48" t="s">
        <v>284</v>
      </c>
      <c r="B19" s="48" t="s">
        <v>285</v>
      </c>
      <c r="C19" s="48" t="s">
        <v>286</v>
      </c>
      <c r="D19" s="48" t="s">
        <v>287</v>
      </c>
      <c r="E19" s="48" t="s">
        <v>288</v>
      </c>
      <c r="F19" s="259"/>
      <c r="G19" s="50" t="s">
        <v>290</v>
      </c>
      <c r="H19" s="48" t="s">
        <v>306</v>
      </c>
      <c r="I19" s="48" t="s">
        <v>265</v>
      </c>
      <c r="J19" s="48" t="s">
        <v>299</v>
      </c>
      <c r="K19" s="49" t="s">
        <v>307</v>
      </c>
      <c r="L19" s="54">
        <v>2.1399999999999999E-2</v>
      </c>
      <c r="M19" s="48" t="s">
        <v>294</v>
      </c>
      <c r="N19" s="48" t="s">
        <v>269</v>
      </c>
      <c r="O19" s="48">
        <v>2</v>
      </c>
      <c r="P19" s="57">
        <v>0.25</v>
      </c>
      <c r="Q19" s="58">
        <v>0.25</v>
      </c>
      <c r="R19" s="242">
        <v>1</v>
      </c>
      <c r="S19" s="57" t="s">
        <v>270</v>
      </c>
      <c r="T19" s="57">
        <v>0</v>
      </c>
      <c r="U19" s="58">
        <v>0</v>
      </c>
      <c r="V19" s="58">
        <f t="shared" si="1"/>
        <v>0</v>
      </c>
      <c r="W19" s="60"/>
      <c r="X19" s="70">
        <f t="shared" si="2"/>
        <v>0</v>
      </c>
      <c r="Y19" s="58" t="s">
        <v>308</v>
      </c>
      <c r="Z19" s="60"/>
      <c r="AA19" s="60"/>
      <c r="AB19" s="60"/>
      <c r="AC19" s="56" t="s">
        <v>308</v>
      </c>
      <c r="AD19" s="56">
        <f t="shared" si="4"/>
        <v>0</v>
      </c>
      <c r="AE19" s="56" t="s">
        <v>308</v>
      </c>
      <c r="AF19" s="56">
        <f t="shared" si="6"/>
        <v>0</v>
      </c>
      <c r="AG19" s="71" t="s">
        <v>309</v>
      </c>
    </row>
    <row r="20" spans="1:33" s="53" customFormat="1" ht="409.5">
      <c r="A20" s="48" t="s">
        <v>284</v>
      </c>
      <c r="B20" s="48" t="s">
        <v>285</v>
      </c>
      <c r="C20" s="48" t="s">
        <v>286</v>
      </c>
      <c r="D20" s="48" t="s">
        <v>287</v>
      </c>
      <c r="E20" s="48" t="s">
        <v>288</v>
      </c>
      <c r="F20" s="259"/>
      <c r="G20" s="50" t="s">
        <v>290</v>
      </c>
      <c r="H20" s="48" t="s">
        <v>310</v>
      </c>
      <c r="I20" s="48" t="s">
        <v>265</v>
      </c>
      <c r="J20" s="48" t="s">
        <v>299</v>
      </c>
      <c r="K20" s="49" t="s">
        <v>311</v>
      </c>
      <c r="L20" s="54">
        <v>2.1299999999999999E-2</v>
      </c>
      <c r="M20" s="48" t="s">
        <v>294</v>
      </c>
      <c r="N20" s="48" t="s">
        <v>269</v>
      </c>
      <c r="O20" s="48">
        <v>1</v>
      </c>
      <c r="P20" s="57">
        <v>0.11</v>
      </c>
      <c r="Q20" s="58">
        <v>0.32</v>
      </c>
      <c r="R20" s="241">
        <v>0.5</v>
      </c>
      <c r="S20" s="59">
        <v>0.4</v>
      </c>
      <c r="T20" s="57">
        <v>0</v>
      </c>
      <c r="U20" s="58">
        <v>0.1</v>
      </c>
      <c r="V20" s="58">
        <f t="shared" si="1"/>
        <v>0</v>
      </c>
      <c r="W20" s="60"/>
      <c r="X20" s="61">
        <f t="shared" si="2"/>
        <v>0.1</v>
      </c>
      <c r="Y20" s="58">
        <v>0</v>
      </c>
      <c r="Z20" s="60"/>
      <c r="AA20" s="60"/>
      <c r="AB20" s="60"/>
      <c r="AC20" s="56">
        <f t="shared" si="3"/>
        <v>0</v>
      </c>
      <c r="AD20" s="56">
        <f t="shared" si="4"/>
        <v>2.1299999999999999E-3</v>
      </c>
      <c r="AE20" s="56">
        <f t="shared" si="5"/>
        <v>0</v>
      </c>
      <c r="AF20" s="56">
        <f t="shared" si="6"/>
        <v>0.1</v>
      </c>
    </row>
    <row r="21" spans="1:33" s="53" customFormat="1" ht="409.5">
      <c r="A21" s="48" t="s">
        <v>284</v>
      </c>
      <c r="B21" s="48" t="s">
        <v>285</v>
      </c>
      <c r="C21" s="48" t="s">
        <v>286</v>
      </c>
      <c r="D21" s="48" t="s">
        <v>287</v>
      </c>
      <c r="E21" s="48" t="s">
        <v>288</v>
      </c>
      <c r="F21" s="259"/>
      <c r="G21" s="50" t="s">
        <v>290</v>
      </c>
      <c r="H21" s="48" t="s">
        <v>312</v>
      </c>
      <c r="I21" s="48" t="s">
        <v>265</v>
      </c>
      <c r="J21" s="48" t="s">
        <v>313</v>
      </c>
      <c r="K21" s="49" t="s">
        <v>314</v>
      </c>
      <c r="L21" s="54">
        <v>2.1299999999999999E-2</v>
      </c>
      <c r="M21" s="48" t="s">
        <v>294</v>
      </c>
      <c r="N21" s="48" t="s">
        <v>269</v>
      </c>
      <c r="O21" s="48">
        <v>1</v>
      </c>
      <c r="P21" s="48" t="s">
        <v>270</v>
      </c>
      <c r="Q21" s="58">
        <v>0.3</v>
      </c>
      <c r="R21" s="242">
        <v>0.3</v>
      </c>
      <c r="S21" s="59">
        <v>0.5169999999999999</v>
      </c>
      <c r="T21" s="48">
        <v>0.1</v>
      </c>
      <c r="U21" s="58">
        <v>0.18</v>
      </c>
      <c r="V21" s="58">
        <f t="shared" si="1"/>
        <v>0.02</v>
      </c>
      <c r="W21" s="60"/>
      <c r="X21" s="61">
        <f t="shared" si="2"/>
        <v>0.30000000000000004</v>
      </c>
      <c r="Y21" s="58">
        <v>0.02</v>
      </c>
      <c r="Z21" s="60"/>
      <c r="AA21" s="60"/>
      <c r="AB21" s="60"/>
      <c r="AC21" s="56">
        <f t="shared" si="3"/>
        <v>1.42E-3</v>
      </c>
      <c r="AD21" s="56">
        <f t="shared" si="4"/>
        <v>6.3900000000000007E-3</v>
      </c>
      <c r="AE21" s="56">
        <f t="shared" si="5"/>
        <v>6.6666666666666666E-2</v>
      </c>
      <c r="AF21" s="56">
        <f t="shared" si="6"/>
        <v>0.30000000000000004</v>
      </c>
    </row>
    <row r="22" spans="1:33" s="53" customFormat="1" ht="409.5">
      <c r="A22" s="48" t="s">
        <v>284</v>
      </c>
      <c r="B22" s="48" t="s">
        <v>285</v>
      </c>
      <c r="C22" s="48" t="s">
        <v>286</v>
      </c>
      <c r="D22" s="48" t="s">
        <v>287</v>
      </c>
      <c r="E22" s="48" t="s">
        <v>288</v>
      </c>
      <c r="F22" s="259"/>
      <c r="G22" s="50" t="s">
        <v>290</v>
      </c>
      <c r="H22" s="48" t="s">
        <v>315</v>
      </c>
      <c r="I22" s="48" t="s">
        <v>265</v>
      </c>
      <c r="J22" s="48" t="s">
        <v>316</v>
      </c>
      <c r="K22" s="49" t="s">
        <v>317</v>
      </c>
      <c r="L22" s="54">
        <v>2.1399999999999999E-2</v>
      </c>
      <c r="M22" s="48" t="s">
        <v>294</v>
      </c>
      <c r="N22" s="48" t="s">
        <v>269</v>
      </c>
      <c r="O22" s="48">
        <v>2</v>
      </c>
      <c r="P22" s="48" t="s">
        <v>270</v>
      </c>
      <c r="Q22" s="58" t="s">
        <v>318</v>
      </c>
      <c r="R22" s="243">
        <v>0.36</v>
      </c>
      <c r="S22" s="72">
        <v>0.47666666666666702</v>
      </c>
      <c r="T22" s="48">
        <v>0.2</v>
      </c>
      <c r="U22" s="73">
        <v>0.26333333333333331</v>
      </c>
      <c r="V22" s="58">
        <f t="shared" si="1"/>
        <v>0</v>
      </c>
      <c r="W22" s="60"/>
      <c r="X22" s="61">
        <f t="shared" si="2"/>
        <v>0.46333333333333332</v>
      </c>
      <c r="Y22" s="58" t="s">
        <v>308</v>
      </c>
      <c r="Z22" s="60"/>
      <c r="AA22" s="60"/>
      <c r="AB22" s="60"/>
      <c r="AC22" s="56" t="s">
        <v>308</v>
      </c>
      <c r="AD22" s="56">
        <f t="shared" si="4"/>
        <v>4.9576666666666666E-3</v>
      </c>
      <c r="AE22" s="56" t="s">
        <v>308</v>
      </c>
      <c r="AF22" s="56">
        <f t="shared" si="6"/>
        <v>0.23166666666666666</v>
      </c>
      <c r="AG22" s="71" t="s">
        <v>319</v>
      </c>
    </row>
    <row r="23" spans="1:33" s="53" customFormat="1" ht="409.5">
      <c r="A23" s="48" t="s">
        <v>284</v>
      </c>
      <c r="B23" s="48" t="s">
        <v>285</v>
      </c>
      <c r="C23" s="48" t="s">
        <v>286</v>
      </c>
      <c r="D23" s="48" t="s">
        <v>287</v>
      </c>
      <c r="E23" s="48" t="s">
        <v>288</v>
      </c>
      <c r="F23" s="259"/>
      <c r="G23" s="50" t="s">
        <v>290</v>
      </c>
      <c r="H23" s="48" t="s">
        <v>320</v>
      </c>
      <c r="I23" s="48" t="s">
        <v>265</v>
      </c>
      <c r="J23" s="48" t="s">
        <v>321</v>
      </c>
      <c r="K23" s="49" t="s">
        <v>322</v>
      </c>
      <c r="L23" s="54">
        <v>2.1399999999999999E-2</v>
      </c>
      <c r="M23" s="48" t="s">
        <v>294</v>
      </c>
      <c r="N23" s="48" t="s">
        <v>269</v>
      </c>
      <c r="O23" s="48">
        <v>1</v>
      </c>
      <c r="P23" s="57" t="s">
        <v>308</v>
      </c>
      <c r="Q23" s="58">
        <v>0.5</v>
      </c>
      <c r="R23" s="242">
        <v>0.2</v>
      </c>
      <c r="S23" s="59">
        <v>0.8</v>
      </c>
      <c r="T23" s="57">
        <v>0.2</v>
      </c>
      <c r="U23" s="58">
        <v>0</v>
      </c>
      <c r="V23" s="58">
        <f t="shared" si="1"/>
        <v>0</v>
      </c>
      <c r="W23" s="60"/>
      <c r="X23" s="61">
        <f t="shared" si="2"/>
        <v>0.2</v>
      </c>
      <c r="Y23" s="58" t="s">
        <v>308</v>
      </c>
      <c r="Z23" s="60"/>
      <c r="AA23" s="60"/>
      <c r="AB23" s="60"/>
      <c r="AC23" s="56" t="s">
        <v>308</v>
      </c>
      <c r="AD23" s="56">
        <f t="shared" si="4"/>
        <v>4.28E-3</v>
      </c>
      <c r="AE23" s="56" t="s">
        <v>308</v>
      </c>
      <c r="AF23" s="56">
        <f t="shared" si="6"/>
        <v>0.2</v>
      </c>
      <c r="AG23" s="71" t="s">
        <v>319</v>
      </c>
    </row>
    <row r="24" spans="1:33" s="53" customFormat="1" ht="409.5">
      <c r="A24" s="48" t="s">
        <v>284</v>
      </c>
      <c r="B24" s="48" t="s">
        <v>285</v>
      </c>
      <c r="C24" s="48" t="s">
        <v>286</v>
      </c>
      <c r="D24" s="48" t="s">
        <v>287</v>
      </c>
      <c r="E24" s="48" t="s">
        <v>288</v>
      </c>
      <c r="F24" s="259"/>
      <c r="G24" s="50" t="s">
        <v>290</v>
      </c>
      <c r="H24" s="48" t="s">
        <v>323</v>
      </c>
      <c r="I24" s="48" t="s">
        <v>265</v>
      </c>
      <c r="J24" s="48" t="s">
        <v>321</v>
      </c>
      <c r="K24" s="49" t="s">
        <v>324</v>
      </c>
      <c r="L24" s="54">
        <v>2.1399999999999999E-2</v>
      </c>
      <c r="M24" s="48" t="s">
        <v>294</v>
      </c>
      <c r="N24" s="48" t="s">
        <v>269</v>
      </c>
      <c r="O24" s="48">
        <v>1</v>
      </c>
      <c r="P24" s="57" t="s">
        <v>308</v>
      </c>
      <c r="Q24" s="58">
        <v>1</v>
      </c>
      <c r="R24" s="242">
        <v>0.2</v>
      </c>
      <c r="S24" s="59">
        <v>0.8</v>
      </c>
      <c r="T24" s="57">
        <v>0.2</v>
      </c>
      <c r="U24" s="58">
        <v>0</v>
      </c>
      <c r="V24" s="58">
        <f t="shared" si="1"/>
        <v>0</v>
      </c>
      <c r="W24" s="60"/>
      <c r="X24" s="61">
        <f t="shared" si="2"/>
        <v>0.2</v>
      </c>
      <c r="Y24" s="58">
        <v>0</v>
      </c>
      <c r="Z24" s="60"/>
      <c r="AA24" s="60"/>
      <c r="AB24" s="60"/>
      <c r="AC24" s="56" t="s">
        <v>308</v>
      </c>
      <c r="AD24" s="56">
        <f t="shared" si="4"/>
        <v>4.28E-3</v>
      </c>
      <c r="AE24" s="56" t="s">
        <v>308</v>
      </c>
      <c r="AF24" s="56">
        <f t="shared" si="6"/>
        <v>0.2</v>
      </c>
      <c r="AG24" s="71" t="s">
        <v>319</v>
      </c>
    </row>
    <row r="25" spans="1:33" s="53" customFormat="1" ht="366">
      <c r="A25" s="48"/>
      <c r="B25" s="48"/>
      <c r="C25" s="48"/>
      <c r="D25" s="48"/>
      <c r="E25" s="48"/>
      <c r="F25" s="259"/>
      <c r="G25" s="50" t="s">
        <v>290</v>
      </c>
      <c r="H25" s="48" t="s">
        <v>325</v>
      </c>
      <c r="I25" s="48" t="s">
        <v>265</v>
      </c>
      <c r="J25" s="48" t="s">
        <v>326</v>
      </c>
      <c r="K25" s="49" t="s">
        <v>327</v>
      </c>
      <c r="L25" s="54">
        <v>2.1399999999999999E-2</v>
      </c>
      <c r="M25" s="48" t="s">
        <v>294</v>
      </c>
      <c r="N25" s="74" t="s">
        <v>269</v>
      </c>
      <c r="O25" s="48">
        <v>1</v>
      </c>
      <c r="P25" s="48" t="s">
        <v>308</v>
      </c>
      <c r="Q25" s="58">
        <v>0.5</v>
      </c>
      <c r="R25" s="242">
        <v>0.25</v>
      </c>
      <c r="S25" s="59">
        <v>0.25</v>
      </c>
      <c r="T25" s="48">
        <v>0.25</v>
      </c>
      <c r="U25" s="58">
        <v>0.25</v>
      </c>
      <c r="V25" s="58">
        <f t="shared" si="1"/>
        <v>6.25E-2</v>
      </c>
      <c r="W25" s="60"/>
      <c r="X25" s="61">
        <f t="shared" si="2"/>
        <v>0.5625</v>
      </c>
      <c r="Y25" s="58">
        <f>0.25/4</f>
        <v>6.25E-2</v>
      </c>
      <c r="Z25" s="60"/>
      <c r="AA25" s="60"/>
      <c r="AB25" s="60"/>
      <c r="AC25" s="56">
        <f t="shared" si="3"/>
        <v>5.3499999999999997E-3</v>
      </c>
      <c r="AD25" s="56">
        <f t="shared" si="4"/>
        <v>1.20375E-2</v>
      </c>
      <c r="AE25" s="56">
        <f t="shared" si="5"/>
        <v>0.25</v>
      </c>
      <c r="AF25" s="56">
        <f t="shared" si="6"/>
        <v>0.5625</v>
      </c>
    </row>
    <row r="26" spans="1:33" s="53" customFormat="1" ht="409.5">
      <c r="A26" s="48" t="s">
        <v>284</v>
      </c>
      <c r="B26" s="48" t="s">
        <v>285</v>
      </c>
      <c r="C26" s="48" t="s">
        <v>286</v>
      </c>
      <c r="D26" s="48" t="s">
        <v>287</v>
      </c>
      <c r="E26" s="48" t="s">
        <v>288</v>
      </c>
      <c r="F26" s="259"/>
      <c r="G26" s="50" t="s">
        <v>290</v>
      </c>
      <c r="H26" s="48" t="s">
        <v>328</v>
      </c>
      <c r="I26" s="48" t="s">
        <v>265</v>
      </c>
      <c r="J26" s="48" t="s">
        <v>299</v>
      </c>
      <c r="K26" s="49" t="s">
        <v>329</v>
      </c>
      <c r="L26" s="54">
        <v>2.1399999999999999E-2</v>
      </c>
      <c r="M26" s="48" t="s">
        <v>268</v>
      </c>
      <c r="N26" s="48" t="s">
        <v>269</v>
      </c>
      <c r="O26" s="48">
        <v>1</v>
      </c>
      <c r="P26" s="48">
        <v>584</v>
      </c>
      <c r="Q26" s="58">
        <v>768</v>
      </c>
      <c r="R26" s="242">
        <v>0.36</v>
      </c>
      <c r="S26" s="59">
        <v>0.27</v>
      </c>
      <c r="T26" s="48">
        <v>0.11000000000000001</v>
      </c>
      <c r="U26" s="58">
        <v>0.32</v>
      </c>
      <c r="V26" s="58">
        <f t="shared" si="1"/>
        <v>0</v>
      </c>
      <c r="W26" s="60"/>
      <c r="X26" s="61">
        <f t="shared" si="2"/>
        <v>0.43000000000000005</v>
      </c>
      <c r="Y26" s="58" t="s">
        <v>308</v>
      </c>
      <c r="Z26" s="60"/>
      <c r="AA26" s="60"/>
      <c r="AB26" s="60"/>
      <c r="AC26" s="56" t="s">
        <v>308</v>
      </c>
      <c r="AD26" s="56">
        <f t="shared" si="4"/>
        <v>9.2020000000000001E-3</v>
      </c>
      <c r="AE26" s="56" t="s">
        <v>308</v>
      </c>
      <c r="AF26" s="56">
        <f t="shared" si="6"/>
        <v>0.43000000000000005</v>
      </c>
      <c r="AG26" s="71" t="s">
        <v>319</v>
      </c>
    </row>
    <row r="27" spans="1:33" s="53" customFormat="1" ht="409.5">
      <c r="A27" s="48" t="s">
        <v>284</v>
      </c>
      <c r="B27" s="48" t="s">
        <v>285</v>
      </c>
      <c r="C27" s="48" t="s">
        <v>286</v>
      </c>
      <c r="D27" s="48" t="s">
        <v>287</v>
      </c>
      <c r="E27" s="48" t="s">
        <v>288</v>
      </c>
      <c r="F27" s="259"/>
      <c r="G27" s="50" t="s">
        <v>290</v>
      </c>
      <c r="H27" s="48" t="s">
        <v>330</v>
      </c>
      <c r="I27" s="48" t="s">
        <v>265</v>
      </c>
      <c r="J27" s="48" t="s">
        <v>299</v>
      </c>
      <c r="K27" s="49" t="s">
        <v>331</v>
      </c>
      <c r="L27" s="54">
        <v>2.1399999999999999E-2</v>
      </c>
      <c r="M27" s="48" t="s">
        <v>268</v>
      </c>
      <c r="N27" s="48" t="s">
        <v>301</v>
      </c>
      <c r="O27" s="48">
        <v>1</v>
      </c>
      <c r="P27" s="57" t="s">
        <v>270</v>
      </c>
      <c r="Q27" s="58">
        <v>0.3</v>
      </c>
      <c r="R27" s="244">
        <v>0.20285714285714287</v>
      </c>
      <c r="S27" s="59">
        <v>0.50000000000000011</v>
      </c>
      <c r="T27" s="75">
        <v>0</v>
      </c>
      <c r="U27" s="58">
        <v>0.29709999999999998</v>
      </c>
      <c r="V27" s="58">
        <f t="shared" si="1"/>
        <v>6.4285714285714302E-3</v>
      </c>
      <c r="W27" s="60"/>
      <c r="X27" s="76">
        <f t="shared" si="2"/>
        <v>0.30352857142857143</v>
      </c>
      <c r="Y27" s="77">
        <v>6.4285714285714302E-3</v>
      </c>
      <c r="Z27" s="60"/>
      <c r="AA27" s="60"/>
      <c r="AB27" s="60"/>
      <c r="AC27" s="56">
        <f t="shared" si="3"/>
        <v>6.7816901408450717E-4</v>
      </c>
      <c r="AD27" s="56">
        <f t="shared" si="4"/>
        <v>6.4955114285714282E-3</v>
      </c>
      <c r="AE27" s="56">
        <f t="shared" si="5"/>
        <v>3.1690140845070429E-2</v>
      </c>
      <c r="AF27" s="56">
        <f t="shared" si="6"/>
        <v>0.30352857142857143</v>
      </c>
    </row>
    <row r="28" spans="1:33" s="53" customFormat="1" ht="409.5">
      <c r="A28" s="48" t="s">
        <v>284</v>
      </c>
      <c r="B28" s="48" t="s">
        <v>285</v>
      </c>
      <c r="C28" s="48" t="s">
        <v>286</v>
      </c>
      <c r="D28" s="48" t="s">
        <v>287</v>
      </c>
      <c r="E28" s="48" t="s">
        <v>288</v>
      </c>
      <c r="F28" s="259"/>
      <c r="G28" s="50" t="s">
        <v>290</v>
      </c>
      <c r="H28" s="48" t="s">
        <v>332</v>
      </c>
      <c r="I28" s="48" t="s">
        <v>265</v>
      </c>
      <c r="J28" s="48" t="s">
        <v>299</v>
      </c>
      <c r="K28" s="49" t="s">
        <v>333</v>
      </c>
      <c r="L28" s="54">
        <v>2.1399999999999999E-2</v>
      </c>
      <c r="M28" s="48" t="s">
        <v>294</v>
      </c>
      <c r="N28" s="48" t="s">
        <v>269</v>
      </c>
      <c r="O28" s="48">
        <v>4</v>
      </c>
      <c r="P28" s="57" t="s">
        <v>270</v>
      </c>
      <c r="Q28" s="58">
        <v>0.25</v>
      </c>
      <c r="R28" s="241">
        <v>2</v>
      </c>
      <c r="S28" s="59">
        <v>1</v>
      </c>
      <c r="T28" s="57">
        <v>0</v>
      </c>
      <c r="U28" s="58">
        <v>1</v>
      </c>
      <c r="V28" s="58">
        <f t="shared" si="1"/>
        <v>0.5</v>
      </c>
      <c r="W28" s="60"/>
      <c r="X28" s="78">
        <f t="shared" si="2"/>
        <v>1.5</v>
      </c>
      <c r="Y28" s="58">
        <v>0.5</v>
      </c>
      <c r="Z28" s="60"/>
      <c r="AA28" s="60"/>
      <c r="AB28" s="60"/>
      <c r="AC28" s="56">
        <f t="shared" si="3"/>
        <v>5.3499999999999997E-3</v>
      </c>
      <c r="AD28" s="56">
        <f t="shared" si="4"/>
        <v>8.0249999999999991E-3</v>
      </c>
      <c r="AE28" s="56">
        <f t="shared" si="5"/>
        <v>0.25</v>
      </c>
      <c r="AF28" s="56">
        <f t="shared" si="6"/>
        <v>0.375</v>
      </c>
    </row>
    <row r="29" spans="1:33" s="53" customFormat="1" ht="409.5">
      <c r="A29" s="48" t="s">
        <v>284</v>
      </c>
      <c r="B29" s="48" t="s">
        <v>285</v>
      </c>
      <c r="C29" s="48" t="s">
        <v>286</v>
      </c>
      <c r="D29" s="48" t="s">
        <v>287</v>
      </c>
      <c r="E29" s="48" t="s">
        <v>288</v>
      </c>
      <c r="F29" s="259"/>
      <c r="G29" s="50" t="s">
        <v>290</v>
      </c>
      <c r="H29" s="48" t="s">
        <v>334</v>
      </c>
      <c r="I29" s="48" t="s">
        <v>265</v>
      </c>
      <c r="J29" s="48" t="s">
        <v>335</v>
      </c>
      <c r="K29" s="49" t="s">
        <v>336</v>
      </c>
      <c r="L29" s="54">
        <v>2.1399999999999999E-2</v>
      </c>
      <c r="M29" s="48" t="s">
        <v>268</v>
      </c>
      <c r="N29" s="48" t="s">
        <v>269</v>
      </c>
      <c r="O29" s="48">
        <v>1</v>
      </c>
      <c r="P29" s="57">
        <v>0.1</v>
      </c>
      <c r="Q29" s="58">
        <v>0.3</v>
      </c>
      <c r="R29" s="241" t="s">
        <v>270</v>
      </c>
      <c r="S29" s="59">
        <v>1</v>
      </c>
      <c r="T29" s="57">
        <v>0</v>
      </c>
      <c r="U29" s="58">
        <v>0</v>
      </c>
      <c r="V29" s="58">
        <f t="shared" si="1"/>
        <v>0</v>
      </c>
      <c r="W29" s="60"/>
      <c r="X29" s="61">
        <f t="shared" si="2"/>
        <v>0</v>
      </c>
      <c r="Y29" s="58" t="s">
        <v>308</v>
      </c>
      <c r="Z29" s="60"/>
      <c r="AA29" s="60"/>
      <c r="AB29" s="60"/>
      <c r="AC29" s="56" t="s">
        <v>308</v>
      </c>
      <c r="AD29" s="56">
        <f t="shared" si="4"/>
        <v>0</v>
      </c>
      <c r="AE29" s="56" t="s">
        <v>308</v>
      </c>
      <c r="AF29" s="56">
        <f t="shared" si="6"/>
        <v>0</v>
      </c>
    </row>
    <row r="30" spans="1:33" s="53" customFormat="1" ht="133.5" customHeight="1">
      <c r="A30" s="85"/>
      <c r="B30" s="85"/>
      <c r="C30" s="85"/>
      <c r="D30" s="85"/>
      <c r="E30" s="85"/>
      <c r="F30" s="87"/>
      <c r="G30" s="88"/>
      <c r="H30" s="85"/>
      <c r="I30" s="85"/>
      <c r="J30" s="85"/>
      <c r="K30" s="87"/>
      <c r="L30" s="91"/>
      <c r="M30" s="85"/>
      <c r="N30" s="261" t="s">
        <v>1256</v>
      </c>
      <c r="O30" s="262"/>
      <c r="P30" s="262"/>
      <c r="Q30" s="262"/>
      <c r="R30" s="262"/>
      <c r="S30" s="262"/>
      <c r="T30" s="262"/>
      <c r="U30" s="262"/>
      <c r="V30" s="262"/>
      <c r="W30" s="262"/>
      <c r="X30" s="262"/>
      <c r="Y30" s="262"/>
      <c r="Z30" s="262"/>
      <c r="AA30" s="262"/>
      <c r="AB30" s="263"/>
      <c r="AC30" s="90">
        <f>SUM(AC14:AC29)</f>
        <v>0.18224341266890684</v>
      </c>
      <c r="AD30" s="90">
        <f>SUM(AD14:AD29)</f>
        <v>0.58830927809523803</v>
      </c>
      <c r="AE30" s="90">
        <f>AVERAGE(AE14:AE29)</f>
        <v>0.12966892948213818</v>
      </c>
      <c r="AF30" s="90">
        <f>AVERAGE(AF14:AF29)</f>
        <v>0.27620595238095241</v>
      </c>
    </row>
    <row r="31" spans="1:33" s="53" customFormat="1" ht="409.5">
      <c r="A31" s="48" t="s">
        <v>284</v>
      </c>
      <c r="B31" s="48" t="s">
        <v>285</v>
      </c>
      <c r="C31" s="48" t="s">
        <v>286</v>
      </c>
      <c r="D31" s="48" t="s">
        <v>337</v>
      </c>
      <c r="E31" s="48" t="s">
        <v>338</v>
      </c>
      <c r="F31" s="259" t="s">
        <v>339</v>
      </c>
      <c r="G31" s="50" t="s">
        <v>340</v>
      </c>
      <c r="H31" s="48" t="s">
        <v>341</v>
      </c>
      <c r="I31" s="48" t="s">
        <v>265</v>
      </c>
      <c r="J31" s="48" t="s">
        <v>342</v>
      </c>
      <c r="K31" s="49" t="s">
        <v>343</v>
      </c>
      <c r="L31" s="51">
        <v>0.4</v>
      </c>
      <c r="M31" s="48" t="s">
        <v>294</v>
      </c>
      <c r="N31" s="48" t="s">
        <v>344</v>
      </c>
      <c r="O31" s="48">
        <v>1</v>
      </c>
      <c r="P31" s="57">
        <v>0.12</v>
      </c>
      <c r="Q31" s="58">
        <v>0.57999999999999996</v>
      </c>
      <c r="R31" s="241">
        <v>0.5</v>
      </c>
      <c r="S31" s="59" t="s">
        <v>270</v>
      </c>
      <c r="T31" s="57">
        <v>0</v>
      </c>
      <c r="U31" s="58">
        <v>0.5</v>
      </c>
      <c r="V31" s="58">
        <f t="shared" si="1"/>
        <v>0</v>
      </c>
      <c r="W31" s="60"/>
      <c r="X31" s="61">
        <f t="shared" si="2"/>
        <v>0.5</v>
      </c>
      <c r="Y31" s="58" t="s">
        <v>308</v>
      </c>
      <c r="Z31" s="60"/>
      <c r="AA31" s="60"/>
      <c r="AB31" s="60"/>
      <c r="AC31" s="56" t="s">
        <v>308</v>
      </c>
      <c r="AD31" s="56">
        <f t="shared" si="4"/>
        <v>0.2</v>
      </c>
      <c r="AE31" s="56" t="s">
        <v>308</v>
      </c>
      <c r="AF31" s="56">
        <f t="shared" si="6"/>
        <v>0.5</v>
      </c>
      <c r="AG31" s="71" t="s">
        <v>319</v>
      </c>
    </row>
    <row r="32" spans="1:33" s="53" customFormat="1" ht="409.5">
      <c r="A32" s="48" t="s">
        <v>284</v>
      </c>
      <c r="B32" s="48" t="s">
        <v>285</v>
      </c>
      <c r="C32" s="48" t="s">
        <v>286</v>
      </c>
      <c r="D32" s="48" t="s">
        <v>337</v>
      </c>
      <c r="E32" s="48" t="s">
        <v>345</v>
      </c>
      <c r="F32" s="259"/>
      <c r="G32" s="50" t="s">
        <v>340</v>
      </c>
      <c r="H32" s="48" t="s">
        <v>346</v>
      </c>
      <c r="I32" s="48" t="s">
        <v>265</v>
      </c>
      <c r="J32" s="48" t="s">
        <v>347</v>
      </c>
      <c r="K32" s="49" t="s">
        <v>348</v>
      </c>
      <c r="L32" s="51">
        <v>0.2</v>
      </c>
      <c r="M32" s="48" t="s">
        <v>294</v>
      </c>
      <c r="N32" s="48" t="s">
        <v>349</v>
      </c>
      <c r="O32" s="48">
        <v>2</v>
      </c>
      <c r="P32" s="57">
        <v>0.1</v>
      </c>
      <c r="Q32" s="58">
        <v>0.2</v>
      </c>
      <c r="R32" s="241">
        <v>1</v>
      </c>
      <c r="S32" s="59" t="s">
        <v>270</v>
      </c>
      <c r="T32" s="57">
        <v>0</v>
      </c>
      <c r="U32" s="58">
        <v>1</v>
      </c>
      <c r="V32" s="58">
        <f t="shared" si="1"/>
        <v>0.05</v>
      </c>
      <c r="W32" s="60"/>
      <c r="X32" s="61">
        <f t="shared" si="2"/>
        <v>1.05</v>
      </c>
      <c r="Y32" s="58">
        <v>0.05</v>
      </c>
      <c r="Z32" s="60"/>
      <c r="AA32" s="60"/>
      <c r="AB32" s="60"/>
      <c r="AC32" s="56">
        <f t="shared" si="3"/>
        <v>1.0000000000000002E-2</v>
      </c>
      <c r="AD32" s="56">
        <f t="shared" si="4"/>
        <v>0.10500000000000001</v>
      </c>
      <c r="AE32" s="56">
        <f t="shared" si="5"/>
        <v>0.05</v>
      </c>
      <c r="AF32" s="56">
        <f t="shared" si="6"/>
        <v>0.52500000000000002</v>
      </c>
    </row>
    <row r="33" spans="1:33" s="53" customFormat="1" ht="409.5">
      <c r="A33" s="48" t="s">
        <v>284</v>
      </c>
      <c r="B33" s="48" t="s">
        <v>285</v>
      </c>
      <c r="C33" s="48" t="s">
        <v>286</v>
      </c>
      <c r="D33" s="48" t="s">
        <v>337</v>
      </c>
      <c r="E33" s="48" t="s">
        <v>345</v>
      </c>
      <c r="F33" s="259"/>
      <c r="G33" s="50" t="s">
        <v>340</v>
      </c>
      <c r="H33" s="48" t="s">
        <v>350</v>
      </c>
      <c r="I33" s="48" t="s">
        <v>265</v>
      </c>
      <c r="J33" s="48" t="s">
        <v>351</v>
      </c>
      <c r="K33" s="49" t="s">
        <v>352</v>
      </c>
      <c r="L33" s="51">
        <v>0.2</v>
      </c>
      <c r="M33" s="48" t="s">
        <v>268</v>
      </c>
      <c r="N33" s="48" t="s">
        <v>353</v>
      </c>
      <c r="O33" s="48">
        <v>1</v>
      </c>
      <c r="P33" s="57" t="s">
        <v>270</v>
      </c>
      <c r="Q33" s="58">
        <v>0.15</v>
      </c>
      <c r="R33" s="241">
        <v>0.5</v>
      </c>
      <c r="S33" s="59" t="s">
        <v>270</v>
      </c>
      <c r="T33" s="57">
        <v>0</v>
      </c>
      <c r="U33" s="58">
        <v>0.5</v>
      </c>
      <c r="V33" s="58">
        <f t="shared" si="1"/>
        <v>0</v>
      </c>
      <c r="W33" s="60"/>
      <c r="X33" s="61">
        <f t="shared" si="2"/>
        <v>0.5</v>
      </c>
      <c r="Y33" s="58" t="s">
        <v>308</v>
      </c>
      <c r="Z33" s="60"/>
      <c r="AA33" s="60"/>
      <c r="AB33" s="60"/>
      <c r="AC33" s="56" t="s">
        <v>308</v>
      </c>
      <c r="AD33" s="56">
        <f t="shared" si="4"/>
        <v>0.1</v>
      </c>
      <c r="AE33" s="56" t="s">
        <v>308</v>
      </c>
      <c r="AF33" s="56">
        <f t="shared" si="6"/>
        <v>0.5</v>
      </c>
      <c r="AG33" s="71" t="s">
        <v>319</v>
      </c>
    </row>
    <row r="34" spans="1:33" s="53" customFormat="1" ht="143.25" customHeight="1">
      <c r="A34" s="85"/>
      <c r="B34" s="85"/>
      <c r="C34" s="85"/>
      <c r="D34" s="85"/>
      <c r="E34" s="85"/>
      <c r="F34" s="87"/>
      <c r="G34" s="88"/>
      <c r="H34" s="85"/>
      <c r="I34" s="85"/>
      <c r="J34" s="85"/>
      <c r="K34" s="87"/>
      <c r="L34" s="89"/>
      <c r="M34" s="85"/>
      <c r="N34" s="261" t="s">
        <v>1257</v>
      </c>
      <c r="O34" s="262"/>
      <c r="P34" s="262"/>
      <c r="Q34" s="262"/>
      <c r="R34" s="262"/>
      <c r="S34" s="262"/>
      <c r="T34" s="262"/>
      <c r="U34" s="262"/>
      <c r="V34" s="262"/>
      <c r="W34" s="262"/>
      <c r="X34" s="262"/>
      <c r="Y34" s="262"/>
      <c r="Z34" s="262"/>
      <c r="AA34" s="262"/>
      <c r="AB34" s="263"/>
      <c r="AC34" s="90">
        <f>SUM(AC32:AC33)</f>
        <v>1.0000000000000002E-2</v>
      </c>
      <c r="AD34" s="90">
        <f>SUM(AD32:AD33)</f>
        <v>0.20500000000000002</v>
      </c>
      <c r="AE34" s="90">
        <f>AVERAGE(AE32:AE33)</f>
        <v>0.05</v>
      </c>
      <c r="AF34" s="90">
        <f>AVERAGE(AF32:AF33)</f>
        <v>0.51249999999999996</v>
      </c>
      <c r="AG34" s="55"/>
    </row>
    <row r="35" spans="1:33" s="53" customFormat="1" ht="409.5">
      <c r="A35" s="48" t="s">
        <v>284</v>
      </c>
      <c r="B35" s="48" t="s">
        <v>285</v>
      </c>
      <c r="C35" s="48" t="s">
        <v>286</v>
      </c>
      <c r="D35" s="48" t="s">
        <v>337</v>
      </c>
      <c r="E35" s="48" t="s">
        <v>354</v>
      </c>
      <c r="F35" s="259" t="s">
        <v>355</v>
      </c>
      <c r="G35" s="50" t="s">
        <v>356</v>
      </c>
      <c r="H35" s="48" t="s">
        <v>357</v>
      </c>
      <c r="I35" s="48" t="s">
        <v>265</v>
      </c>
      <c r="J35" s="48" t="s">
        <v>326</v>
      </c>
      <c r="K35" s="49" t="s">
        <v>358</v>
      </c>
      <c r="L35" s="51">
        <v>0.2</v>
      </c>
      <c r="M35" s="48" t="s">
        <v>294</v>
      </c>
      <c r="N35" s="48" t="s">
        <v>359</v>
      </c>
      <c r="O35" s="48">
        <v>2800</v>
      </c>
      <c r="P35" s="58">
        <v>584</v>
      </c>
      <c r="Q35" s="58">
        <v>768</v>
      </c>
      <c r="R35" s="245">
        <v>766</v>
      </c>
      <c r="S35" s="59">
        <v>766</v>
      </c>
      <c r="T35" s="58">
        <v>584</v>
      </c>
      <c r="U35" s="58">
        <v>768</v>
      </c>
      <c r="V35" s="58">
        <f t="shared" si="1"/>
        <v>75</v>
      </c>
      <c r="W35" s="60"/>
      <c r="X35" s="70">
        <f t="shared" si="2"/>
        <v>1427</v>
      </c>
      <c r="Y35" s="58">
        <v>75</v>
      </c>
      <c r="Z35" s="60"/>
      <c r="AA35" s="60"/>
      <c r="AB35" s="60"/>
      <c r="AC35" s="56">
        <f t="shared" si="3"/>
        <v>1.95822454308094E-2</v>
      </c>
      <c r="AD35" s="56">
        <f t="shared" si="4"/>
        <v>0.10192857142857144</v>
      </c>
      <c r="AE35" s="56">
        <f t="shared" si="5"/>
        <v>9.7911227154047001E-2</v>
      </c>
      <c r="AF35" s="56">
        <f t="shared" si="6"/>
        <v>0.50964285714285718</v>
      </c>
    </row>
    <row r="36" spans="1:33" s="53" customFormat="1" ht="409.5">
      <c r="A36" s="48" t="s">
        <v>284</v>
      </c>
      <c r="B36" s="48" t="s">
        <v>285</v>
      </c>
      <c r="C36" s="48" t="s">
        <v>286</v>
      </c>
      <c r="D36" s="48" t="s">
        <v>337</v>
      </c>
      <c r="E36" s="48" t="s">
        <v>354</v>
      </c>
      <c r="F36" s="259"/>
      <c r="G36" s="50" t="s">
        <v>356</v>
      </c>
      <c r="H36" s="48" t="s">
        <v>360</v>
      </c>
      <c r="I36" s="48" t="s">
        <v>265</v>
      </c>
      <c r="J36" s="48" t="s">
        <v>326</v>
      </c>
      <c r="K36" s="49" t="s">
        <v>361</v>
      </c>
      <c r="L36" s="51">
        <v>0.5</v>
      </c>
      <c r="M36" s="48" t="s">
        <v>294</v>
      </c>
      <c r="N36" s="48" t="s">
        <v>362</v>
      </c>
      <c r="O36" s="48">
        <v>6</v>
      </c>
      <c r="P36" s="48" t="s">
        <v>308</v>
      </c>
      <c r="Q36" s="58" t="s">
        <v>270</v>
      </c>
      <c r="R36" s="241">
        <v>3</v>
      </c>
      <c r="S36" s="59">
        <v>3</v>
      </c>
      <c r="T36" s="48">
        <v>0</v>
      </c>
      <c r="U36" s="58">
        <v>0</v>
      </c>
      <c r="V36" s="58">
        <f t="shared" si="1"/>
        <v>0</v>
      </c>
      <c r="W36" s="60"/>
      <c r="X36" s="70">
        <f t="shared" si="2"/>
        <v>0</v>
      </c>
      <c r="Y36" s="58" t="s">
        <v>308</v>
      </c>
      <c r="Z36" s="60"/>
      <c r="AA36" s="60"/>
      <c r="AB36" s="60"/>
      <c r="AC36" s="56" t="s">
        <v>308</v>
      </c>
      <c r="AD36" s="56">
        <f t="shared" si="4"/>
        <v>0</v>
      </c>
      <c r="AE36" s="56" t="s">
        <v>308</v>
      </c>
      <c r="AF36" s="56">
        <f t="shared" si="6"/>
        <v>0</v>
      </c>
      <c r="AG36" s="71" t="s">
        <v>319</v>
      </c>
    </row>
    <row r="37" spans="1:33" s="53" customFormat="1" ht="409.5">
      <c r="A37" s="48" t="s">
        <v>284</v>
      </c>
      <c r="B37" s="48" t="s">
        <v>285</v>
      </c>
      <c r="C37" s="48" t="s">
        <v>286</v>
      </c>
      <c r="D37" s="48" t="s">
        <v>337</v>
      </c>
      <c r="E37" s="48" t="s">
        <v>354</v>
      </c>
      <c r="F37" s="259"/>
      <c r="G37" s="50" t="s">
        <v>356</v>
      </c>
      <c r="H37" s="48" t="s">
        <v>363</v>
      </c>
      <c r="I37" s="48" t="s">
        <v>265</v>
      </c>
      <c r="J37" s="48" t="s">
        <v>326</v>
      </c>
      <c r="K37" s="49" t="s">
        <v>364</v>
      </c>
      <c r="L37" s="51">
        <v>0.3</v>
      </c>
      <c r="M37" s="48" t="s">
        <v>268</v>
      </c>
      <c r="N37" s="48" t="s">
        <v>365</v>
      </c>
      <c r="O37" s="48">
        <v>600</v>
      </c>
      <c r="P37" s="58">
        <v>620</v>
      </c>
      <c r="Q37" s="58">
        <v>600</v>
      </c>
      <c r="R37" s="246">
        <v>600</v>
      </c>
      <c r="S37" s="59">
        <v>600</v>
      </c>
      <c r="T37" s="58">
        <v>620</v>
      </c>
      <c r="U37" s="58">
        <v>600</v>
      </c>
      <c r="V37" s="58">
        <f t="shared" si="1"/>
        <v>159</v>
      </c>
      <c r="W37" s="60"/>
      <c r="X37" s="70">
        <f t="shared" si="2"/>
        <v>1379</v>
      </c>
      <c r="Y37" s="58">
        <v>159</v>
      </c>
      <c r="Z37" s="60"/>
      <c r="AA37" s="60"/>
      <c r="AB37" s="60"/>
      <c r="AC37" s="56">
        <f t="shared" si="3"/>
        <v>7.9500000000000001E-2</v>
      </c>
      <c r="AD37" s="56">
        <f t="shared" si="4"/>
        <v>0.3</v>
      </c>
      <c r="AE37" s="56">
        <f t="shared" si="5"/>
        <v>0.26500000000000001</v>
      </c>
      <c r="AF37" s="56">
        <f t="shared" si="6"/>
        <v>1</v>
      </c>
    </row>
    <row r="38" spans="1:33" s="53" customFormat="1" ht="169.5" customHeight="1">
      <c r="A38" s="85"/>
      <c r="B38" s="85"/>
      <c r="C38" s="85"/>
      <c r="D38" s="85"/>
      <c r="E38" s="85"/>
      <c r="F38" s="87"/>
      <c r="G38" s="88"/>
      <c r="H38" s="85"/>
      <c r="I38" s="85"/>
      <c r="J38" s="85"/>
      <c r="K38" s="87"/>
      <c r="L38" s="89"/>
      <c r="M38" s="85"/>
      <c r="N38" s="261" t="s">
        <v>1258</v>
      </c>
      <c r="O38" s="262"/>
      <c r="P38" s="262"/>
      <c r="Q38" s="262"/>
      <c r="R38" s="262"/>
      <c r="S38" s="262"/>
      <c r="T38" s="262"/>
      <c r="U38" s="262"/>
      <c r="V38" s="262"/>
      <c r="W38" s="262"/>
      <c r="X38" s="262"/>
      <c r="Y38" s="262"/>
      <c r="Z38" s="262"/>
      <c r="AA38" s="262"/>
      <c r="AB38" s="263"/>
      <c r="AC38" s="90">
        <f>SUM(AC35:AC37)</f>
        <v>9.9082245430809401E-2</v>
      </c>
      <c r="AD38" s="90">
        <f>SUM(AD35:AD37)</f>
        <v>0.40192857142857141</v>
      </c>
      <c r="AE38" s="90">
        <f>AVERAGE(AE35:AE37)</f>
        <v>0.1814556135770235</v>
      </c>
      <c r="AF38" s="90">
        <f>AVERAGE(AF35:AF37)</f>
        <v>0.50321428571428573</v>
      </c>
    </row>
    <row r="39" spans="1:33" s="53" customFormat="1" ht="409.5">
      <c r="A39" s="48" t="s">
        <v>284</v>
      </c>
      <c r="B39" s="48" t="s">
        <v>285</v>
      </c>
      <c r="C39" s="48" t="s">
        <v>286</v>
      </c>
      <c r="D39" s="48" t="s">
        <v>366</v>
      </c>
      <c r="E39" s="48" t="s">
        <v>367</v>
      </c>
      <c r="F39" s="231" t="s">
        <v>368</v>
      </c>
      <c r="G39" s="50" t="s">
        <v>369</v>
      </c>
      <c r="H39" s="48" t="s">
        <v>370</v>
      </c>
      <c r="I39" s="48" t="s">
        <v>265</v>
      </c>
      <c r="J39" s="48" t="s">
        <v>371</v>
      </c>
      <c r="K39" s="49" t="s">
        <v>372</v>
      </c>
      <c r="L39" s="51">
        <v>1</v>
      </c>
      <c r="M39" s="48" t="s">
        <v>268</v>
      </c>
      <c r="N39" s="48" t="s">
        <v>373</v>
      </c>
      <c r="O39" s="48">
        <v>1</v>
      </c>
      <c r="P39" s="58">
        <v>1</v>
      </c>
      <c r="Q39" s="58">
        <v>1</v>
      </c>
      <c r="R39" s="241">
        <v>0.4</v>
      </c>
      <c r="S39" s="79">
        <v>0.35</v>
      </c>
      <c r="T39" s="58">
        <v>0</v>
      </c>
      <c r="U39" s="58">
        <v>0.25</v>
      </c>
      <c r="V39" s="58">
        <f t="shared" si="1"/>
        <v>0.05</v>
      </c>
      <c r="W39" s="60"/>
      <c r="X39" s="61">
        <f t="shared" si="2"/>
        <v>0.3</v>
      </c>
      <c r="Y39" s="58">
        <v>0.05</v>
      </c>
      <c r="Z39" s="60"/>
      <c r="AA39" s="60"/>
      <c r="AB39" s="60"/>
      <c r="AC39" s="56">
        <f t="shared" si="3"/>
        <v>0.125</v>
      </c>
      <c r="AD39" s="56">
        <f t="shared" si="4"/>
        <v>0.3</v>
      </c>
      <c r="AE39" s="56">
        <f t="shared" si="5"/>
        <v>0.125</v>
      </c>
      <c r="AF39" s="56">
        <f t="shared" si="6"/>
        <v>0.3</v>
      </c>
    </row>
    <row r="40" spans="1:33" s="53" customFormat="1" ht="173.25" customHeight="1">
      <c r="A40" s="85"/>
      <c r="B40" s="85"/>
      <c r="C40" s="85"/>
      <c r="D40" s="85"/>
      <c r="E40" s="85"/>
      <c r="F40" s="87"/>
      <c r="G40" s="88"/>
      <c r="H40" s="85"/>
      <c r="I40" s="85"/>
      <c r="J40" s="85"/>
      <c r="K40" s="87"/>
      <c r="L40" s="89"/>
      <c r="M40" s="85"/>
      <c r="N40" s="261" t="s">
        <v>1259</v>
      </c>
      <c r="O40" s="262"/>
      <c r="P40" s="262"/>
      <c r="Q40" s="262"/>
      <c r="R40" s="262"/>
      <c r="S40" s="262"/>
      <c r="T40" s="262"/>
      <c r="U40" s="262"/>
      <c r="V40" s="262"/>
      <c r="W40" s="262"/>
      <c r="X40" s="262"/>
      <c r="Y40" s="262"/>
      <c r="Z40" s="262"/>
      <c r="AA40" s="262"/>
      <c r="AB40" s="263"/>
      <c r="AC40" s="90">
        <f>+AC39</f>
        <v>0.125</v>
      </c>
      <c r="AD40" s="90">
        <f t="shared" ref="AD40:AF40" si="7">+AD39</f>
        <v>0.3</v>
      </c>
      <c r="AE40" s="90">
        <f t="shared" si="7"/>
        <v>0.125</v>
      </c>
      <c r="AF40" s="90">
        <f t="shared" si="7"/>
        <v>0.3</v>
      </c>
    </row>
    <row r="41" spans="1:33" s="53" customFormat="1" ht="409.5">
      <c r="A41" s="48" t="s">
        <v>284</v>
      </c>
      <c r="B41" s="48" t="s">
        <v>285</v>
      </c>
      <c r="C41" s="48" t="s">
        <v>286</v>
      </c>
      <c r="D41" s="48" t="s">
        <v>374</v>
      </c>
      <c r="E41" s="48" t="s">
        <v>375</v>
      </c>
      <c r="F41" s="231" t="s">
        <v>376</v>
      </c>
      <c r="G41" s="50" t="s">
        <v>377</v>
      </c>
      <c r="H41" s="48" t="s">
        <v>378</v>
      </c>
      <c r="I41" s="48" t="s">
        <v>265</v>
      </c>
      <c r="J41" s="48" t="s">
        <v>326</v>
      </c>
      <c r="K41" s="49" t="s">
        <v>379</v>
      </c>
      <c r="L41" s="51">
        <v>1</v>
      </c>
      <c r="M41" s="48" t="s">
        <v>294</v>
      </c>
      <c r="N41" s="48" t="s">
        <v>269</v>
      </c>
      <c r="O41" s="48">
        <v>1</v>
      </c>
      <c r="P41" s="57">
        <v>16</v>
      </c>
      <c r="Q41" s="58">
        <v>3</v>
      </c>
      <c r="R41" s="242">
        <v>0.5</v>
      </c>
      <c r="S41" s="59" t="s">
        <v>270</v>
      </c>
      <c r="T41" s="75">
        <v>0</v>
      </c>
      <c r="U41" s="58">
        <v>0</v>
      </c>
      <c r="V41" s="58">
        <f t="shared" si="1"/>
        <v>0.01</v>
      </c>
      <c r="W41" s="60"/>
      <c r="X41" s="61">
        <f t="shared" si="2"/>
        <v>0.01</v>
      </c>
      <c r="Y41" s="58">
        <v>0.01</v>
      </c>
      <c r="Z41" s="60"/>
      <c r="AA41" s="60"/>
      <c r="AB41" s="60"/>
      <c r="AC41" s="56">
        <f t="shared" si="3"/>
        <v>0.02</v>
      </c>
      <c r="AD41" s="56">
        <f t="shared" si="4"/>
        <v>0.01</v>
      </c>
      <c r="AE41" s="56">
        <f t="shared" si="5"/>
        <v>0.02</v>
      </c>
      <c r="AF41" s="56">
        <f t="shared" si="6"/>
        <v>0.01</v>
      </c>
    </row>
    <row r="42" spans="1:33" s="53" customFormat="1" ht="140.25" customHeight="1">
      <c r="A42" s="85"/>
      <c r="B42" s="85"/>
      <c r="C42" s="85"/>
      <c r="D42" s="85"/>
      <c r="E42" s="85"/>
      <c r="F42" s="87"/>
      <c r="G42" s="88"/>
      <c r="H42" s="85"/>
      <c r="I42" s="85"/>
      <c r="J42" s="85"/>
      <c r="K42" s="87"/>
      <c r="L42" s="89"/>
      <c r="M42" s="85"/>
      <c r="N42" s="261" t="s">
        <v>1260</v>
      </c>
      <c r="O42" s="262"/>
      <c r="P42" s="262"/>
      <c r="Q42" s="262"/>
      <c r="R42" s="262"/>
      <c r="S42" s="262"/>
      <c r="T42" s="262"/>
      <c r="U42" s="262"/>
      <c r="V42" s="262"/>
      <c r="W42" s="262"/>
      <c r="X42" s="262"/>
      <c r="Y42" s="262"/>
      <c r="Z42" s="262"/>
      <c r="AA42" s="262"/>
      <c r="AB42" s="263"/>
      <c r="AC42" s="90">
        <f>+AC41</f>
        <v>0.02</v>
      </c>
      <c r="AD42" s="90">
        <f t="shared" ref="AD42:AF42" si="8">+AD41</f>
        <v>0.01</v>
      </c>
      <c r="AE42" s="90">
        <f t="shared" si="8"/>
        <v>0.02</v>
      </c>
      <c r="AF42" s="90">
        <f t="shared" si="8"/>
        <v>0.01</v>
      </c>
    </row>
    <row r="43" spans="1:33" s="53" customFormat="1" ht="409.5">
      <c r="A43" s="48" t="s">
        <v>284</v>
      </c>
      <c r="B43" s="48" t="s">
        <v>285</v>
      </c>
      <c r="C43" s="48" t="s">
        <v>286</v>
      </c>
      <c r="D43" s="48" t="s">
        <v>380</v>
      </c>
      <c r="E43" s="48" t="s">
        <v>381</v>
      </c>
      <c r="F43" s="231" t="s">
        <v>382</v>
      </c>
      <c r="G43" s="50" t="s">
        <v>383</v>
      </c>
      <c r="H43" s="48" t="s">
        <v>384</v>
      </c>
      <c r="I43" s="48" t="s">
        <v>265</v>
      </c>
      <c r="J43" s="48" t="s">
        <v>335</v>
      </c>
      <c r="K43" s="49" t="s">
        <v>385</v>
      </c>
      <c r="L43" s="51">
        <v>1</v>
      </c>
      <c r="M43" s="48" t="s">
        <v>268</v>
      </c>
      <c r="N43" s="48" t="s">
        <v>269</v>
      </c>
      <c r="O43" s="48">
        <v>1</v>
      </c>
      <c r="P43" s="58" t="s">
        <v>270</v>
      </c>
      <c r="Q43" s="58">
        <v>0.5</v>
      </c>
      <c r="R43" s="242">
        <v>0.4</v>
      </c>
      <c r="S43" s="59">
        <v>0.52</v>
      </c>
      <c r="T43" s="58">
        <v>0.1</v>
      </c>
      <c r="U43" s="58">
        <v>0.3</v>
      </c>
      <c r="V43" s="58">
        <f t="shared" si="1"/>
        <v>0.01</v>
      </c>
      <c r="W43" s="60"/>
      <c r="X43" s="61">
        <f t="shared" si="2"/>
        <v>0.41000000000000003</v>
      </c>
      <c r="Y43" s="58">
        <v>0.01</v>
      </c>
      <c r="Z43" s="60"/>
      <c r="AA43" s="60"/>
      <c r="AB43" s="60"/>
      <c r="AC43" s="56">
        <f t="shared" si="3"/>
        <v>2.4999999999999998E-2</v>
      </c>
      <c r="AD43" s="56">
        <f t="shared" si="4"/>
        <v>0.41000000000000003</v>
      </c>
      <c r="AE43" s="56">
        <f t="shared" si="5"/>
        <v>2.4999999999999998E-2</v>
      </c>
      <c r="AF43" s="56">
        <f t="shared" si="6"/>
        <v>0.41000000000000003</v>
      </c>
    </row>
    <row r="44" spans="1:33" s="53" customFormat="1" ht="94.5" customHeight="1">
      <c r="A44" s="85"/>
      <c r="B44" s="85"/>
      <c r="C44" s="85"/>
      <c r="D44" s="85"/>
      <c r="E44" s="85"/>
      <c r="F44" s="87"/>
      <c r="G44" s="88"/>
      <c r="H44" s="85"/>
      <c r="I44" s="85"/>
      <c r="J44" s="85"/>
      <c r="K44" s="87"/>
      <c r="L44" s="89"/>
      <c r="M44" s="85"/>
      <c r="N44" s="261" t="s">
        <v>1261</v>
      </c>
      <c r="O44" s="262"/>
      <c r="P44" s="262"/>
      <c r="Q44" s="262"/>
      <c r="R44" s="262"/>
      <c r="S44" s="262"/>
      <c r="T44" s="262"/>
      <c r="U44" s="262"/>
      <c r="V44" s="262"/>
      <c r="W44" s="262"/>
      <c r="X44" s="262"/>
      <c r="Y44" s="262"/>
      <c r="Z44" s="262"/>
      <c r="AA44" s="262"/>
      <c r="AB44" s="263"/>
      <c r="AC44" s="90">
        <f>+AC43</f>
        <v>2.4999999999999998E-2</v>
      </c>
      <c r="AD44" s="90">
        <f t="shared" ref="AD44:AF44" si="9">+AD43</f>
        <v>0.41000000000000003</v>
      </c>
      <c r="AE44" s="90">
        <f t="shared" si="9"/>
        <v>2.4999999999999998E-2</v>
      </c>
      <c r="AF44" s="90">
        <f t="shared" si="9"/>
        <v>0.41000000000000003</v>
      </c>
    </row>
    <row r="45" spans="1:33" s="53" customFormat="1" ht="409.5">
      <c r="A45" s="48" t="s">
        <v>284</v>
      </c>
      <c r="B45" s="48" t="s">
        <v>285</v>
      </c>
      <c r="C45" s="48" t="s">
        <v>286</v>
      </c>
      <c r="D45" s="48" t="s">
        <v>380</v>
      </c>
      <c r="E45" s="48" t="s">
        <v>381</v>
      </c>
      <c r="F45" s="260" t="s">
        <v>386</v>
      </c>
      <c r="G45" s="50" t="s">
        <v>387</v>
      </c>
      <c r="H45" s="48" t="s">
        <v>388</v>
      </c>
      <c r="I45" s="48" t="s">
        <v>265</v>
      </c>
      <c r="J45" s="48" t="s">
        <v>335</v>
      </c>
      <c r="K45" s="49" t="s">
        <v>389</v>
      </c>
      <c r="L45" s="30">
        <v>0.14285714285714288</v>
      </c>
      <c r="M45" s="48" t="s">
        <v>268</v>
      </c>
      <c r="N45" s="48" t="s">
        <v>269</v>
      </c>
      <c r="O45" s="48">
        <v>1</v>
      </c>
      <c r="P45" s="58">
        <v>0.19900000000000001</v>
      </c>
      <c r="Q45" s="58">
        <v>0.30099999999999999</v>
      </c>
      <c r="R45" s="245">
        <v>0.3</v>
      </c>
      <c r="S45" s="59" t="s">
        <v>270</v>
      </c>
      <c r="T45" s="58">
        <v>0.12</v>
      </c>
      <c r="U45" s="58">
        <v>0.57999999999999996</v>
      </c>
      <c r="V45" s="58">
        <f t="shared" si="1"/>
        <v>0.02</v>
      </c>
      <c r="W45" s="60"/>
      <c r="X45" s="61">
        <f t="shared" si="2"/>
        <v>0.72</v>
      </c>
      <c r="Y45" s="58">
        <v>0.02</v>
      </c>
      <c r="Z45" s="60"/>
      <c r="AA45" s="60"/>
      <c r="AB45" s="60"/>
      <c r="AC45" s="56">
        <f t="shared" si="3"/>
        <v>9.5238095238095247E-3</v>
      </c>
      <c r="AD45" s="56">
        <f t="shared" si="4"/>
        <v>0.10285714285714287</v>
      </c>
      <c r="AE45" s="56">
        <f t="shared" si="5"/>
        <v>6.6666666666666666E-2</v>
      </c>
      <c r="AF45" s="56">
        <f t="shared" si="6"/>
        <v>0.72</v>
      </c>
    </row>
    <row r="46" spans="1:33" s="53" customFormat="1" ht="409.5">
      <c r="A46" s="48" t="s">
        <v>284</v>
      </c>
      <c r="B46" s="48" t="s">
        <v>285</v>
      </c>
      <c r="C46" s="48" t="s">
        <v>286</v>
      </c>
      <c r="D46" s="48" t="s">
        <v>380</v>
      </c>
      <c r="E46" s="48" t="s">
        <v>381</v>
      </c>
      <c r="F46" s="260"/>
      <c r="G46" s="50" t="s">
        <v>387</v>
      </c>
      <c r="H46" s="48" t="s">
        <v>390</v>
      </c>
      <c r="I46" s="48" t="s">
        <v>265</v>
      </c>
      <c r="J46" s="48" t="s">
        <v>391</v>
      </c>
      <c r="K46" s="49" t="s">
        <v>392</v>
      </c>
      <c r="L46" s="54">
        <v>0.14285714285714288</v>
      </c>
      <c r="M46" s="48" t="s">
        <v>268</v>
      </c>
      <c r="N46" s="48" t="s">
        <v>269</v>
      </c>
      <c r="O46" s="48"/>
      <c r="P46" s="57">
        <v>7.0000000000000007E-2</v>
      </c>
      <c r="Q46" s="58">
        <v>0.32900000000000001</v>
      </c>
      <c r="R46" s="241" t="s">
        <v>270</v>
      </c>
      <c r="S46" s="59" t="s">
        <v>270</v>
      </c>
      <c r="T46" s="75">
        <v>0</v>
      </c>
      <c r="U46" s="58">
        <v>0</v>
      </c>
      <c r="V46" s="58">
        <f t="shared" si="1"/>
        <v>0</v>
      </c>
      <c r="W46" s="60"/>
      <c r="X46" s="70">
        <f t="shared" si="2"/>
        <v>0</v>
      </c>
      <c r="Y46" s="58" t="s">
        <v>308</v>
      </c>
      <c r="Z46" s="60"/>
      <c r="AA46" s="60"/>
      <c r="AB46" s="60"/>
      <c r="AC46" s="56" t="s">
        <v>308</v>
      </c>
      <c r="AD46" s="56">
        <v>0</v>
      </c>
      <c r="AE46" s="56" t="s">
        <v>308</v>
      </c>
      <c r="AF46" s="56">
        <v>0</v>
      </c>
    </row>
    <row r="47" spans="1:33" s="53" customFormat="1" ht="409.5">
      <c r="A47" s="48" t="s">
        <v>284</v>
      </c>
      <c r="B47" s="48" t="s">
        <v>285</v>
      </c>
      <c r="C47" s="48" t="s">
        <v>286</v>
      </c>
      <c r="D47" s="48" t="s">
        <v>380</v>
      </c>
      <c r="E47" s="48" t="s">
        <v>381</v>
      </c>
      <c r="F47" s="260"/>
      <c r="G47" s="50" t="s">
        <v>387</v>
      </c>
      <c r="H47" s="48" t="s">
        <v>393</v>
      </c>
      <c r="I47" s="48" t="s">
        <v>265</v>
      </c>
      <c r="J47" s="48" t="s">
        <v>335</v>
      </c>
      <c r="K47" s="49" t="s">
        <v>394</v>
      </c>
      <c r="L47" s="30">
        <v>0.28571428571428575</v>
      </c>
      <c r="M47" s="48" t="s">
        <v>268</v>
      </c>
      <c r="N47" s="48" t="s">
        <v>269</v>
      </c>
      <c r="O47" s="48">
        <v>3</v>
      </c>
      <c r="P47" s="58">
        <v>0.23499999999999999</v>
      </c>
      <c r="Q47" s="58">
        <v>0.26</v>
      </c>
      <c r="R47" s="242">
        <v>0.45</v>
      </c>
      <c r="S47" s="59">
        <v>0.58300000000000007</v>
      </c>
      <c r="T47" s="58">
        <v>0.1</v>
      </c>
      <c r="U47" s="58">
        <v>0.2</v>
      </c>
      <c r="V47" s="58">
        <f t="shared" si="1"/>
        <v>0.05</v>
      </c>
      <c r="W47" s="60"/>
      <c r="X47" s="61">
        <f t="shared" si="2"/>
        <v>0.35000000000000003</v>
      </c>
      <c r="Y47" s="58">
        <v>0.05</v>
      </c>
      <c r="Z47" s="60"/>
      <c r="AA47" s="60"/>
      <c r="AB47" s="60"/>
      <c r="AC47" s="56">
        <f t="shared" si="3"/>
        <v>3.1746031746031751E-2</v>
      </c>
      <c r="AD47" s="56">
        <f t="shared" si="4"/>
        <v>3.333333333333334E-2</v>
      </c>
      <c r="AE47" s="56">
        <f t="shared" si="5"/>
        <v>0.11111111111111112</v>
      </c>
      <c r="AF47" s="56">
        <f t="shared" si="6"/>
        <v>0.11666666666666668</v>
      </c>
    </row>
    <row r="48" spans="1:33" s="53" customFormat="1" ht="409.5">
      <c r="A48" s="48" t="s">
        <v>284</v>
      </c>
      <c r="B48" s="48" t="s">
        <v>285</v>
      </c>
      <c r="C48" s="48" t="s">
        <v>286</v>
      </c>
      <c r="D48" s="48" t="s">
        <v>380</v>
      </c>
      <c r="E48" s="48" t="s">
        <v>381</v>
      </c>
      <c r="F48" s="260"/>
      <c r="G48" s="50" t="s">
        <v>387</v>
      </c>
      <c r="H48" s="48" t="s">
        <v>395</v>
      </c>
      <c r="I48" s="48" t="s">
        <v>265</v>
      </c>
      <c r="J48" s="48" t="s">
        <v>396</v>
      </c>
      <c r="K48" s="49" t="s">
        <v>397</v>
      </c>
      <c r="L48" s="30">
        <v>0.14285714285714288</v>
      </c>
      <c r="M48" s="48" t="s">
        <v>268</v>
      </c>
      <c r="N48" s="48" t="s">
        <v>301</v>
      </c>
      <c r="O48" s="48">
        <v>1</v>
      </c>
      <c r="P48" s="58">
        <v>0.1</v>
      </c>
      <c r="Q48" s="58">
        <v>0.3</v>
      </c>
      <c r="R48" s="246">
        <v>0.35</v>
      </c>
      <c r="S48" s="59">
        <v>0.5</v>
      </c>
      <c r="T48" s="58">
        <v>0</v>
      </c>
      <c r="U48" s="58">
        <v>0.15</v>
      </c>
      <c r="V48" s="58">
        <f t="shared" si="1"/>
        <v>0</v>
      </c>
      <c r="W48" s="60"/>
      <c r="X48" s="61">
        <f t="shared" si="2"/>
        <v>0.15</v>
      </c>
      <c r="Y48" s="58" t="s">
        <v>308</v>
      </c>
      <c r="Z48" s="60"/>
      <c r="AA48" s="60"/>
      <c r="AB48" s="60"/>
      <c r="AC48" s="56" t="s">
        <v>308</v>
      </c>
      <c r="AD48" s="56">
        <f t="shared" si="4"/>
        <v>2.1428571428571432E-2</v>
      </c>
      <c r="AE48" s="56" t="s">
        <v>308</v>
      </c>
      <c r="AF48" s="56">
        <f t="shared" si="6"/>
        <v>0.15</v>
      </c>
      <c r="AG48" s="71" t="s">
        <v>319</v>
      </c>
    </row>
    <row r="49" spans="1:32" s="53" customFormat="1" ht="409.5">
      <c r="A49" s="48" t="s">
        <v>284</v>
      </c>
      <c r="B49" s="48" t="s">
        <v>285</v>
      </c>
      <c r="C49" s="48" t="s">
        <v>286</v>
      </c>
      <c r="D49" s="48" t="s">
        <v>380</v>
      </c>
      <c r="E49" s="48" t="s">
        <v>398</v>
      </c>
      <c r="F49" s="260"/>
      <c r="G49" s="50" t="s">
        <v>387</v>
      </c>
      <c r="H49" s="48" t="s">
        <v>399</v>
      </c>
      <c r="I49" s="48" t="s">
        <v>265</v>
      </c>
      <c r="J49" s="48" t="s">
        <v>335</v>
      </c>
      <c r="K49" s="49" t="s">
        <v>400</v>
      </c>
      <c r="L49" s="30">
        <v>0.14285714285714288</v>
      </c>
      <c r="M49" s="48" t="s">
        <v>268</v>
      </c>
      <c r="N49" s="48" t="s">
        <v>269</v>
      </c>
      <c r="O49" s="48">
        <v>5</v>
      </c>
      <c r="P49" s="58">
        <v>1</v>
      </c>
      <c r="Q49" s="58">
        <v>1</v>
      </c>
      <c r="R49" s="241" t="s">
        <v>270</v>
      </c>
      <c r="S49" s="59">
        <v>5</v>
      </c>
      <c r="T49" s="58">
        <v>0</v>
      </c>
      <c r="U49" s="58">
        <v>0</v>
      </c>
      <c r="V49" s="58">
        <f t="shared" si="1"/>
        <v>0</v>
      </c>
      <c r="W49" s="60"/>
      <c r="X49" s="61">
        <f t="shared" si="2"/>
        <v>0</v>
      </c>
      <c r="Y49" s="58" t="s">
        <v>308</v>
      </c>
      <c r="Z49" s="60"/>
      <c r="AA49" s="60"/>
      <c r="AB49" s="60"/>
      <c r="AC49" s="56" t="s">
        <v>308</v>
      </c>
      <c r="AD49" s="56">
        <f t="shared" si="4"/>
        <v>0</v>
      </c>
      <c r="AE49" s="56" t="s">
        <v>308</v>
      </c>
      <c r="AF49" s="56">
        <f t="shared" si="6"/>
        <v>0</v>
      </c>
    </row>
    <row r="50" spans="1:32" s="53" customFormat="1" ht="120.75" customHeight="1">
      <c r="A50" s="85"/>
      <c r="B50" s="85"/>
      <c r="C50" s="85"/>
      <c r="D50" s="85"/>
      <c r="E50" s="85"/>
      <c r="F50" s="87"/>
      <c r="G50" s="88"/>
      <c r="H50" s="85"/>
      <c r="I50" s="85"/>
      <c r="J50" s="85"/>
      <c r="K50" s="87"/>
      <c r="L50" s="92"/>
      <c r="M50" s="85"/>
      <c r="N50" s="261" t="s">
        <v>1262</v>
      </c>
      <c r="O50" s="262"/>
      <c r="P50" s="262"/>
      <c r="Q50" s="262"/>
      <c r="R50" s="262"/>
      <c r="S50" s="262"/>
      <c r="T50" s="262"/>
      <c r="U50" s="262"/>
      <c r="V50" s="262"/>
      <c r="W50" s="262"/>
      <c r="X50" s="262"/>
      <c r="Y50" s="262"/>
      <c r="Z50" s="262"/>
      <c r="AA50" s="262"/>
      <c r="AB50" s="263"/>
      <c r="AC50" s="90">
        <f>SUM(AC45:AC49)</f>
        <v>4.1269841269841276E-2</v>
      </c>
      <c r="AD50" s="90">
        <f>SUM(AD45:AD49)</f>
        <v>0.15761904761904763</v>
      </c>
      <c r="AE50" s="90">
        <f>AVERAGE(AE45:AE49)</f>
        <v>8.8888888888888892E-2</v>
      </c>
      <c r="AF50" s="90">
        <f>AVERAGE(AF45:AF49)</f>
        <v>0.19733333333333333</v>
      </c>
    </row>
    <row r="51" spans="1:32" s="53" customFormat="1" ht="409.5">
      <c r="A51" s="48" t="s">
        <v>284</v>
      </c>
      <c r="B51" s="48" t="s">
        <v>285</v>
      </c>
      <c r="C51" s="48" t="s">
        <v>286</v>
      </c>
      <c r="D51" s="48" t="s">
        <v>380</v>
      </c>
      <c r="E51" s="48" t="s">
        <v>381</v>
      </c>
      <c r="F51" s="260" t="s">
        <v>401</v>
      </c>
      <c r="G51" s="50" t="s">
        <v>402</v>
      </c>
      <c r="H51" s="48" t="s">
        <v>403</v>
      </c>
      <c r="I51" s="48" t="s">
        <v>265</v>
      </c>
      <c r="J51" s="48" t="s">
        <v>404</v>
      </c>
      <c r="K51" s="49" t="s">
        <v>405</v>
      </c>
      <c r="L51" s="54">
        <v>0.06</v>
      </c>
      <c r="M51" s="48" t="s">
        <v>294</v>
      </c>
      <c r="N51" s="48" t="s">
        <v>406</v>
      </c>
      <c r="O51" s="48">
        <v>1</v>
      </c>
      <c r="P51" s="57">
        <v>11</v>
      </c>
      <c r="Q51" s="58">
        <v>11</v>
      </c>
      <c r="R51" s="241" t="s">
        <v>270</v>
      </c>
      <c r="S51" s="59">
        <v>1</v>
      </c>
      <c r="T51" s="57">
        <v>0</v>
      </c>
      <c r="U51" s="58">
        <v>0</v>
      </c>
      <c r="V51" s="58">
        <f t="shared" si="1"/>
        <v>0</v>
      </c>
      <c r="W51" s="60"/>
      <c r="X51" s="61">
        <f t="shared" si="2"/>
        <v>0</v>
      </c>
      <c r="Y51" s="58" t="s">
        <v>308</v>
      </c>
      <c r="Z51" s="60"/>
      <c r="AA51" s="60"/>
      <c r="AB51" s="60"/>
      <c r="AC51" s="56" t="s">
        <v>308</v>
      </c>
      <c r="AD51" s="56">
        <f t="shared" si="4"/>
        <v>0</v>
      </c>
      <c r="AE51" s="56" t="s">
        <v>308</v>
      </c>
      <c r="AF51" s="56">
        <f t="shared" si="6"/>
        <v>0</v>
      </c>
    </row>
    <row r="52" spans="1:32" s="53" customFormat="1" ht="409.5">
      <c r="A52" s="48" t="s">
        <v>284</v>
      </c>
      <c r="B52" s="48" t="s">
        <v>285</v>
      </c>
      <c r="C52" s="48" t="s">
        <v>286</v>
      </c>
      <c r="D52" s="48" t="s">
        <v>380</v>
      </c>
      <c r="E52" s="48" t="s">
        <v>381</v>
      </c>
      <c r="F52" s="260"/>
      <c r="G52" s="50" t="s">
        <v>402</v>
      </c>
      <c r="H52" s="48" t="s">
        <v>403</v>
      </c>
      <c r="I52" s="48" t="s">
        <v>265</v>
      </c>
      <c r="J52" s="48" t="s">
        <v>404</v>
      </c>
      <c r="K52" s="49" t="s">
        <v>407</v>
      </c>
      <c r="L52" s="54">
        <v>0.06</v>
      </c>
      <c r="M52" s="48" t="s">
        <v>294</v>
      </c>
      <c r="N52" s="48" t="s">
        <v>269</v>
      </c>
      <c r="O52" s="48">
        <v>1</v>
      </c>
      <c r="P52" s="57">
        <v>5</v>
      </c>
      <c r="Q52" s="58">
        <v>4</v>
      </c>
      <c r="R52" s="241" t="s">
        <v>270</v>
      </c>
      <c r="S52" s="59">
        <v>1</v>
      </c>
      <c r="T52" s="57">
        <v>0</v>
      </c>
      <c r="U52" s="58">
        <v>0</v>
      </c>
      <c r="V52" s="58">
        <f t="shared" si="1"/>
        <v>0</v>
      </c>
      <c r="W52" s="60"/>
      <c r="X52" s="61">
        <f t="shared" si="2"/>
        <v>0</v>
      </c>
      <c r="Y52" s="58" t="s">
        <v>308</v>
      </c>
      <c r="Z52" s="60"/>
      <c r="AA52" s="60"/>
      <c r="AB52" s="60"/>
      <c r="AC52" s="56" t="s">
        <v>308</v>
      </c>
      <c r="AD52" s="56">
        <f t="shared" si="4"/>
        <v>0</v>
      </c>
      <c r="AE52" s="56" t="s">
        <v>308</v>
      </c>
      <c r="AF52" s="56">
        <f t="shared" si="6"/>
        <v>0</v>
      </c>
    </row>
    <row r="53" spans="1:32" s="53" customFormat="1" ht="409.5">
      <c r="A53" s="48" t="s">
        <v>284</v>
      </c>
      <c r="B53" s="48" t="s">
        <v>285</v>
      </c>
      <c r="C53" s="48" t="s">
        <v>286</v>
      </c>
      <c r="D53" s="48" t="s">
        <v>380</v>
      </c>
      <c r="E53" s="48" t="s">
        <v>381</v>
      </c>
      <c r="F53" s="260"/>
      <c r="G53" s="50" t="s">
        <v>402</v>
      </c>
      <c r="H53" s="48" t="s">
        <v>408</v>
      </c>
      <c r="I53" s="48" t="s">
        <v>265</v>
      </c>
      <c r="J53" s="48" t="s">
        <v>404</v>
      </c>
      <c r="K53" s="49" t="s">
        <v>409</v>
      </c>
      <c r="L53" s="54">
        <v>0.06</v>
      </c>
      <c r="M53" s="48" t="s">
        <v>294</v>
      </c>
      <c r="N53" s="48" t="s">
        <v>269</v>
      </c>
      <c r="O53" s="48">
        <v>1</v>
      </c>
      <c r="P53" s="57">
        <v>23</v>
      </c>
      <c r="Q53" s="58">
        <v>23</v>
      </c>
      <c r="R53" s="241" t="s">
        <v>270</v>
      </c>
      <c r="S53" s="59">
        <v>1</v>
      </c>
      <c r="T53" s="57">
        <v>0</v>
      </c>
      <c r="U53" s="58">
        <v>0</v>
      </c>
      <c r="V53" s="58">
        <f t="shared" si="1"/>
        <v>0</v>
      </c>
      <c r="W53" s="60"/>
      <c r="X53" s="61">
        <f t="shared" si="2"/>
        <v>0</v>
      </c>
      <c r="Y53" s="58" t="s">
        <v>308</v>
      </c>
      <c r="Z53" s="60"/>
      <c r="AA53" s="60"/>
      <c r="AB53" s="60"/>
      <c r="AC53" s="56" t="s">
        <v>308</v>
      </c>
      <c r="AD53" s="56">
        <f t="shared" si="4"/>
        <v>0</v>
      </c>
      <c r="AE53" s="56" t="s">
        <v>308</v>
      </c>
      <c r="AF53" s="56">
        <f t="shared" si="6"/>
        <v>0</v>
      </c>
    </row>
    <row r="54" spans="1:32" s="53" customFormat="1" ht="409.5">
      <c r="A54" s="48" t="s">
        <v>284</v>
      </c>
      <c r="B54" s="48" t="s">
        <v>285</v>
      </c>
      <c r="C54" s="48" t="s">
        <v>286</v>
      </c>
      <c r="D54" s="48" t="s">
        <v>380</v>
      </c>
      <c r="E54" s="48" t="s">
        <v>398</v>
      </c>
      <c r="F54" s="260"/>
      <c r="G54" s="50" t="s">
        <v>402</v>
      </c>
      <c r="H54" s="48" t="s">
        <v>410</v>
      </c>
      <c r="I54" s="48" t="s">
        <v>265</v>
      </c>
      <c r="J54" s="48" t="s">
        <v>404</v>
      </c>
      <c r="K54" s="49" t="s">
        <v>411</v>
      </c>
      <c r="L54" s="51">
        <v>0.3</v>
      </c>
      <c r="M54" s="48" t="s">
        <v>268</v>
      </c>
      <c r="N54" s="48" t="s">
        <v>301</v>
      </c>
      <c r="O54" s="49">
        <v>1</v>
      </c>
      <c r="P54" s="58">
        <v>375</v>
      </c>
      <c r="Q54" s="58">
        <v>375</v>
      </c>
      <c r="R54" s="241">
        <v>0.5</v>
      </c>
      <c r="S54" s="59">
        <v>0.5</v>
      </c>
      <c r="T54" s="58">
        <v>0</v>
      </c>
      <c r="U54" s="58">
        <v>0</v>
      </c>
      <c r="V54" s="58">
        <f t="shared" si="1"/>
        <v>0.2</v>
      </c>
      <c r="W54" s="60"/>
      <c r="X54" s="61">
        <f t="shared" si="2"/>
        <v>0.2</v>
      </c>
      <c r="Y54" s="58">
        <v>0.2</v>
      </c>
      <c r="Z54" s="60"/>
      <c r="AA54" s="60"/>
      <c r="AB54" s="60"/>
      <c r="AC54" s="56">
        <f t="shared" si="3"/>
        <v>0.12</v>
      </c>
      <c r="AD54" s="56">
        <f t="shared" si="4"/>
        <v>0.06</v>
      </c>
      <c r="AE54" s="56">
        <f t="shared" si="5"/>
        <v>0.4</v>
      </c>
      <c r="AF54" s="56">
        <f t="shared" si="6"/>
        <v>0.2</v>
      </c>
    </row>
    <row r="55" spans="1:32" s="53" customFormat="1" ht="409.5">
      <c r="A55" s="48" t="s">
        <v>284</v>
      </c>
      <c r="B55" s="48" t="s">
        <v>285</v>
      </c>
      <c r="C55" s="48" t="s">
        <v>286</v>
      </c>
      <c r="D55" s="48" t="s">
        <v>380</v>
      </c>
      <c r="E55" s="48" t="s">
        <v>381</v>
      </c>
      <c r="F55" s="260"/>
      <c r="G55" s="50" t="s">
        <v>402</v>
      </c>
      <c r="H55" s="48" t="s">
        <v>412</v>
      </c>
      <c r="I55" s="48" t="s">
        <v>265</v>
      </c>
      <c r="J55" s="48" t="s">
        <v>404</v>
      </c>
      <c r="K55" s="49" t="s">
        <v>413</v>
      </c>
      <c r="L55" s="54">
        <v>0.02</v>
      </c>
      <c r="M55" s="48" t="s">
        <v>294</v>
      </c>
      <c r="N55" s="48" t="s">
        <v>269</v>
      </c>
      <c r="O55" s="48">
        <v>1</v>
      </c>
      <c r="P55" s="57">
        <v>3</v>
      </c>
      <c r="Q55" s="58">
        <v>3</v>
      </c>
      <c r="R55" s="241" t="s">
        <v>270</v>
      </c>
      <c r="S55" s="59">
        <v>1</v>
      </c>
      <c r="T55" s="57">
        <v>0</v>
      </c>
      <c r="U55" s="58">
        <v>0</v>
      </c>
      <c r="V55" s="58">
        <f t="shared" si="1"/>
        <v>0</v>
      </c>
      <c r="W55" s="60"/>
      <c r="X55" s="61">
        <f t="shared" si="2"/>
        <v>0</v>
      </c>
      <c r="Y55" s="58" t="s">
        <v>308</v>
      </c>
      <c r="Z55" s="60"/>
      <c r="AA55" s="60"/>
      <c r="AB55" s="60"/>
      <c r="AC55" s="56" t="s">
        <v>308</v>
      </c>
      <c r="AD55" s="56">
        <f t="shared" si="4"/>
        <v>0</v>
      </c>
      <c r="AE55" s="56" t="s">
        <v>308</v>
      </c>
      <c r="AF55" s="56">
        <f t="shared" si="6"/>
        <v>0</v>
      </c>
    </row>
    <row r="56" spans="1:32" s="53" customFormat="1" ht="137.25" customHeight="1">
      <c r="A56" s="85"/>
      <c r="B56" s="85"/>
      <c r="C56" s="85"/>
      <c r="D56" s="85"/>
      <c r="E56" s="85"/>
      <c r="F56" s="87"/>
      <c r="G56" s="88"/>
      <c r="H56" s="85"/>
      <c r="I56" s="85"/>
      <c r="J56" s="85"/>
      <c r="K56" s="87"/>
      <c r="L56" s="91"/>
      <c r="M56" s="85"/>
      <c r="N56" s="261" t="s">
        <v>1263</v>
      </c>
      <c r="O56" s="262"/>
      <c r="P56" s="262"/>
      <c r="Q56" s="262"/>
      <c r="R56" s="262"/>
      <c r="S56" s="262"/>
      <c r="T56" s="262"/>
      <c r="U56" s="262"/>
      <c r="V56" s="262"/>
      <c r="W56" s="262"/>
      <c r="X56" s="262"/>
      <c r="Y56" s="262"/>
      <c r="Z56" s="262"/>
      <c r="AA56" s="262"/>
      <c r="AB56" s="263"/>
      <c r="AC56" s="90">
        <f>SUM(AC52:AC55)</f>
        <v>0.12</v>
      </c>
      <c r="AD56" s="90">
        <f>SUM(AD52:AD55)</f>
        <v>0.06</v>
      </c>
      <c r="AE56" s="90">
        <f>AVERAGE(AE52:AE55)</f>
        <v>0.4</v>
      </c>
      <c r="AF56" s="90">
        <f>AVERAGE(AF52:AF55)</f>
        <v>0.05</v>
      </c>
    </row>
    <row r="57" spans="1:32" s="53" customFormat="1" ht="409.5">
      <c r="A57" s="48" t="s">
        <v>284</v>
      </c>
      <c r="B57" s="48" t="s">
        <v>285</v>
      </c>
      <c r="C57" s="48" t="s">
        <v>286</v>
      </c>
      <c r="D57" s="48" t="s">
        <v>414</v>
      </c>
      <c r="E57" s="48" t="s">
        <v>415</v>
      </c>
      <c r="F57" s="260" t="s">
        <v>416</v>
      </c>
      <c r="G57" s="50" t="s">
        <v>417</v>
      </c>
      <c r="H57" s="48" t="s">
        <v>418</v>
      </c>
      <c r="I57" s="48" t="s">
        <v>265</v>
      </c>
      <c r="J57" s="48" t="s">
        <v>404</v>
      </c>
      <c r="K57" s="49" t="s">
        <v>419</v>
      </c>
      <c r="L57" s="51">
        <v>0.5</v>
      </c>
      <c r="M57" s="48" t="s">
        <v>268</v>
      </c>
      <c r="N57" s="48" t="s">
        <v>269</v>
      </c>
      <c r="O57" s="48">
        <v>1</v>
      </c>
      <c r="P57" s="58" t="s">
        <v>270</v>
      </c>
      <c r="Q57" s="58">
        <v>0.5</v>
      </c>
      <c r="R57" s="241">
        <v>0.55000000000000004</v>
      </c>
      <c r="S57" s="59" t="s">
        <v>270</v>
      </c>
      <c r="T57" s="58">
        <v>0</v>
      </c>
      <c r="U57" s="58">
        <v>0.5</v>
      </c>
      <c r="V57" s="58">
        <f t="shared" si="1"/>
        <v>0.05</v>
      </c>
      <c r="W57" s="60"/>
      <c r="X57" s="80">
        <f t="shared" si="2"/>
        <v>0.55000000000000004</v>
      </c>
      <c r="Y57" s="58">
        <v>0.05</v>
      </c>
      <c r="Z57" s="60"/>
      <c r="AA57" s="60"/>
      <c r="AB57" s="60"/>
      <c r="AC57" s="56">
        <f t="shared" si="3"/>
        <v>4.5454545454545456E-2</v>
      </c>
      <c r="AD57" s="56">
        <f t="shared" si="4"/>
        <v>0.27500000000000002</v>
      </c>
      <c r="AE57" s="56">
        <f t="shared" si="5"/>
        <v>9.0909090909090912E-2</v>
      </c>
      <c r="AF57" s="56">
        <f t="shared" si="6"/>
        <v>0.55000000000000004</v>
      </c>
    </row>
    <row r="58" spans="1:32" s="53" customFormat="1" ht="409.5">
      <c r="A58" s="48" t="s">
        <v>284</v>
      </c>
      <c r="B58" s="48" t="s">
        <v>285</v>
      </c>
      <c r="C58" s="48" t="s">
        <v>286</v>
      </c>
      <c r="D58" s="48" t="s">
        <v>414</v>
      </c>
      <c r="E58" s="48" t="s">
        <v>415</v>
      </c>
      <c r="F58" s="260"/>
      <c r="G58" s="50" t="s">
        <v>417</v>
      </c>
      <c r="H58" s="48" t="s">
        <v>420</v>
      </c>
      <c r="I58" s="48" t="s">
        <v>265</v>
      </c>
      <c r="J58" s="48" t="s">
        <v>404</v>
      </c>
      <c r="K58" s="49" t="s">
        <v>421</v>
      </c>
      <c r="L58" s="54">
        <v>0.5</v>
      </c>
      <c r="M58" s="48" t="s">
        <v>268</v>
      </c>
      <c r="N58" s="48" t="s">
        <v>422</v>
      </c>
      <c r="O58" s="48">
        <v>1</v>
      </c>
      <c r="P58" s="57">
        <v>21</v>
      </c>
      <c r="Q58" s="58">
        <v>21</v>
      </c>
      <c r="R58" s="241" t="s">
        <v>270</v>
      </c>
      <c r="S58" s="59">
        <v>1</v>
      </c>
      <c r="T58" s="75">
        <v>0</v>
      </c>
      <c r="U58" s="58">
        <v>0</v>
      </c>
      <c r="V58" s="58">
        <f t="shared" si="1"/>
        <v>0</v>
      </c>
      <c r="W58" s="60"/>
      <c r="X58" s="70">
        <f t="shared" si="2"/>
        <v>0</v>
      </c>
      <c r="Y58" s="58" t="s">
        <v>308</v>
      </c>
      <c r="Z58" s="60"/>
      <c r="AA58" s="60"/>
      <c r="AB58" s="60"/>
      <c r="AC58" s="56" t="s">
        <v>308</v>
      </c>
      <c r="AD58" s="56">
        <f t="shared" si="4"/>
        <v>0</v>
      </c>
      <c r="AE58" s="56" t="s">
        <v>308</v>
      </c>
      <c r="AF58" s="56">
        <f t="shared" si="6"/>
        <v>0</v>
      </c>
    </row>
    <row r="59" spans="1:32" s="53" customFormat="1" ht="111" customHeight="1">
      <c r="A59" s="85"/>
      <c r="B59" s="85"/>
      <c r="C59" s="85"/>
      <c r="D59" s="85"/>
      <c r="E59" s="85"/>
      <c r="F59" s="87"/>
      <c r="G59" s="88"/>
      <c r="H59" s="85"/>
      <c r="I59" s="85"/>
      <c r="J59" s="85"/>
      <c r="K59" s="87"/>
      <c r="L59" s="91"/>
      <c r="M59" s="85"/>
      <c r="N59" s="261" t="s">
        <v>1264</v>
      </c>
      <c r="O59" s="262"/>
      <c r="P59" s="262"/>
      <c r="Q59" s="262"/>
      <c r="R59" s="262"/>
      <c r="S59" s="262"/>
      <c r="T59" s="262"/>
      <c r="U59" s="262"/>
      <c r="V59" s="262"/>
      <c r="W59" s="262"/>
      <c r="X59" s="262"/>
      <c r="Y59" s="262"/>
      <c r="Z59" s="262"/>
      <c r="AA59" s="262"/>
      <c r="AB59" s="263"/>
      <c r="AC59" s="90">
        <f>SUM(AC57:AC58)</f>
        <v>4.5454545454545456E-2</v>
      </c>
      <c r="AD59" s="90">
        <f>SUM(AD57:AD58)</f>
        <v>0.27500000000000002</v>
      </c>
      <c r="AE59" s="90">
        <f>AVERAGE(AE57:AE58)</f>
        <v>9.0909090909090912E-2</v>
      </c>
      <c r="AF59" s="90">
        <f>AVERAGE(AF57:AF58)</f>
        <v>0.27500000000000002</v>
      </c>
    </row>
    <row r="60" spans="1:32" s="53" customFormat="1" ht="409.5">
      <c r="A60" s="48" t="s">
        <v>423</v>
      </c>
      <c r="B60" s="62" t="s">
        <v>424</v>
      </c>
      <c r="C60" s="48" t="s">
        <v>425</v>
      </c>
      <c r="D60" s="48" t="s">
        <v>426</v>
      </c>
      <c r="E60" s="48" t="s">
        <v>427</v>
      </c>
      <c r="F60" s="259" t="s">
        <v>428</v>
      </c>
      <c r="G60" s="50" t="s">
        <v>429</v>
      </c>
      <c r="H60" s="48" t="s">
        <v>430</v>
      </c>
      <c r="I60" s="48" t="s">
        <v>265</v>
      </c>
      <c r="J60" s="48" t="s">
        <v>326</v>
      </c>
      <c r="K60" s="49" t="s">
        <v>431</v>
      </c>
      <c r="L60" s="51">
        <v>0.2</v>
      </c>
      <c r="M60" s="48" t="s">
        <v>268</v>
      </c>
      <c r="N60" s="48" t="s">
        <v>280</v>
      </c>
      <c r="O60" s="48">
        <v>4</v>
      </c>
      <c r="P60" s="58" t="s">
        <v>270</v>
      </c>
      <c r="Q60" s="58">
        <v>1</v>
      </c>
      <c r="R60" s="241">
        <v>1</v>
      </c>
      <c r="S60" s="59">
        <v>2</v>
      </c>
      <c r="T60" s="58">
        <v>0</v>
      </c>
      <c r="U60" s="58">
        <v>1</v>
      </c>
      <c r="V60" s="58">
        <f t="shared" si="1"/>
        <v>0</v>
      </c>
      <c r="W60" s="60"/>
      <c r="X60" s="70">
        <f t="shared" si="2"/>
        <v>1</v>
      </c>
      <c r="Y60" s="58">
        <v>0</v>
      </c>
      <c r="Z60" s="60"/>
      <c r="AA60" s="60"/>
      <c r="AB60" s="60"/>
      <c r="AC60" s="56">
        <f t="shared" si="3"/>
        <v>0</v>
      </c>
      <c r="AD60" s="56">
        <f t="shared" si="4"/>
        <v>0.05</v>
      </c>
      <c r="AE60" s="56">
        <f t="shared" si="5"/>
        <v>0</v>
      </c>
      <c r="AF60" s="56">
        <f t="shared" si="6"/>
        <v>0.25</v>
      </c>
    </row>
    <row r="61" spans="1:32" s="53" customFormat="1" ht="409.5">
      <c r="A61" s="48" t="s">
        <v>423</v>
      </c>
      <c r="B61" s="62" t="s">
        <v>424</v>
      </c>
      <c r="C61" s="48" t="s">
        <v>425</v>
      </c>
      <c r="D61" s="48" t="s">
        <v>426</v>
      </c>
      <c r="E61" s="48" t="s">
        <v>427</v>
      </c>
      <c r="F61" s="259"/>
      <c r="G61" s="50" t="s">
        <v>429</v>
      </c>
      <c r="H61" s="48" t="s">
        <v>432</v>
      </c>
      <c r="I61" s="48" t="s">
        <v>265</v>
      </c>
      <c r="J61" s="48" t="s">
        <v>326</v>
      </c>
      <c r="K61" s="49" t="s">
        <v>433</v>
      </c>
      <c r="L61" s="51">
        <v>0.2</v>
      </c>
      <c r="M61" s="48" t="s">
        <v>268</v>
      </c>
      <c r="N61" s="48" t="s">
        <v>280</v>
      </c>
      <c r="O61" s="48">
        <v>6</v>
      </c>
      <c r="P61" s="58">
        <v>2</v>
      </c>
      <c r="Q61" s="58">
        <v>2</v>
      </c>
      <c r="R61" s="241">
        <v>2</v>
      </c>
      <c r="S61" s="59">
        <v>1</v>
      </c>
      <c r="T61" s="58">
        <v>0</v>
      </c>
      <c r="U61" s="58">
        <v>3</v>
      </c>
      <c r="V61" s="58">
        <f t="shared" si="1"/>
        <v>1</v>
      </c>
      <c r="W61" s="60"/>
      <c r="X61" s="70">
        <f t="shared" si="2"/>
        <v>4</v>
      </c>
      <c r="Y61" s="58">
        <v>1</v>
      </c>
      <c r="Z61" s="60"/>
      <c r="AA61" s="60"/>
      <c r="AB61" s="60"/>
      <c r="AC61" s="56">
        <f t="shared" si="3"/>
        <v>0.1</v>
      </c>
      <c r="AD61" s="56">
        <f t="shared" si="4"/>
        <v>0.13333333333333333</v>
      </c>
      <c r="AE61" s="56">
        <f t="shared" si="5"/>
        <v>0.5</v>
      </c>
      <c r="AF61" s="56">
        <f t="shared" si="6"/>
        <v>0.66666666666666663</v>
      </c>
    </row>
    <row r="62" spans="1:32" s="53" customFormat="1" ht="409.5">
      <c r="A62" s="48" t="s">
        <v>423</v>
      </c>
      <c r="B62" s="62" t="s">
        <v>424</v>
      </c>
      <c r="C62" s="48" t="s">
        <v>425</v>
      </c>
      <c r="D62" s="48" t="s">
        <v>426</v>
      </c>
      <c r="E62" s="48" t="s">
        <v>427</v>
      </c>
      <c r="F62" s="259"/>
      <c r="G62" s="50" t="s">
        <v>429</v>
      </c>
      <c r="H62" s="48" t="s">
        <v>434</v>
      </c>
      <c r="I62" s="48" t="s">
        <v>265</v>
      </c>
      <c r="J62" s="48" t="s">
        <v>326</v>
      </c>
      <c r="K62" s="49" t="s">
        <v>435</v>
      </c>
      <c r="L62" s="51">
        <v>0.35</v>
      </c>
      <c r="M62" s="48" t="s">
        <v>268</v>
      </c>
      <c r="N62" s="48" t="s">
        <v>280</v>
      </c>
      <c r="O62" s="48">
        <v>6</v>
      </c>
      <c r="P62" s="58">
        <v>2</v>
      </c>
      <c r="Q62" s="58">
        <v>3</v>
      </c>
      <c r="R62" s="241">
        <v>2</v>
      </c>
      <c r="S62" s="59">
        <v>2</v>
      </c>
      <c r="T62" s="58">
        <v>1</v>
      </c>
      <c r="U62" s="58">
        <v>1</v>
      </c>
      <c r="V62" s="58">
        <f t="shared" si="1"/>
        <v>7</v>
      </c>
      <c r="W62" s="60"/>
      <c r="X62" s="70">
        <f t="shared" si="2"/>
        <v>9</v>
      </c>
      <c r="Y62" s="58">
        <v>7</v>
      </c>
      <c r="Z62" s="60"/>
      <c r="AA62" s="60"/>
      <c r="AB62" s="60"/>
      <c r="AC62" s="56">
        <f t="shared" si="3"/>
        <v>0.35</v>
      </c>
      <c r="AD62" s="56">
        <f t="shared" si="4"/>
        <v>0.35</v>
      </c>
      <c r="AE62" s="56">
        <f t="shared" si="5"/>
        <v>1</v>
      </c>
      <c r="AF62" s="56">
        <f t="shared" si="6"/>
        <v>1</v>
      </c>
    </row>
    <row r="63" spans="1:32" s="53" customFormat="1" ht="409.5">
      <c r="A63" s="48" t="s">
        <v>423</v>
      </c>
      <c r="B63" s="62" t="s">
        <v>424</v>
      </c>
      <c r="C63" s="48" t="s">
        <v>425</v>
      </c>
      <c r="D63" s="48" t="s">
        <v>426</v>
      </c>
      <c r="E63" s="48" t="s">
        <v>427</v>
      </c>
      <c r="F63" s="259"/>
      <c r="G63" s="50" t="s">
        <v>429</v>
      </c>
      <c r="H63" s="48" t="s">
        <v>436</v>
      </c>
      <c r="I63" s="48" t="s">
        <v>265</v>
      </c>
      <c r="J63" s="48" t="s">
        <v>326</v>
      </c>
      <c r="K63" s="49" t="s">
        <v>437</v>
      </c>
      <c r="L63" s="54">
        <v>0.2</v>
      </c>
      <c r="M63" s="48" t="s">
        <v>268</v>
      </c>
      <c r="N63" s="48" t="s">
        <v>280</v>
      </c>
      <c r="O63" s="48">
        <v>10</v>
      </c>
      <c r="P63" s="57" t="s">
        <v>270</v>
      </c>
      <c r="Q63" s="58">
        <v>0.5</v>
      </c>
      <c r="R63" s="241">
        <v>2</v>
      </c>
      <c r="S63" s="59">
        <v>3</v>
      </c>
      <c r="T63" s="57">
        <v>16</v>
      </c>
      <c r="U63" s="58">
        <v>3</v>
      </c>
      <c r="V63" s="58">
        <f t="shared" si="1"/>
        <v>1</v>
      </c>
      <c r="W63" s="60"/>
      <c r="X63" s="70">
        <f t="shared" si="2"/>
        <v>20</v>
      </c>
      <c r="Y63" s="58">
        <v>1</v>
      </c>
      <c r="Z63" s="60"/>
      <c r="AA63" s="60"/>
      <c r="AB63" s="60"/>
      <c r="AC63" s="56">
        <f t="shared" si="3"/>
        <v>0.1</v>
      </c>
      <c r="AD63" s="56">
        <f t="shared" si="4"/>
        <v>0.2</v>
      </c>
      <c r="AE63" s="56">
        <f t="shared" si="5"/>
        <v>0.5</v>
      </c>
      <c r="AF63" s="56">
        <f t="shared" si="6"/>
        <v>1</v>
      </c>
    </row>
    <row r="64" spans="1:32" s="53" customFormat="1" ht="409.5">
      <c r="A64" s="48" t="s">
        <v>423</v>
      </c>
      <c r="B64" s="62" t="s">
        <v>424</v>
      </c>
      <c r="C64" s="48" t="s">
        <v>425</v>
      </c>
      <c r="D64" s="48" t="s">
        <v>426</v>
      </c>
      <c r="E64" s="48" t="s">
        <v>427</v>
      </c>
      <c r="F64" s="259"/>
      <c r="G64" s="50" t="s">
        <v>429</v>
      </c>
      <c r="H64" s="48" t="s">
        <v>438</v>
      </c>
      <c r="I64" s="48" t="s">
        <v>265</v>
      </c>
      <c r="J64" s="48" t="s">
        <v>335</v>
      </c>
      <c r="K64" s="49" t="s">
        <v>439</v>
      </c>
      <c r="L64" s="51">
        <v>0.05</v>
      </c>
      <c r="M64" s="48" t="s">
        <v>268</v>
      </c>
      <c r="N64" s="48" t="s">
        <v>280</v>
      </c>
      <c r="O64" s="48">
        <v>1</v>
      </c>
      <c r="P64" s="58">
        <v>11</v>
      </c>
      <c r="Q64" s="58">
        <v>12</v>
      </c>
      <c r="R64" s="241">
        <v>0.55000000000000004</v>
      </c>
      <c r="S64" s="59" t="s">
        <v>270</v>
      </c>
      <c r="T64" s="58">
        <v>0</v>
      </c>
      <c r="U64" s="58">
        <v>0.5</v>
      </c>
      <c r="V64" s="58">
        <f t="shared" si="1"/>
        <v>0.05</v>
      </c>
      <c r="W64" s="60"/>
      <c r="X64" s="80">
        <f t="shared" si="2"/>
        <v>0.55000000000000004</v>
      </c>
      <c r="Y64" s="58">
        <v>0.05</v>
      </c>
      <c r="Z64" s="60"/>
      <c r="AA64" s="60"/>
      <c r="AB64" s="60"/>
      <c r="AC64" s="56">
        <f t="shared" si="3"/>
        <v>4.5454545454545461E-3</v>
      </c>
      <c r="AD64" s="56">
        <f t="shared" si="4"/>
        <v>2.7500000000000004E-2</v>
      </c>
      <c r="AE64" s="56">
        <f t="shared" si="5"/>
        <v>9.0909090909090912E-2</v>
      </c>
      <c r="AF64" s="56">
        <f t="shared" si="6"/>
        <v>0.55000000000000004</v>
      </c>
    </row>
    <row r="65" spans="1:38" s="53" customFormat="1" ht="147" customHeight="1">
      <c r="A65" s="85"/>
      <c r="B65" s="86"/>
      <c r="C65" s="85"/>
      <c r="D65" s="85"/>
      <c r="E65" s="85"/>
      <c r="F65" s="87"/>
      <c r="G65" s="88"/>
      <c r="H65" s="85"/>
      <c r="I65" s="85" t="s">
        <v>1266</v>
      </c>
      <c r="J65" s="85"/>
      <c r="K65" s="87"/>
      <c r="L65" s="89"/>
      <c r="M65" s="85"/>
      <c r="N65" s="261" t="s">
        <v>1265</v>
      </c>
      <c r="O65" s="262"/>
      <c r="P65" s="262"/>
      <c r="Q65" s="262"/>
      <c r="R65" s="262"/>
      <c r="S65" s="262"/>
      <c r="T65" s="262"/>
      <c r="U65" s="262"/>
      <c r="V65" s="262"/>
      <c r="W65" s="262"/>
      <c r="X65" s="262"/>
      <c r="Y65" s="262"/>
      <c r="Z65" s="262"/>
      <c r="AA65" s="262"/>
      <c r="AB65" s="263"/>
      <c r="AC65" s="90">
        <f>SUM(AC60:AC64)</f>
        <v>0.55454545454545445</v>
      </c>
      <c r="AD65" s="90">
        <f>SUM(AD60:AD64)</f>
        <v>0.76083333333333336</v>
      </c>
      <c r="AE65" s="90">
        <f>AVERAGE(AE60:AE64)</f>
        <v>0.41818181818181815</v>
      </c>
      <c r="AF65" s="90">
        <f>AVERAGE(AF60:AF64)</f>
        <v>0.69333333333333336</v>
      </c>
    </row>
    <row r="66" spans="1:38" s="53" customFormat="1" ht="409.5">
      <c r="A66" s="48" t="s">
        <v>423</v>
      </c>
      <c r="B66" s="62" t="s">
        <v>424</v>
      </c>
      <c r="C66" s="48" t="s">
        <v>425</v>
      </c>
      <c r="D66" s="48" t="s">
        <v>426</v>
      </c>
      <c r="E66" s="48" t="s">
        <v>427</v>
      </c>
      <c r="F66" s="259" t="s">
        <v>440</v>
      </c>
      <c r="G66" s="50" t="s">
        <v>441</v>
      </c>
      <c r="H66" s="48" t="s">
        <v>442</v>
      </c>
      <c r="I66" s="48" t="s">
        <v>265</v>
      </c>
      <c r="J66" s="48" t="s">
        <v>326</v>
      </c>
      <c r="K66" s="49" t="s">
        <v>443</v>
      </c>
      <c r="L66" s="51">
        <v>0.05</v>
      </c>
      <c r="M66" s="48" t="s">
        <v>294</v>
      </c>
      <c r="N66" s="48" t="s">
        <v>444</v>
      </c>
      <c r="O66" s="48">
        <v>1</v>
      </c>
      <c r="P66" s="58">
        <v>3</v>
      </c>
      <c r="Q66" s="58">
        <v>3</v>
      </c>
      <c r="R66" s="241">
        <v>0.25</v>
      </c>
      <c r="S66" s="59">
        <v>0.25</v>
      </c>
      <c r="T66" s="58">
        <v>0.19899999999999998</v>
      </c>
      <c r="U66" s="58">
        <f>+(0.25-0.199)+0.25</f>
        <v>0.30099999999999999</v>
      </c>
      <c r="V66" s="58">
        <f t="shared" si="1"/>
        <v>6.25E-2</v>
      </c>
      <c r="W66" s="60"/>
      <c r="X66" s="61">
        <f t="shared" si="2"/>
        <v>0.5625</v>
      </c>
      <c r="Y66" s="58">
        <v>6.25E-2</v>
      </c>
      <c r="Z66" s="60"/>
      <c r="AA66" s="60"/>
      <c r="AB66" s="60"/>
      <c r="AC66" s="56">
        <f t="shared" si="3"/>
        <v>1.2500000000000001E-2</v>
      </c>
      <c r="AD66" s="56">
        <f t="shared" si="4"/>
        <v>2.8125000000000001E-2</v>
      </c>
      <c r="AE66" s="56">
        <f t="shared" si="5"/>
        <v>0.25</v>
      </c>
      <c r="AF66" s="56">
        <f t="shared" si="6"/>
        <v>0.5625</v>
      </c>
    </row>
    <row r="67" spans="1:38" s="53" customFormat="1" ht="409.5">
      <c r="A67" s="48" t="s">
        <v>423</v>
      </c>
      <c r="B67" s="62" t="s">
        <v>424</v>
      </c>
      <c r="C67" s="48" t="s">
        <v>425</v>
      </c>
      <c r="D67" s="48" t="s">
        <v>426</v>
      </c>
      <c r="E67" s="48" t="s">
        <v>427</v>
      </c>
      <c r="F67" s="259"/>
      <c r="G67" s="50" t="s">
        <v>441</v>
      </c>
      <c r="H67" s="48" t="s">
        <v>445</v>
      </c>
      <c r="I67" s="48" t="s">
        <v>265</v>
      </c>
      <c r="J67" s="48" t="s">
        <v>335</v>
      </c>
      <c r="K67" s="49" t="s">
        <v>446</v>
      </c>
      <c r="L67" s="51">
        <v>0.25</v>
      </c>
      <c r="M67" s="48" t="s">
        <v>294</v>
      </c>
      <c r="N67" s="48" t="s">
        <v>447</v>
      </c>
      <c r="O67" s="48">
        <v>1</v>
      </c>
      <c r="P67" s="69" t="s">
        <v>270</v>
      </c>
      <c r="Q67" s="31">
        <v>0.25</v>
      </c>
      <c r="R67" s="241">
        <v>0.3</v>
      </c>
      <c r="S67" s="59">
        <v>0.3</v>
      </c>
      <c r="T67" s="69">
        <v>7.1000000000000008E-2</v>
      </c>
      <c r="U67" s="31">
        <v>0.32900000000000001</v>
      </c>
      <c r="V67" s="58">
        <f t="shared" si="1"/>
        <v>7.4999999999999997E-2</v>
      </c>
      <c r="W67" s="60"/>
      <c r="X67" s="61">
        <f t="shared" si="2"/>
        <v>0.47500000000000003</v>
      </c>
      <c r="Y67" s="58">
        <v>7.4999999999999997E-2</v>
      </c>
      <c r="Z67" s="60"/>
      <c r="AA67" s="60"/>
      <c r="AB67" s="60"/>
      <c r="AC67" s="56">
        <f t="shared" si="3"/>
        <v>6.25E-2</v>
      </c>
      <c r="AD67" s="56">
        <f t="shared" si="4"/>
        <v>0.11875000000000001</v>
      </c>
      <c r="AE67" s="56">
        <f t="shared" si="5"/>
        <v>0.25</v>
      </c>
      <c r="AF67" s="56">
        <f t="shared" si="6"/>
        <v>0.47500000000000003</v>
      </c>
    </row>
    <row r="68" spans="1:38" s="53" customFormat="1" ht="409.5">
      <c r="A68" s="48" t="s">
        <v>423</v>
      </c>
      <c r="B68" s="62" t="s">
        <v>424</v>
      </c>
      <c r="C68" s="48" t="s">
        <v>425</v>
      </c>
      <c r="D68" s="48" t="s">
        <v>426</v>
      </c>
      <c r="E68" s="48" t="s">
        <v>427</v>
      </c>
      <c r="F68" s="259"/>
      <c r="G68" s="50" t="s">
        <v>441</v>
      </c>
      <c r="H68" s="48" t="s">
        <v>448</v>
      </c>
      <c r="I68" s="48" t="s">
        <v>265</v>
      </c>
      <c r="J68" s="48" t="s">
        <v>449</v>
      </c>
      <c r="K68" s="49" t="s">
        <v>450</v>
      </c>
      <c r="L68" s="51">
        <v>0.05</v>
      </c>
      <c r="M68" s="48" t="s">
        <v>294</v>
      </c>
      <c r="N68" s="48" t="s">
        <v>451</v>
      </c>
      <c r="O68" s="48">
        <v>1</v>
      </c>
      <c r="P68" s="32" t="s">
        <v>270</v>
      </c>
      <c r="Q68" s="73">
        <v>0.25</v>
      </c>
      <c r="R68" s="241">
        <v>0.25</v>
      </c>
      <c r="S68" s="59">
        <v>0.25</v>
      </c>
      <c r="T68" s="32">
        <f>0.94*0.25</f>
        <v>0.23499999999999999</v>
      </c>
      <c r="U68" s="73">
        <f>+(0.25-0.24)+0.25</f>
        <v>0.26</v>
      </c>
      <c r="V68" s="58">
        <f t="shared" si="1"/>
        <v>6.25E-2</v>
      </c>
      <c r="W68" s="60"/>
      <c r="X68" s="61">
        <f t="shared" si="2"/>
        <v>0.5575</v>
      </c>
      <c r="Y68" s="58">
        <v>6.25E-2</v>
      </c>
      <c r="Z68" s="60"/>
      <c r="AA68" s="60"/>
      <c r="AB68" s="60"/>
      <c r="AC68" s="56">
        <f t="shared" si="3"/>
        <v>1.2500000000000001E-2</v>
      </c>
      <c r="AD68" s="56">
        <f t="shared" si="4"/>
        <v>2.7875E-2</v>
      </c>
      <c r="AE68" s="56">
        <f t="shared" si="5"/>
        <v>0.25</v>
      </c>
      <c r="AF68" s="56">
        <f t="shared" si="6"/>
        <v>0.5575</v>
      </c>
    </row>
    <row r="69" spans="1:38" s="53" customFormat="1" ht="409.5">
      <c r="A69" s="48" t="s">
        <v>423</v>
      </c>
      <c r="B69" s="62" t="s">
        <v>424</v>
      </c>
      <c r="C69" s="48" t="s">
        <v>425</v>
      </c>
      <c r="D69" s="48" t="s">
        <v>426</v>
      </c>
      <c r="E69" s="48" t="s">
        <v>427</v>
      </c>
      <c r="F69" s="259"/>
      <c r="G69" s="50" t="s">
        <v>441</v>
      </c>
      <c r="H69" s="48" t="s">
        <v>452</v>
      </c>
      <c r="I69" s="48" t="s">
        <v>265</v>
      </c>
      <c r="J69" s="48" t="s">
        <v>326</v>
      </c>
      <c r="K69" s="49" t="s">
        <v>453</v>
      </c>
      <c r="L69" s="51">
        <v>0.25</v>
      </c>
      <c r="M69" s="48" t="s">
        <v>268</v>
      </c>
      <c r="N69" s="48" t="s">
        <v>454</v>
      </c>
      <c r="O69" s="48">
        <v>1</v>
      </c>
      <c r="P69" s="58">
        <v>2</v>
      </c>
      <c r="Q69" s="58">
        <v>1</v>
      </c>
      <c r="R69" s="241">
        <v>0.3</v>
      </c>
      <c r="S69" s="59">
        <v>0.3</v>
      </c>
      <c r="T69" s="58">
        <v>0.1</v>
      </c>
      <c r="U69" s="58">
        <v>0.3</v>
      </c>
      <c r="V69" s="58">
        <f t="shared" si="1"/>
        <v>7.4999999999999997E-2</v>
      </c>
      <c r="W69" s="60"/>
      <c r="X69" s="61">
        <f t="shared" si="2"/>
        <v>0.47500000000000003</v>
      </c>
      <c r="Y69" s="58">
        <v>7.4999999999999997E-2</v>
      </c>
      <c r="Z69" s="60"/>
      <c r="AA69" s="60"/>
      <c r="AB69" s="60"/>
      <c r="AC69" s="56">
        <f t="shared" si="3"/>
        <v>6.25E-2</v>
      </c>
      <c r="AD69" s="56">
        <f t="shared" si="4"/>
        <v>0.11875000000000001</v>
      </c>
      <c r="AE69" s="56">
        <f t="shared" si="5"/>
        <v>0.25</v>
      </c>
      <c r="AF69" s="56">
        <f t="shared" si="6"/>
        <v>0.47500000000000003</v>
      </c>
    </row>
    <row r="70" spans="1:38" s="53" customFormat="1" ht="409.5">
      <c r="A70" s="48" t="s">
        <v>423</v>
      </c>
      <c r="B70" s="62" t="s">
        <v>424</v>
      </c>
      <c r="C70" s="48" t="s">
        <v>425</v>
      </c>
      <c r="D70" s="48" t="s">
        <v>426</v>
      </c>
      <c r="E70" s="48" t="s">
        <v>427</v>
      </c>
      <c r="F70" s="259"/>
      <c r="G70" s="50" t="s">
        <v>441</v>
      </c>
      <c r="H70" s="48" t="s">
        <v>455</v>
      </c>
      <c r="I70" s="48" t="s">
        <v>265</v>
      </c>
      <c r="J70" s="48" t="s">
        <v>456</v>
      </c>
      <c r="K70" s="49" t="s">
        <v>457</v>
      </c>
      <c r="L70" s="51">
        <v>0.05</v>
      </c>
      <c r="M70" s="48" t="s">
        <v>294</v>
      </c>
      <c r="N70" s="48" t="s">
        <v>458</v>
      </c>
      <c r="O70" s="48">
        <v>4</v>
      </c>
      <c r="P70" s="58" t="s">
        <v>270</v>
      </c>
      <c r="Q70" s="58">
        <v>2</v>
      </c>
      <c r="R70" s="241">
        <v>1</v>
      </c>
      <c r="S70" s="59">
        <v>1</v>
      </c>
      <c r="T70" s="58">
        <v>1</v>
      </c>
      <c r="U70" s="58">
        <v>1</v>
      </c>
      <c r="V70" s="58">
        <f t="shared" si="1"/>
        <v>0.25</v>
      </c>
      <c r="W70" s="60"/>
      <c r="X70" s="61">
        <f t="shared" si="2"/>
        <v>2.25</v>
      </c>
      <c r="Y70" s="58">
        <f>1/4</f>
        <v>0.25</v>
      </c>
      <c r="Z70" s="60"/>
      <c r="AA70" s="60"/>
      <c r="AB70" s="60"/>
      <c r="AC70" s="56">
        <f t="shared" si="3"/>
        <v>1.2500000000000001E-2</v>
      </c>
      <c r="AD70" s="56">
        <f t="shared" si="4"/>
        <v>2.8125000000000001E-2</v>
      </c>
      <c r="AE70" s="56">
        <f t="shared" si="5"/>
        <v>0.25</v>
      </c>
      <c r="AF70" s="56">
        <f t="shared" si="6"/>
        <v>0.5625</v>
      </c>
    </row>
    <row r="71" spans="1:38" s="53" customFormat="1" ht="409.5">
      <c r="A71" s="48" t="s">
        <v>423</v>
      </c>
      <c r="B71" s="62" t="s">
        <v>424</v>
      </c>
      <c r="C71" s="48" t="s">
        <v>425</v>
      </c>
      <c r="D71" s="48" t="s">
        <v>426</v>
      </c>
      <c r="E71" s="48" t="s">
        <v>427</v>
      </c>
      <c r="F71" s="259"/>
      <c r="G71" s="50" t="s">
        <v>441</v>
      </c>
      <c r="H71" s="48" t="s">
        <v>459</v>
      </c>
      <c r="I71" s="48" t="s">
        <v>265</v>
      </c>
      <c r="J71" s="48" t="s">
        <v>460</v>
      </c>
      <c r="K71" s="49" t="s">
        <v>461</v>
      </c>
      <c r="L71" s="51">
        <v>0.35</v>
      </c>
      <c r="M71" s="48" t="s">
        <v>294</v>
      </c>
      <c r="N71" s="48" t="s">
        <v>462</v>
      </c>
      <c r="O71" s="48">
        <v>44</v>
      </c>
      <c r="P71" s="58"/>
      <c r="Q71" s="58"/>
      <c r="R71" s="241">
        <v>11</v>
      </c>
      <c r="S71" s="59">
        <v>11</v>
      </c>
      <c r="T71" s="58">
        <v>11</v>
      </c>
      <c r="U71" s="58">
        <v>11</v>
      </c>
      <c r="V71" s="58">
        <f t="shared" si="1"/>
        <v>0</v>
      </c>
      <c r="W71" s="60"/>
      <c r="X71" s="70">
        <f t="shared" si="2"/>
        <v>22</v>
      </c>
      <c r="Y71" s="58">
        <v>0</v>
      </c>
      <c r="Z71" s="60"/>
      <c r="AA71" s="60"/>
      <c r="AB71" s="60"/>
      <c r="AC71" s="56">
        <f t="shared" si="3"/>
        <v>0</v>
      </c>
      <c r="AD71" s="56">
        <f t="shared" si="4"/>
        <v>0.17499999999999999</v>
      </c>
      <c r="AE71" s="56">
        <f t="shared" si="5"/>
        <v>0</v>
      </c>
      <c r="AF71" s="56">
        <f t="shared" si="6"/>
        <v>0.5</v>
      </c>
    </row>
    <row r="72" spans="1:38" s="53" customFormat="1" ht="156.75" customHeight="1">
      <c r="A72" s="85"/>
      <c r="B72" s="86"/>
      <c r="C72" s="85"/>
      <c r="D72" s="85"/>
      <c r="E72" s="85"/>
      <c r="F72" s="87"/>
      <c r="G72" s="88"/>
      <c r="H72" s="85"/>
      <c r="I72" s="85"/>
      <c r="J72" s="85"/>
      <c r="K72" s="87"/>
      <c r="L72" s="89"/>
      <c r="M72" s="85"/>
      <c r="N72" s="261" t="s">
        <v>1267</v>
      </c>
      <c r="O72" s="262"/>
      <c r="P72" s="262"/>
      <c r="Q72" s="262"/>
      <c r="R72" s="262"/>
      <c r="S72" s="262"/>
      <c r="T72" s="262"/>
      <c r="U72" s="262"/>
      <c r="V72" s="262"/>
      <c r="W72" s="262"/>
      <c r="X72" s="262"/>
      <c r="Y72" s="262"/>
      <c r="Z72" s="262"/>
      <c r="AA72" s="262"/>
      <c r="AB72" s="263"/>
      <c r="AC72" s="90">
        <f>SUM(AC66:AC71)</f>
        <v>0.16250000000000001</v>
      </c>
      <c r="AD72" s="90">
        <f>SUM(AD66:AD71)</f>
        <v>0.49662500000000004</v>
      </c>
      <c r="AE72" s="90">
        <f>AVERAGE(AE66:AE71)</f>
        <v>0.20833333333333334</v>
      </c>
      <c r="AF72" s="90">
        <f>AVERAGE(AF66:AF71)</f>
        <v>0.52208333333333334</v>
      </c>
    </row>
    <row r="73" spans="1:38" s="53" customFormat="1" ht="409.5">
      <c r="A73" s="48" t="s">
        <v>423</v>
      </c>
      <c r="B73" s="62" t="s">
        <v>424</v>
      </c>
      <c r="C73" s="48" t="s">
        <v>425</v>
      </c>
      <c r="D73" s="48" t="s">
        <v>426</v>
      </c>
      <c r="E73" s="48" t="s">
        <v>463</v>
      </c>
      <c r="F73" s="259" t="s">
        <v>464</v>
      </c>
      <c r="G73" s="50" t="s">
        <v>465</v>
      </c>
      <c r="H73" s="48" t="s">
        <v>466</v>
      </c>
      <c r="I73" s="48" t="s">
        <v>265</v>
      </c>
      <c r="J73" s="48" t="s">
        <v>467</v>
      </c>
      <c r="K73" s="49" t="s">
        <v>468</v>
      </c>
      <c r="L73" s="51">
        <v>0.1</v>
      </c>
      <c r="M73" s="48" t="s">
        <v>294</v>
      </c>
      <c r="N73" s="48" t="s">
        <v>469</v>
      </c>
      <c r="O73" s="48">
        <v>16</v>
      </c>
      <c r="P73" s="58"/>
      <c r="Q73" s="58"/>
      <c r="R73" s="241">
        <v>4</v>
      </c>
      <c r="S73" s="59">
        <v>4</v>
      </c>
      <c r="T73" s="58">
        <v>5</v>
      </c>
      <c r="U73" s="58">
        <v>4</v>
      </c>
      <c r="V73" s="58">
        <f t="shared" si="1"/>
        <v>1</v>
      </c>
      <c r="W73" s="60"/>
      <c r="X73" s="70">
        <f t="shared" si="2"/>
        <v>10</v>
      </c>
      <c r="Y73" s="58">
        <v>1</v>
      </c>
      <c r="Z73" s="60"/>
      <c r="AA73" s="60"/>
      <c r="AB73" s="60"/>
      <c r="AC73" s="56">
        <f t="shared" si="3"/>
        <v>2.5000000000000001E-2</v>
      </c>
      <c r="AD73" s="56">
        <f t="shared" si="4"/>
        <v>6.25E-2</v>
      </c>
      <c r="AE73" s="56">
        <f t="shared" si="5"/>
        <v>0.25</v>
      </c>
      <c r="AF73" s="56">
        <f t="shared" si="6"/>
        <v>0.625</v>
      </c>
    </row>
    <row r="74" spans="1:38" s="53" customFormat="1" ht="409.5">
      <c r="A74" s="48" t="s">
        <v>423</v>
      </c>
      <c r="B74" s="62" t="s">
        <v>424</v>
      </c>
      <c r="C74" s="48" t="s">
        <v>425</v>
      </c>
      <c r="D74" s="48" t="s">
        <v>426</v>
      </c>
      <c r="E74" s="48" t="s">
        <v>463</v>
      </c>
      <c r="F74" s="259"/>
      <c r="G74" s="50" t="s">
        <v>465</v>
      </c>
      <c r="H74" s="48" t="s">
        <v>470</v>
      </c>
      <c r="I74" s="48" t="s">
        <v>265</v>
      </c>
      <c r="J74" s="48" t="s">
        <v>326</v>
      </c>
      <c r="K74" s="49" t="s">
        <v>471</v>
      </c>
      <c r="L74" s="51">
        <v>0.15</v>
      </c>
      <c r="M74" s="48" t="s">
        <v>294</v>
      </c>
      <c r="N74" s="48" t="s">
        <v>472</v>
      </c>
      <c r="O74" s="48">
        <v>92</v>
      </c>
      <c r="P74" s="58"/>
      <c r="Q74" s="58"/>
      <c r="R74" s="241">
        <v>23</v>
      </c>
      <c r="S74" s="59">
        <v>23</v>
      </c>
      <c r="T74" s="58">
        <v>23</v>
      </c>
      <c r="U74" s="58">
        <v>23</v>
      </c>
      <c r="V74" s="58">
        <f t="shared" si="1"/>
        <v>23</v>
      </c>
      <c r="W74" s="60"/>
      <c r="X74" s="70">
        <f t="shared" si="2"/>
        <v>69</v>
      </c>
      <c r="Y74" s="58">
        <v>23</v>
      </c>
      <c r="Z74" s="60"/>
      <c r="AA74" s="60"/>
      <c r="AB74" s="60"/>
      <c r="AC74" s="56">
        <f>+((Y74/4)/R74)*L74</f>
        <v>3.7499999999999999E-2</v>
      </c>
      <c r="AD74" s="56">
        <f>+(((T74+U74+(V74/4))/O74)*L74)</f>
        <v>8.4374999999999992E-2</v>
      </c>
      <c r="AE74" s="56">
        <f>(+IF(((V74)/R74)&gt;100%,100%,((V74)/R74))/4)</f>
        <v>0.25</v>
      </c>
      <c r="AF74" s="56">
        <f>+((T74+U74+(V74/4)))/O74</f>
        <v>0.5625</v>
      </c>
      <c r="AJ74" s="81">
        <f>23/4</f>
        <v>5.75</v>
      </c>
      <c r="AL74" s="53">
        <f>+AJ74*4</f>
        <v>23</v>
      </c>
    </row>
    <row r="75" spans="1:38" s="53" customFormat="1" ht="409.5">
      <c r="A75" s="48" t="s">
        <v>423</v>
      </c>
      <c r="B75" s="62" t="s">
        <v>424</v>
      </c>
      <c r="C75" s="48" t="s">
        <v>425</v>
      </c>
      <c r="D75" s="48" t="s">
        <v>426</v>
      </c>
      <c r="E75" s="48" t="s">
        <v>463</v>
      </c>
      <c r="F75" s="259"/>
      <c r="G75" s="50" t="s">
        <v>465</v>
      </c>
      <c r="H75" s="48" t="s">
        <v>473</v>
      </c>
      <c r="I75" s="48" t="s">
        <v>265</v>
      </c>
      <c r="J75" s="48" t="s">
        <v>474</v>
      </c>
      <c r="K75" s="49" t="s">
        <v>475</v>
      </c>
      <c r="L75" s="51">
        <v>0.15</v>
      </c>
      <c r="M75" s="48" t="s">
        <v>294</v>
      </c>
      <c r="N75" s="48" t="s">
        <v>359</v>
      </c>
      <c r="O75" s="48">
        <v>1500</v>
      </c>
      <c r="P75" s="58"/>
      <c r="Q75" s="58"/>
      <c r="R75" s="241">
        <v>375</v>
      </c>
      <c r="S75" s="59">
        <v>375</v>
      </c>
      <c r="T75" s="58">
        <v>741</v>
      </c>
      <c r="U75" s="58">
        <v>1157</v>
      </c>
      <c r="V75" s="58">
        <f t="shared" si="1"/>
        <v>80</v>
      </c>
      <c r="W75" s="60"/>
      <c r="X75" s="70">
        <f t="shared" si="2"/>
        <v>1978</v>
      </c>
      <c r="Y75" s="58">
        <v>80</v>
      </c>
      <c r="Z75" s="60"/>
      <c r="AA75" s="60"/>
      <c r="AB75" s="60"/>
      <c r="AC75" s="56">
        <f t="shared" si="3"/>
        <v>3.2000000000000001E-2</v>
      </c>
      <c r="AD75" s="56">
        <f t="shared" si="4"/>
        <v>0.15</v>
      </c>
      <c r="AE75" s="56">
        <f t="shared" si="5"/>
        <v>0.21333333333333335</v>
      </c>
      <c r="AF75" s="56">
        <f>(+IF(((X75)/O75)&gt;100%,100%,((X75))/O75))</f>
        <v>1</v>
      </c>
    </row>
    <row r="76" spans="1:38" s="53" customFormat="1" ht="409.5">
      <c r="A76" s="48" t="s">
        <v>423</v>
      </c>
      <c r="B76" s="62" t="s">
        <v>424</v>
      </c>
      <c r="C76" s="48" t="s">
        <v>425</v>
      </c>
      <c r="D76" s="48" t="s">
        <v>426</v>
      </c>
      <c r="E76" s="48" t="s">
        <v>463</v>
      </c>
      <c r="F76" s="259"/>
      <c r="G76" s="50" t="s">
        <v>465</v>
      </c>
      <c r="H76" s="48" t="s">
        <v>476</v>
      </c>
      <c r="I76" s="48" t="s">
        <v>265</v>
      </c>
      <c r="J76" s="48" t="s">
        <v>477</v>
      </c>
      <c r="K76" s="49" t="s">
        <v>478</v>
      </c>
      <c r="L76" s="51">
        <v>0.1</v>
      </c>
      <c r="M76" s="48" t="s">
        <v>294</v>
      </c>
      <c r="N76" s="48" t="s">
        <v>406</v>
      </c>
      <c r="O76" s="48">
        <v>12</v>
      </c>
      <c r="P76" s="58"/>
      <c r="Q76" s="58"/>
      <c r="R76" s="241">
        <v>3</v>
      </c>
      <c r="S76" s="59">
        <v>3</v>
      </c>
      <c r="T76" s="58">
        <v>3</v>
      </c>
      <c r="U76" s="58">
        <v>3</v>
      </c>
      <c r="V76" s="58">
        <f t="shared" si="1"/>
        <v>1</v>
      </c>
      <c r="W76" s="60"/>
      <c r="X76" s="70">
        <f t="shared" si="2"/>
        <v>7</v>
      </c>
      <c r="Y76" s="58">
        <v>1</v>
      </c>
      <c r="Z76" s="60"/>
      <c r="AA76" s="60"/>
      <c r="AB76" s="60"/>
      <c r="AC76" s="56">
        <f t="shared" si="3"/>
        <v>3.3333333333333333E-2</v>
      </c>
      <c r="AD76" s="56">
        <f t="shared" si="4"/>
        <v>5.8333333333333341E-2</v>
      </c>
      <c r="AE76" s="56">
        <f t="shared" si="5"/>
        <v>0.33333333333333331</v>
      </c>
      <c r="AF76" s="56">
        <f t="shared" si="6"/>
        <v>0.58333333333333337</v>
      </c>
    </row>
    <row r="77" spans="1:38" s="53" customFormat="1" ht="409.5">
      <c r="A77" s="48" t="s">
        <v>423</v>
      </c>
      <c r="B77" s="62" t="s">
        <v>424</v>
      </c>
      <c r="C77" s="48" t="s">
        <v>425</v>
      </c>
      <c r="D77" s="48" t="s">
        <v>426</v>
      </c>
      <c r="E77" s="48" t="s">
        <v>463</v>
      </c>
      <c r="F77" s="259"/>
      <c r="G77" s="50" t="s">
        <v>465</v>
      </c>
      <c r="H77" s="48" t="s">
        <v>479</v>
      </c>
      <c r="I77" s="48" t="s">
        <v>265</v>
      </c>
      <c r="J77" s="48" t="s">
        <v>480</v>
      </c>
      <c r="K77" s="49" t="s">
        <v>481</v>
      </c>
      <c r="L77" s="51">
        <v>0.1</v>
      </c>
      <c r="M77" s="48" t="s">
        <v>294</v>
      </c>
      <c r="N77" s="48" t="s">
        <v>482</v>
      </c>
      <c r="O77" s="48">
        <v>1</v>
      </c>
      <c r="P77" s="48"/>
      <c r="Q77" s="58"/>
      <c r="R77" s="241">
        <v>0.55000000000000004</v>
      </c>
      <c r="S77" s="59">
        <v>0.25</v>
      </c>
      <c r="T77" s="48">
        <v>0</v>
      </c>
      <c r="U77" s="58">
        <v>0.5</v>
      </c>
      <c r="V77" s="58">
        <f t="shared" si="1"/>
        <v>0.05</v>
      </c>
      <c r="W77" s="60"/>
      <c r="X77" s="61">
        <f t="shared" si="2"/>
        <v>0.55000000000000004</v>
      </c>
      <c r="Y77" s="58">
        <v>0.05</v>
      </c>
      <c r="Z77" s="60"/>
      <c r="AA77" s="60"/>
      <c r="AB77" s="60"/>
      <c r="AC77" s="56">
        <f t="shared" si="3"/>
        <v>9.0909090909090922E-3</v>
      </c>
      <c r="AD77" s="56">
        <f t="shared" si="4"/>
        <v>5.5000000000000007E-2</v>
      </c>
      <c r="AE77" s="56">
        <f t="shared" si="5"/>
        <v>9.0909090909090912E-2</v>
      </c>
      <c r="AF77" s="56">
        <f t="shared" si="6"/>
        <v>0.55000000000000004</v>
      </c>
    </row>
    <row r="78" spans="1:38" s="53" customFormat="1" ht="409.5">
      <c r="A78" s="48" t="s">
        <v>423</v>
      </c>
      <c r="B78" s="62" t="s">
        <v>424</v>
      </c>
      <c r="C78" s="48" t="s">
        <v>425</v>
      </c>
      <c r="D78" s="48" t="s">
        <v>426</v>
      </c>
      <c r="E78" s="48" t="s">
        <v>463</v>
      </c>
      <c r="F78" s="259"/>
      <c r="G78" s="50" t="s">
        <v>465</v>
      </c>
      <c r="H78" s="48" t="s">
        <v>483</v>
      </c>
      <c r="I78" s="48" t="s">
        <v>265</v>
      </c>
      <c r="J78" s="48" t="s">
        <v>335</v>
      </c>
      <c r="K78" s="49" t="s">
        <v>484</v>
      </c>
      <c r="L78" s="51">
        <v>0.3</v>
      </c>
      <c r="M78" s="48" t="s">
        <v>294</v>
      </c>
      <c r="N78" s="48" t="s">
        <v>485</v>
      </c>
      <c r="O78" s="48">
        <f>21*4</f>
        <v>84</v>
      </c>
      <c r="P78" s="58"/>
      <c r="Q78" s="58"/>
      <c r="R78" s="241">
        <v>21</v>
      </c>
      <c r="S78" s="59">
        <v>21</v>
      </c>
      <c r="T78" s="58">
        <v>21</v>
      </c>
      <c r="U78" s="58">
        <v>21</v>
      </c>
      <c r="V78" s="58">
        <f t="shared" si="1"/>
        <v>21</v>
      </c>
      <c r="W78" s="60"/>
      <c r="X78" s="70">
        <f t="shared" si="2"/>
        <v>63</v>
      </c>
      <c r="Y78" s="58">
        <v>21</v>
      </c>
      <c r="Z78" s="60"/>
      <c r="AA78" s="60"/>
      <c r="AB78" s="60"/>
      <c r="AC78" s="56">
        <f>+((Y78/4)/R78)*L78</f>
        <v>7.4999999999999997E-2</v>
      </c>
      <c r="AD78" s="56">
        <f>+(((T78+U78+(V78/4))/O78)*L78)</f>
        <v>0.16874999999999998</v>
      </c>
      <c r="AE78" s="56">
        <f>+IF(((V78)/R78)&gt;100%,100%,((V78/4)/R78))</f>
        <v>0.25</v>
      </c>
      <c r="AF78" s="56">
        <f>+((T78+U78+(V78/4)))/O78</f>
        <v>0.5625</v>
      </c>
    </row>
    <row r="79" spans="1:38" s="53" customFormat="1" ht="409.5">
      <c r="A79" s="48" t="s">
        <v>423</v>
      </c>
      <c r="B79" s="62" t="s">
        <v>424</v>
      </c>
      <c r="C79" s="48" t="s">
        <v>425</v>
      </c>
      <c r="D79" s="48" t="s">
        <v>426</v>
      </c>
      <c r="E79" s="48" t="s">
        <v>463</v>
      </c>
      <c r="F79" s="259"/>
      <c r="G79" s="50" t="s">
        <v>465</v>
      </c>
      <c r="H79" s="48" t="s">
        <v>486</v>
      </c>
      <c r="I79" s="48" t="s">
        <v>265</v>
      </c>
      <c r="J79" s="48" t="s">
        <v>326</v>
      </c>
      <c r="K79" s="49" t="s">
        <v>487</v>
      </c>
      <c r="L79" s="51">
        <v>0.1</v>
      </c>
      <c r="M79" s="48" t="s">
        <v>294</v>
      </c>
      <c r="N79" s="48" t="s">
        <v>488</v>
      </c>
      <c r="O79" s="48">
        <v>7</v>
      </c>
      <c r="P79" s="58"/>
      <c r="Q79" s="58"/>
      <c r="R79" s="242">
        <v>3</v>
      </c>
      <c r="S79" s="59">
        <v>7</v>
      </c>
      <c r="T79" s="58">
        <v>0</v>
      </c>
      <c r="U79" s="58">
        <v>1</v>
      </c>
      <c r="V79" s="58">
        <f t="shared" si="1"/>
        <v>0</v>
      </c>
      <c r="W79" s="60"/>
      <c r="X79" s="70">
        <v>0</v>
      </c>
      <c r="Y79" s="58">
        <v>0</v>
      </c>
      <c r="Z79" s="60"/>
      <c r="AA79" s="60"/>
      <c r="AB79" s="60"/>
      <c r="AC79" s="56">
        <f t="shared" si="3"/>
        <v>0</v>
      </c>
      <c r="AD79" s="56">
        <f t="shared" si="4"/>
        <v>0</v>
      </c>
      <c r="AE79" s="56">
        <f t="shared" si="5"/>
        <v>0</v>
      </c>
      <c r="AF79" s="56">
        <f t="shared" si="6"/>
        <v>0</v>
      </c>
    </row>
    <row r="80" spans="1:38" s="53" customFormat="1" ht="205.5" customHeight="1">
      <c r="A80" s="85"/>
      <c r="B80" s="86"/>
      <c r="C80" s="85"/>
      <c r="D80" s="85"/>
      <c r="E80" s="85"/>
      <c r="F80" s="87"/>
      <c r="G80" s="88"/>
      <c r="H80" s="85"/>
      <c r="I80" s="85"/>
      <c r="J80" s="85"/>
      <c r="K80" s="87"/>
      <c r="L80" s="89"/>
      <c r="M80" s="85"/>
      <c r="N80" s="261" t="s">
        <v>1268</v>
      </c>
      <c r="O80" s="262"/>
      <c r="P80" s="262"/>
      <c r="Q80" s="262"/>
      <c r="R80" s="262"/>
      <c r="S80" s="262"/>
      <c r="T80" s="262"/>
      <c r="U80" s="262"/>
      <c r="V80" s="262"/>
      <c r="W80" s="262"/>
      <c r="X80" s="262"/>
      <c r="Y80" s="262"/>
      <c r="Z80" s="262"/>
      <c r="AA80" s="262"/>
      <c r="AB80" s="263"/>
      <c r="AC80" s="90">
        <f>SUM(AC73:AC79)</f>
        <v>0.2119242424242424</v>
      </c>
      <c r="AD80" s="90">
        <f>SUM(AD73:AD79)</f>
        <v>0.57895833333333335</v>
      </c>
      <c r="AE80" s="90">
        <f>AVERAGE(AE73:AE79)</f>
        <v>0.19822510822510822</v>
      </c>
      <c r="AF80" s="90">
        <f>AVERAGE(AF73:AF79)</f>
        <v>0.55476190476190479</v>
      </c>
    </row>
    <row r="81" spans="1:39" s="53" customFormat="1" ht="409.5">
      <c r="A81" s="48" t="s">
        <v>423</v>
      </c>
      <c r="B81" s="62" t="s">
        <v>424</v>
      </c>
      <c r="C81" s="48" t="s">
        <v>425</v>
      </c>
      <c r="D81" s="48" t="s">
        <v>426</v>
      </c>
      <c r="E81" s="48" t="s">
        <v>463</v>
      </c>
      <c r="F81" s="259" t="s">
        <v>489</v>
      </c>
      <c r="G81" s="50" t="s">
        <v>490</v>
      </c>
      <c r="H81" s="48" t="s">
        <v>491</v>
      </c>
      <c r="I81" s="48" t="s">
        <v>265</v>
      </c>
      <c r="J81" s="48" t="s">
        <v>492</v>
      </c>
      <c r="K81" s="49" t="s">
        <v>493</v>
      </c>
      <c r="L81" s="51">
        <v>0.6</v>
      </c>
      <c r="M81" s="48" t="s">
        <v>294</v>
      </c>
      <c r="N81" s="48" t="s">
        <v>454</v>
      </c>
      <c r="O81" s="48">
        <v>9</v>
      </c>
      <c r="P81" s="58"/>
      <c r="Q81" s="58"/>
      <c r="R81" s="241">
        <v>2</v>
      </c>
      <c r="S81" s="59">
        <v>3</v>
      </c>
      <c r="T81" s="58">
        <v>2</v>
      </c>
      <c r="U81" s="58">
        <v>2</v>
      </c>
      <c r="V81" s="58">
        <f t="shared" si="1"/>
        <v>1</v>
      </c>
      <c r="W81" s="60"/>
      <c r="X81" s="70">
        <f t="shared" si="2"/>
        <v>5</v>
      </c>
      <c r="Y81" s="58">
        <v>1</v>
      </c>
      <c r="Z81" s="60"/>
      <c r="AA81" s="60"/>
      <c r="AB81" s="60"/>
      <c r="AC81" s="56">
        <f t="shared" si="3"/>
        <v>0.3</v>
      </c>
      <c r="AD81" s="56">
        <f t="shared" si="4"/>
        <v>0.33333333333333331</v>
      </c>
      <c r="AE81" s="56">
        <f t="shared" si="5"/>
        <v>0.5</v>
      </c>
      <c r="AF81" s="56">
        <f t="shared" si="6"/>
        <v>0.55555555555555558</v>
      </c>
    </row>
    <row r="82" spans="1:39" s="53" customFormat="1" ht="409.5">
      <c r="A82" s="48" t="s">
        <v>423</v>
      </c>
      <c r="B82" s="62" t="s">
        <v>424</v>
      </c>
      <c r="C82" s="48" t="s">
        <v>425</v>
      </c>
      <c r="D82" s="48" t="s">
        <v>426</v>
      </c>
      <c r="E82" s="48" t="s">
        <v>463</v>
      </c>
      <c r="F82" s="259"/>
      <c r="G82" s="50" t="s">
        <v>490</v>
      </c>
      <c r="H82" s="48" t="s">
        <v>494</v>
      </c>
      <c r="I82" s="48" t="s">
        <v>265</v>
      </c>
      <c r="J82" s="48" t="s">
        <v>492</v>
      </c>
      <c r="K82" s="49" t="s">
        <v>495</v>
      </c>
      <c r="L82" s="51">
        <v>0.4</v>
      </c>
      <c r="M82" s="48" t="s">
        <v>294</v>
      </c>
      <c r="N82" s="48" t="s">
        <v>454</v>
      </c>
      <c r="O82" s="59">
        <v>3</v>
      </c>
      <c r="P82" s="58"/>
      <c r="Q82" s="58"/>
      <c r="R82" s="241">
        <v>3</v>
      </c>
      <c r="S82" s="59">
        <v>3</v>
      </c>
      <c r="T82" s="58">
        <v>2</v>
      </c>
      <c r="U82" s="58">
        <v>7</v>
      </c>
      <c r="V82" s="58">
        <f t="shared" si="1"/>
        <v>1</v>
      </c>
      <c r="W82" s="60"/>
      <c r="X82" s="70">
        <f t="shared" si="2"/>
        <v>10</v>
      </c>
      <c r="Y82" s="58">
        <v>1</v>
      </c>
      <c r="Z82" s="60"/>
      <c r="AA82" s="60"/>
      <c r="AB82" s="60"/>
      <c r="AC82" s="56">
        <f t="shared" si="3"/>
        <v>0.13333333333333333</v>
      </c>
      <c r="AD82" s="56">
        <f t="shared" si="4"/>
        <v>0.4</v>
      </c>
      <c r="AE82" s="56">
        <f t="shared" si="5"/>
        <v>0.33333333333333331</v>
      </c>
      <c r="AF82" s="56">
        <f t="shared" si="6"/>
        <v>1</v>
      </c>
    </row>
    <row r="83" spans="1:39" s="53" customFormat="1" ht="153" customHeight="1">
      <c r="A83" s="85"/>
      <c r="B83" s="86"/>
      <c r="C83" s="85"/>
      <c r="D83" s="85"/>
      <c r="E83" s="85"/>
      <c r="F83" s="87"/>
      <c r="G83" s="88"/>
      <c r="H83" s="85"/>
      <c r="I83" s="85"/>
      <c r="J83" s="85"/>
      <c r="K83" s="87"/>
      <c r="L83" s="89"/>
      <c r="M83" s="85"/>
      <c r="N83" s="261" t="s">
        <v>1269</v>
      </c>
      <c r="O83" s="262"/>
      <c r="P83" s="262"/>
      <c r="Q83" s="262"/>
      <c r="R83" s="262"/>
      <c r="S83" s="262"/>
      <c r="T83" s="262"/>
      <c r="U83" s="262"/>
      <c r="V83" s="262"/>
      <c r="W83" s="262"/>
      <c r="X83" s="262"/>
      <c r="Y83" s="262"/>
      <c r="Z83" s="262"/>
      <c r="AA83" s="262"/>
      <c r="AB83" s="263"/>
      <c r="AC83" s="90">
        <f>SUM(AC81:AC82)</f>
        <v>0.43333333333333335</v>
      </c>
      <c r="AD83" s="90">
        <f>SUM(AD81:AD82)</f>
        <v>0.73333333333333339</v>
      </c>
      <c r="AE83" s="90">
        <f>AVERAGE(AE81:AE82)</f>
        <v>0.41666666666666663</v>
      </c>
      <c r="AF83" s="90">
        <f>AVERAGE(AF81:AF82)</f>
        <v>0.77777777777777779</v>
      </c>
    </row>
    <row r="84" spans="1:39" s="53" customFormat="1" ht="409.5">
      <c r="A84" s="48" t="s">
        <v>423</v>
      </c>
      <c r="B84" s="62" t="s">
        <v>424</v>
      </c>
      <c r="C84" s="48" t="s">
        <v>425</v>
      </c>
      <c r="D84" s="48" t="s">
        <v>426</v>
      </c>
      <c r="E84" s="48" t="s">
        <v>463</v>
      </c>
      <c r="F84" s="260" t="s">
        <v>496</v>
      </c>
      <c r="G84" s="50" t="s">
        <v>497</v>
      </c>
      <c r="H84" s="48" t="s">
        <v>498</v>
      </c>
      <c r="I84" s="48" t="s">
        <v>265</v>
      </c>
      <c r="J84" s="48" t="s">
        <v>404</v>
      </c>
      <c r="K84" s="49" t="s">
        <v>499</v>
      </c>
      <c r="L84" s="51">
        <v>0.15</v>
      </c>
      <c r="M84" s="48" t="s">
        <v>294</v>
      </c>
      <c r="N84" s="48" t="s">
        <v>406</v>
      </c>
      <c r="O84" s="48">
        <v>1</v>
      </c>
      <c r="P84" s="58"/>
      <c r="Q84" s="58"/>
      <c r="R84" s="241">
        <v>0.5</v>
      </c>
      <c r="S84" s="59" t="s">
        <v>270</v>
      </c>
      <c r="T84" s="58">
        <v>0</v>
      </c>
      <c r="U84" s="58">
        <v>0.5</v>
      </c>
      <c r="V84" s="58">
        <f t="shared" si="1"/>
        <v>0.05</v>
      </c>
      <c r="W84" s="60"/>
      <c r="X84" s="61">
        <f t="shared" si="2"/>
        <v>0.55000000000000004</v>
      </c>
      <c r="Y84" s="58">
        <v>0.05</v>
      </c>
      <c r="Z84" s="60"/>
      <c r="AA84" s="60"/>
      <c r="AB84" s="60"/>
      <c r="AC84" s="56">
        <f t="shared" si="3"/>
        <v>1.4999999999999999E-2</v>
      </c>
      <c r="AD84" s="56">
        <f t="shared" si="4"/>
        <v>8.2500000000000004E-2</v>
      </c>
      <c r="AE84" s="56">
        <f t="shared" si="5"/>
        <v>0.1</v>
      </c>
      <c r="AF84" s="56">
        <f t="shared" si="6"/>
        <v>0.55000000000000004</v>
      </c>
    </row>
    <row r="85" spans="1:39" s="53" customFormat="1" ht="409.5">
      <c r="A85" s="48" t="s">
        <v>423</v>
      </c>
      <c r="B85" s="62" t="s">
        <v>424</v>
      </c>
      <c r="C85" s="48" t="s">
        <v>425</v>
      </c>
      <c r="D85" s="48" t="s">
        <v>426</v>
      </c>
      <c r="E85" s="48" t="s">
        <v>463</v>
      </c>
      <c r="F85" s="260"/>
      <c r="G85" s="50" t="s">
        <v>497</v>
      </c>
      <c r="H85" s="48" t="s">
        <v>500</v>
      </c>
      <c r="I85" s="48" t="s">
        <v>265</v>
      </c>
      <c r="J85" s="48" t="s">
        <v>404</v>
      </c>
      <c r="K85" s="49" t="s">
        <v>501</v>
      </c>
      <c r="L85" s="54">
        <v>0.05</v>
      </c>
      <c r="M85" s="48" t="s">
        <v>294</v>
      </c>
      <c r="N85" s="48" t="s">
        <v>502</v>
      </c>
      <c r="O85" s="48">
        <v>1</v>
      </c>
      <c r="P85" s="57"/>
      <c r="Q85" s="58"/>
      <c r="R85" s="241">
        <v>1</v>
      </c>
      <c r="S85" s="59" t="s">
        <v>270</v>
      </c>
      <c r="T85" s="57">
        <v>0</v>
      </c>
      <c r="U85" s="58">
        <v>0</v>
      </c>
      <c r="V85" s="58">
        <f t="shared" si="1"/>
        <v>0</v>
      </c>
      <c r="W85" s="60"/>
      <c r="X85" s="70">
        <f t="shared" si="2"/>
        <v>0</v>
      </c>
      <c r="Y85" s="58" t="s">
        <v>308</v>
      </c>
      <c r="Z85" s="60"/>
      <c r="AA85" s="60"/>
      <c r="AB85" s="60"/>
      <c r="AC85" s="56" t="s">
        <v>308</v>
      </c>
      <c r="AD85" s="56">
        <f t="shared" si="4"/>
        <v>0</v>
      </c>
      <c r="AE85" s="56" t="s">
        <v>308</v>
      </c>
      <c r="AF85" s="56">
        <f t="shared" si="6"/>
        <v>0</v>
      </c>
    </row>
    <row r="86" spans="1:39" s="53" customFormat="1" ht="409.5">
      <c r="A86" s="48" t="s">
        <v>423</v>
      </c>
      <c r="B86" s="62" t="s">
        <v>424</v>
      </c>
      <c r="C86" s="48" t="s">
        <v>425</v>
      </c>
      <c r="D86" s="48" t="s">
        <v>426</v>
      </c>
      <c r="E86" s="48" t="s">
        <v>463</v>
      </c>
      <c r="F86" s="260"/>
      <c r="G86" s="50" t="s">
        <v>497</v>
      </c>
      <c r="H86" s="48" t="s">
        <v>503</v>
      </c>
      <c r="I86" s="48" t="s">
        <v>265</v>
      </c>
      <c r="J86" s="48" t="s">
        <v>299</v>
      </c>
      <c r="K86" s="49" t="s">
        <v>504</v>
      </c>
      <c r="L86" s="51">
        <v>0.4</v>
      </c>
      <c r="M86" s="48" t="s">
        <v>294</v>
      </c>
      <c r="N86" s="48" t="s">
        <v>472</v>
      </c>
      <c r="O86" s="48">
        <v>48</v>
      </c>
      <c r="P86" s="58"/>
      <c r="Q86" s="58"/>
      <c r="R86" s="241">
        <v>12</v>
      </c>
      <c r="S86" s="59">
        <v>12</v>
      </c>
      <c r="T86" s="58">
        <v>11</v>
      </c>
      <c r="U86" s="58">
        <v>12</v>
      </c>
      <c r="V86" s="58">
        <f t="shared" si="1"/>
        <v>0</v>
      </c>
      <c r="W86" s="60"/>
      <c r="X86" s="70">
        <f t="shared" si="2"/>
        <v>23</v>
      </c>
      <c r="Y86" s="58">
        <v>0</v>
      </c>
      <c r="Z86" s="60"/>
      <c r="AA86" s="60"/>
      <c r="AB86" s="60"/>
      <c r="AC86" s="56">
        <f t="shared" si="3"/>
        <v>0</v>
      </c>
      <c r="AD86" s="56">
        <f t="shared" si="4"/>
        <v>0.19166666666666668</v>
      </c>
      <c r="AE86" s="56">
        <f t="shared" si="5"/>
        <v>0</v>
      </c>
      <c r="AF86" s="56">
        <f t="shared" si="6"/>
        <v>0.47916666666666669</v>
      </c>
    </row>
    <row r="87" spans="1:39" s="53" customFormat="1" ht="409.5">
      <c r="A87" s="48" t="s">
        <v>423</v>
      </c>
      <c r="B87" s="62" t="s">
        <v>424</v>
      </c>
      <c r="C87" s="48" t="s">
        <v>425</v>
      </c>
      <c r="D87" s="48" t="s">
        <v>426</v>
      </c>
      <c r="E87" s="48" t="s">
        <v>463</v>
      </c>
      <c r="F87" s="260"/>
      <c r="G87" s="50" t="s">
        <v>497</v>
      </c>
      <c r="H87" s="48" t="s">
        <v>505</v>
      </c>
      <c r="I87" s="48" t="s">
        <v>265</v>
      </c>
      <c r="J87" s="48" t="s">
        <v>506</v>
      </c>
      <c r="K87" s="49" t="s">
        <v>507</v>
      </c>
      <c r="L87" s="51">
        <v>0.4</v>
      </c>
      <c r="M87" s="48" t="s">
        <v>294</v>
      </c>
      <c r="N87" s="48" t="s">
        <v>472</v>
      </c>
      <c r="O87" s="48">
        <v>12</v>
      </c>
      <c r="P87" s="58"/>
      <c r="Q87" s="58"/>
      <c r="R87" s="241">
        <v>3</v>
      </c>
      <c r="S87" s="59">
        <v>3</v>
      </c>
      <c r="T87" s="58">
        <v>1</v>
      </c>
      <c r="U87" s="58">
        <v>3</v>
      </c>
      <c r="V87" s="58">
        <f t="shared" si="1"/>
        <v>1</v>
      </c>
      <c r="W87" s="60"/>
      <c r="X87" s="70">
        <f t="shared" si="2"/>
        <v>5</v>
      </c>
      <c r="Y87" s="58">
        <v>1</v>
      </c>
      <c r="Z87" s="60"/>
      <c r="AA87" s="60"/>
      <c r="AB87" s="60"/>
      <c r="AC87" s="56">
        <f t="shared" si="3"/>
        <v>0.13333333333333333</v>
      </c>
      <c r="AD87" s="56">
        <f t="shared" si="4"/>
        <v>0.16666666666666669</v>
      </c>
      <c r="AE87" s="56">
        <f t="shared" si="5"/>
        <v>0.33333333333333331</v>
      </c>
      <c r="AF87" s="56">
        <f t="shared" si="6"/>
        <v>0.41666666666666669</v>
      </c>
    </row>
    <row r="88" spans="1:39" s="53" customFormat="1" ht="195.75" customHeight="1">
      <c r="A88" s="85"/>
      <c r="B88" s="86"/>
      <c r="C88" s="85"/>
      <c r="D88" s="85"/>
      <c r="E88" s="85"/>
      <c r="F88" s="87"/>
      <c r="G88" s="88"/>
      <c r="H88" s="85"/>
      <c r="I88" s="85"/>
      <c r="J88" s="85"/>
      <c r="K88" s="87"/>
      <c r="L88" s="89"/>
      <c r="M88" s="85"/>
      <c r="N88" s="261" t="s">
        <v>1270</v>
      </c>
      <c r="O88" s="262"/>
      <c r="P88" s="262"/>
      <c r="Q88" s="262"/>
      <c r="R88" s="262"/>
      <c r="S88" s="262"/>
      <c r="T88" s="262"/>
      <c r="U88" s="262"/>
      <c r="V88" s="262"/>
      <c r="W88" s="262"/>
      <c r="X88" s="262"/>
      <c r="Y88" s="262"/>
      <c r="Z88" s="262"/>
      <c r="AA88" s="262"/>
      <c r="AB88" s="263"/>
      <c r="AC88" s="90">
        <f>SUM(AC84:AC87)</f>
        <v>0.14833333333333332</v>
      </c>
      <c r="AD88" s="90">
        <f>SUM(AD84:AD87)</f>
        <v>0.44083333333333335</v>
      </c>
      <c r="AE88" s="90">
        <f>AVERAGE(AE84:AE87)</f>
        <v>0.14444444444444446</v>
      </c>
      <c r="AF88" s="90">
        <f>AVERAGE(AF84:AF87)</f>
        <v>0.36145833333333338</v>
      </c>
    </row>
    <row r="89" spans="1:39" s="53" customFormat="1" ht="409.5">
      <c r="A89" s="48" t="s">
        <v>423</v>
      </c>
      <c r="B89" s="62" t="s">
        <v>424</v>
      </c>
      <c r="C89" s="48" t="s">
        <v>425</v>
      </c>
      <c r="D89" s="48" t="s">
        <v>426</v>
      </c>
      <c r="E89" s="48" t="s">
        <v>427</v>
      </c>
      <c r="F89" s="259" t="s">
        <v>508</v>
      </c>
      <c r="G89" s="50" t="s">
        <v>509</v>
      </c>
      <c r="H89" s="48" t="s">
        <v>510</v>
      </c>
      <c r="I89" s="48" t="s">
        <v>265</v>
      </c>
      <c r="J89" s="48">
        <v>0</v>
      </c>
      <c r="K89" s="49" t="s">
        <v>511</v>
      </c>
      <c r="L89" s="51">
        <v>0.5</v>
      </c>
      <c r="M89" s="48" t="s">
        <v>294</v>
      </c>
      <c r="N89" s="48" t="s">
        <v>512</v>
      </c>
      <c r="O89" s="48">
        <v>1</v>
      </c>
      <c r="P89" s="58"/>
      <c r="Q89" s="58"/>
      <c r="R89" s="241">
        <v>0.41</v>
      </c>
      <c r="S89" s="59">
        <v>0.38</v>
      </c>
      <c r="T89" s="58">
        <v>0</v>
      </c>
      <c r="U89" s="58">
        <v>0.25</v>
      </c>
      <c r="V89" s="58">
        <f t="shared" si="1"/>
        <v>0.2157</v>
      </c>
      <c r="W89" s="60"/>
      <c r="X89" s="61">
        <f t="shared" si="2"/>
        <v>0.4657</v>
      </c>
      <c r="Y89" s="58">
        <v>0.2157</v>
      </c>
      <c r="Z89" s="60"/>
      <c r="AA89" s="60"/>
      <c r="AB89" s="60"/>
      <c r="AC89" s="56">
        <f>+AE89*L89</f>
        <v>4.4218500000000001E-2</v>
      </c>
      <c r="AD89" s="56">
        <f>+((U89+(V89*R89))/O89)*L89</f>
        <v>0.16921849999999999</v>
      </c>
      <c r="AE89" s="56">
        <f>+Y89*R89</f>
        <v>8.8437000000000002E-2</v>
      </c>
      <c r="AF89" s="56">
        <f>+((U89+(V89*R89))/O89)</f>
        <v>0.33843699999999999</v>
      </c>
      <c r="AI89" s="227"/>
    </row>
    <row r="90" spans="1:39" s="53" customFormat="1" ht="409.5">
      <c r="A90" s="48" t="s">
        <v>423</v>
      </c>
      <c r="B90" s="62" t="s">
        <v>424</v>
      </c>
      <c r="C90" s="48" t="s">
        <v>425</v>
      </c>
      <c r="D90" s="48" t="s">
        <v>426</v>
      </c>
      <c r="E90" s="48" t="s">
        <v>427</v>
      </c>
      <c r="F90" s="259"/>
      <c r="G90" s="50" t="s">
        <v>509</v>
      </c>
      <c r="H90" s="48" t="s">
        <v>513</v>
      </c>
      <c r="I90" s="48" t="s">
        <v>265</v>
      </c>
      <c r="J90" s="48" t="s">
        <v>335</v>
      </c>
      <c r="K90" s="49" t="s">
        <v>514</v>
      </c>
      <c r="L90" s="51">
        <v>0.5</v>
      </c>
      <c r="M90" s="48" t="s">
        <v>294</v>
      </c>
      <c r="N90" s="48" t="s">
        <v>515</v>
      </c>
      <c r="O90" s="48">
        <v>1</v>
      </c>
      <c r="P90" s="58"/>
      <c r="Q90" s="58"/>
      <c r="R90" s="241">
        <v>0.41</v>
      </c>
      <c r="S90" s="59">
        <v>0.38</v>
      </c>
      <c r="T90" s="58">
        <v>0</v>
      </c>
      <c r="U90" s="58">
        <v>0.25</v>
      </c>
      <c r="V90" s="58">
        <f t="shared" ref="V90:V93" si="10">SUM(Y90:AB90)</f>
        <v>0.66669999999999996</v>
      </c>
      <c r="W90" s="60"/>
      <c r="X90" s="61">
        <f t="shared" ref="X90:X93" si="11">+T90+U90+V90</f>
        <v>0.91669999999999996</v>
      </c>
      <c r="Y90" s="58">
        <v>0.66669999999999996</v>
      </c>
      <c r="Z90" s="60"/>
      <c r="AA90" s="60"/>
      <c r="AB90" s="60"/>
      <c r="AC90" s="56">
        <f>+AE90*L90</f>
        <v>0.13667349999999998</v>
      </c>
      <c r="AD90" s="56">
        <f>+((U90+(V90*R90))/O90)*L90</f>
        <v>0.2616735</v>
      </c>
      <c r="AE90" s="56">
        <f>+(Y90*R90)</f>
        <v>0.27334699999999995</v>
      </c>
      <c r="AF90" s="56">
        <f>+((U90+(V90*R90))/O90)</f>
        <v>0.52334700000000001</v>
      </c>
      <c r="AI90" s="228"/>
    </row>
    <row r="91" spans="1:39" s="53" customFormat="1" ht="173.25" customHeight="1">
      <c r="A91" s="85"/>
      <c r="B91" s="86"/>
      <c r="C91" s="85"/>
      <c r="D91" s="85"/>
      <c r="E91" s="85"/>
      <c r="F91" s="87"/>
      <c r="G91" s="88"/>
      <c r="H91" s="85"/>
      <c r="I91" s="85"/>
      <c r="J91" s="85"/>
      <c r="K91" s="87"/>
      <c r="L91" s="89"/>
      <c r="M91" s="85"/>
      <c r="N91" s="261" t="s">
        <v>1271</v>
      </c>
      <c r="O91" s="262"/>
      <c r="P91" s="262"/>
      <c r="Q91" s="262"/>
      <c r="R91" s="262"/>
      <c r="S91" s="262"/>
      <c r="T91" s="262"/>
      <c r="U91" s="262"/>
      <c r="V91" s="262"/>
      <c r="W91" s="262"/>
      <c r="X91" s="262"/>
      <c r="Y91" s="262"/>
      <c r="Z91" s="262"/>
      <c r="AA91" s="262"/>
      <c r="AB91" s="263"/>
      <c r="AC91" s="90">
        <f>SUM(AC89:AC90)</f>
        <v>0.18089199999999997</v>
      </c>
      <c r="AD91" s="90">
        <f>SUM(AD89:AD90)</f>
        <v>0.430892</v>
      </c>
      <c r="AE91" s="90">
        <f>AVERAGE(AE89:AE90)</f>
        <v>0.18089199999999997</v>
      </c>
      <c r="AF91" s="90">
        <f>AVERAGE(AF89:AF90)</f>
        <v>0.430892</v>
      </c>
      <c r="AM91" s="229"/>
    </row>
    <row r="92" spans="1:39" s="53" customFormat="1" ht="409.5">
      <c r="A92" s="48" t="s">
        <v>516</v>
      </c>
      <c r="B92" s="62" t="s">
        <v>517</v>
      </c>
      <c r="C92" s="48" t="s">
        <v>518</v>
      </c>
      <c r="D92" s="48" t="s">
        <v>519</v>
      </c>
      <c r="E92" s="48" t="s">
        <v>520</v>
      </c>
      <c r="F92" s="259" t="s">
        <v>521</v>
      </c>
      <c r="G92" s="50" t="s">
        <v>522</v>
      </c>
      <c r="H92" s="48" t="s">
        <v>523</v>
      </c>
      <c r="I92" s="48" t="s">
        <v>265</v>
      </c>
      <c r="J92" s="48">
        <v>0</v>
      </c>
      <c r="K92" s="49" t="s">
        <v>524</v>
      </c>
      <c r="L92" s="51">
        <v>0.5</v>
      </c>
      <c r="M92" s="48" t="s">
        <v>294</v>
      </c>
      <c r="N92" s="48" t="s">
        <v>482</v>
      </c>
      <c r="O92" s="48">
        <v>5</v>
      </c>
      <c r="P92" s="48"/>
      <c r="Q92" s="58"/>
      <c r="R92" s="241">
        <v>1</v>
      </c>
      <c r="S92" s="59">
        <v>1</v>
      </c>
      <c r="T92" s="48">
        <v>2</v>
      </c>
      <c r="U92" s="58">
        <v>1</v>
      </c>
      <c r="V92" s="58">
        <f t="shared" si="10"/>
        <v>0</v>
      </c>
      <c r="W92" s="60"/>
      <c r="X92" s="61">
        <f t="shared" si="11"/>
        <v>3</v>
      </c>
      <c r="Y92" s="58">
        <v>0</v>
      </c>
      <c r="Z92" s="60"/>
      <c r="AA92" s="60"/>
      <c r="AB92" s="60"/>
      <c r="AC92" s="56">
        <f t="shared" ref="AC92:AC93" si="12">+IF((V92/R92)&gt;100%,100%,(V92/R92))*L92</f>
        <v>0</v>
      </c>
      <c r="AD92" s="56">
        <f t="shared" ref="AD92:AD93" si="13">+IF(((X92)/O92)&gt;100%,100%,((X92)/O92))*L92</f>
        <v>0.3</v>
      </c>
      <c r="AE92" s="56">
        <f t="shared" ref="AE92:AE93" si="14">+IF(((V92)/R92)&gt;100%,100%,((V92)/R92))</f>
        <v>0</v>
      </c>
      <c r="AF92" s="56">
        <f t="shared" ref="AF92:AF93" si="15">+IF(((X92)/O92)&gt;100%,100%,((X92))/O92)</f>
        <v>0.6</v>
      </c>
    </row>
    <row r="93" spans="1:39" s="53" customFormat="1" ht="409.5">
      <c r="A93" s="48" t="s">
        <v>516</v>
      </c>
      <c r="B93" s="62" t="s">
        <v>517</v>
      </c>
      <c r="C93" s="48" t="s">
        <v>518</v>
      </c>
      <c r="D93" s="48" t="s">
        <v>519</v>
      </c>
      <c r="E93" s="48" t="s">
        <v>520</v>
      </c>
      <c r="F93" s="259"/>
      <c r="G93" s="50" t="s">
        <v>522</v>
      </c>
      <c r="H93" s="48" t="s">
        <v>525</v>
      </c>
      <c r="I93" s="48" t="s">
        <v>265</v>
      </c>
      <c r="J93" s="48">
        <v>0</v>
      </c>
      <c r="K93" s="49" t="s">
        <v>526</v>
      </c>
      <c r="L93" s="51">
        <v>0.5</v>
      </c>
      <c r="M93" s="48" t="s">
        <v>268</v>
      </c>
      <c r="N93" s="48" t="s">
        <v>485</v>
      </c>
      <c r="O93" s="48">
        <v>4</v>
      </c>
      <c r="P93" s="48"/>
      <c r="Q93" s="58"/>
      <c r="R93" s="241">
        <v>1</v>
      </c>
      <c r="S93" s="59">
        <v>1</v>
      </c>
      <c r="T93" s="48">
        <v>0</v>
      </c>
      <c r="U93" s="58">
        <v>2</v>
      </c>
      <c r="V93" s="58">
        <f t="shared" si="10"/>
        <v>0</v>
      </c>
      <c r="W93" s="60"/>
      <c r="X93" s="61">
        <f t="shared" si="11"/>
        <v>2</v>
      </c>
      <c r="Y93" s="58">
        <v>0</v>
      </c>
      <c r="Z93" s="60"/>
      <c r="AA93" s="60"/>
      <c r="AB93" s="60"/>
      <c r="AC93" s="56">
        <f t="shared" si="12"/>
        <v>0</v>
      </c>
      <c r="AD93" s="56">
        <f t="shared" si="13"/>
        <v>0.25</v>
      </c>
      <c r="AE93" s="56">
        <f t="shared" si="14"/>
        <v>0</v>
      </c>
      <c r="AF93" s="56">
        <f t="shared" si="15"/>
        <v>0.5</v>
      </c>
    </row>
    <row r="94" spans="1:39" s="63" customFormat="1" ht="94.5" customHeight="1">
      <c r="A94" s="85"/>
      <c r="B94" s="86"/>
      <c r="C94" s="85"/>
      <c r="D94" s="85"/>
      <c r="E94" s="85"/>
      <c r="F94" s="87"/>
      <c r="G94" s="88"/>
      <c r="H94" s="85"/>
      <c r="I94" s="85"/>
      <c r="J94" s="85"/>
      <c r="K94" s="87"/>
      <c r="L94" s="89"/>
      <c r="M94" s="85"/>
      <c r="N94" s="261" t="s">
        <v>1272</v>
      </c>
      <c r="O94" s="262"/>
      <c r="P94" s="262"/>
      <c r="Q94" s="262"/>
      <c r="R94" s="262"/>
      <c r="S94" s="262"/>
      <c r="T94" s="262"/>
      <c r="U94" s="262"/>
      <c r="V94" s="262"/>
      <c r="W94" s="262"/>
      <c r="X94" s="262"/>
      <c r="Y94" s="262"/>
      <c r="Z94" s="262"/>
      <c r="AA94" s="262"/>
      <c r="AB94" s="263"/>
      <c r="AC94" s="90">
        <f>SUM(AC92:AC93)</f>
        <v>0</v>
      </c>
      <c r="AD94" s="90">
        <f>SUM(AD92:AD93)</f>
        <v>0.55000000000000004</v>
      </c>
      <c r="AE94" s="90">
        <f>AVERAGE(AE92:AE93)</f>
        <v>0</v>
      </c>
      <c r="AF94" s="90">
        <f>AVERAGE(AF92:AF93)</f>
        <v>0.55000000000000004</v>
      </c>
    </row>
    <row r="96" spans="1:39" ht="179.25" customHeight="1">
      <c r="N96" s="264" t="s">
        <v>1273</v>
      </c>
      <c r="O96" s="265"/>
      <c r="P96" s="265"/>
      <c r="Q96" s="265"/>
      <c r="R96" s="265"/>
      <c r="S96" s="265"/>
      <c r="T96" s="265"/>
      <c r="U96" s="265"/>
      <c r="V96" s="265"/>
      <c r="W96" s="265"/>
      <c r="X96" s="265"/>
      <c r="Y96" s="265"/>
      <c r="Z96" s="265"/>
      <c r="AA96" s="265"/>
      <c r="AB96" s="266"/>
      <c r="AC96" s="52">
        <f>AVERAGE(AC10,AC13,AC30,AC34,AC38,AC40,AC42,AC44,AC50,AC56,AC59,AC65,AC72,AC80,AC83,AC88,AC91,AC94)</f>
        <v>0.13738819440941985</v>
      </c>
      <c r="AD96" s="52">
        <f t="shared" ref="AD96:AF96" si="16">AVERAGE(AD10,AD13,AD30,AD34,AD38,AD40,AD42,AD44,AD50,AD56,AD59,AD65,AD72,AD80,AD83,AD88,AD91,AD94)</f>
        <v>0.39876845724867727</v>
      </c>
      <c r="AE96" s="52">
        <f t="shared" si="16"/>
        <v>0.15505972136764462</v>
      </c>
      <c r="AF96" s="52">
        <f t="shared" si="16"/>
        <v>0.40017001410934738</v>
      </c>
    </row>
  </sheetData>
  <mergeCells count="46">
    <mergeCell ref="N94:AB94"/>
    <mergeCell ref="N96:AB96"/>
    <mergeCell ref="N72:AB72"/>
    <mergeCell ref="N80:AB80"/>
    <mergeCell ref="N83:AB83"/>
    <mergeCell ref="N88:AB88"/>
    <mergeCell ref="N91:AB91"/>
    <mergeCell ref="F81:F82"/>
    <mergeCell ref="F84:F87"/>
    <mergeCell ref="F89:F90"/>
    <mergeCell ref="F92:F93"/>
    <mergeCell ref="N10:AB10"/>
    <mergeCell ref="N13:AB13"/>
    <mergeCell ref="N30:AB30"/>
    <mergeCell ref="N34:AB34"/>
    <mergeCell ref="N38:AB38"/>
    <mergeCell ref="N40:AB40"/>
    <mergeCell ref="N42:AB42"/>
    <mergeCell ref="N44:AB44"/>
    <mergeCell ref="N50:AB50"/>
    <mergeCell ref="N56:AB56"/>
    <mergeCell ref="N59:AB59"/>
    <mergeCell ref="N65:AB65"/>
    <mergeCell ref="F51:F55"/>
    <mergeCell ref="F57:F58"/>
    <mergeCell ref="F60:F64"/>
    <mergeCell ref="F66:F71"/>
    <mergeCell ref="F73:F79"/>
    <mergeCell ref="F11:F12"/>
    <mergeCell ref="F14:F29"/>
    <mergeCell ref="F31:F33"/>
    <mergeCell ref="F35:F37"/>
    <mergeCell ref="F45:F49"/>
    <mergeCell ref="A5:B5"/>
    <mergeCell ref="A6:AF6"/>
    <mergeCell ref="C5:AE5"/>
    <mergeCell ref="A7:O7"/>
    <mergeCell ref="P7:S7"/>
    <mergeCell ref="T7:X7"/>
    <mergeCell ref="Y7:AB7"/>
    <mergeCell ref="AC7:AF7"/>
    <mergeCell ref="A1:B4"/>
    <mergeCell ref="C1:AE1"/>
    <mergeCell ref="C2:AE2"/>
    <mergeCell ref="C3:AE3"/>
    <mergeCell ref="C4:AE4"/>
  </mergeCells>
  <dataValidations disablePrompts="1" count="2">
    <dataValidation type="list" allowBlank="1" showInputMessage="1" showErrorMessage="1" sqref="M95:M290" xr:uid="{00000000-0002-0000-0100-000000000000}">
      <formula1>#REF!</formula1>
    </dataValidation>
    <dataValidation type="list" allowBlank="1" showErrorMessage="1" sqref="M11:M94" xr:uid="{00000000-0002-0000-0100-000001000000}">
      <formula1>#REF!</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1"/>
  <sheetViews>
    <sheetView topLeftCell="G1" zoomScale="62" zoomScaleNormal="40" workbookViewId="0">
      <selection activeCell="M6" sqref="M6:N7"/>
    </sheetView>
  </sheetViews>
  <sheetFormatPr baseColWidth="10" defaultColWidth="12.5703125" defaultRowHeight="15" customHeight="1"/>
  <cols>
    <col min="1" max="1" width="20.85546875" style="34" customWidth="1"/>
    <col min="2" max="2" width="30.7109375" style="34" customWidth="1"/>
    <col min="3" max="3" width="33.7109375" style="34" customWidth="1"/>
    <col min="4" max="4" width="32" style="34" customWidth="1"/>
    <col min="5" max="6" width="28.5703125" style="34" customWidth="1"/>
    <col min="7" max="8" width="33.140625" style="47" customWidth="1"/>
    <col min="9" max="9" width="34" style="34" customWidth="1"/>
    <col min="10" max="10" width="30.140625" style="34" customWidth="1"/>
    <col min="11" max="11" width="23.7109375" style="34" customWidth="1"/>
    <col min="12" max="12" width="27.140625" style="44" customWidth="1"/>
    <col min="13" max="13" width="39.140625" style="34" customWidth="1"/>
    <col min="14" max="14" width="54.7109375" style="34" customWidth="1"/>
    <col min="15" max="16" width="10.5703125" style="34" customWidth="1"/>
    <col min="17" max="17" width="10.5703125" style="34" hidden="1" customWidth="1"/>
    <col min="18" max="26" width="10.5703125" style="34" customWidth="1"/>
    <col min="27" max="16384" width="12.5703125" style="34"/>
  </cols>
  <sheetData>
    <row r="1" spans="1:17" ht="22.5" customHeight="1">
      <c r="A1" s="299"/>
      <c r="B1" s="297"/>
      <c r="C1" s="300" t="s">
        <v>1</v>
      </c>
      <c r="D1" s="297"/>
      <c r="E1" s="297"/>
      <c r="F1" s="297"/>
      <c r="G1" s="297"/>
      <c r="H1" s="297"/>
      <c r="I1" s="297"/>
      <c r="J1" s="297"/>
      <c r="K1" s="297"/>
      <c r="L1" s="297"/>
      <c r="M1" s="297"/>
      <c r="N1" s="19" t="s">
        <v>527</v>
      </c>
      <c r="O1" s="33"/>
      <c r="P1" s="33"/>
      <c r="Q1" s="33"/>
    </row>
    <row r="2" spans="1:17" ht="22.5" customHeight="1">
      <c r="A2" s="297"/>
      <c r="B2" s="297"/>
      <c r="C2" s="300" t="s">
        <v>2</v>
      </c>
      <c r="D2" s="297"/>
      <c r="E2" s="297"/>
      <c r="F2" s="297"/>
      <c r="G2" s="297"/>
      <c r="H2" s="297"/>
      <c r="I2" s="297"/>
      <c r="J2" s="297"/>
      <c r="K2" s="297"/>
      <c r="L2" s="297"/>
      <c r="M2" s="297"/>
      <c r="N2" s="19" t="s">
        <v>3</v>
      </c>
      <c r="O2" s="33"/>
      <c r="P2" s="33"/>
      <c r="Q2" s="33"/>
    </row>
    <row r="3" spans="1:17" ht="22.5" customHeight="1">
      <c r="A3" s="297"/>
      <c r="B3" s="297"/>
      <c r="C3" s="300" t="s">
        <v>528</v>
      </c>
      <c r="D3" s="297"/>
      <c r="E3" s="297"/>
      <c r="F3" s="297"/>
      <c r="G3" s="297"/>
      <c r="H3" s="297"/>
      <c r="I3" s="297"/>
      <c r="J3" s="297"/>
      <c r="K3" s="297"/>
      <c r="L3" s="297"/>
      <c r="M3" s="297"/>
      <c r="N3" s="19" t="s">
        <v>250</v>
      </c>
      <c r="O3" s="33"/>
      <c r="P3" s="33"/>
      <c r="Q3" s="33"/>
    </row>
    <row r="4" spans="1:17" ht="22.5" customHeight="1">
      <c r="A4" s="297"/>
      <c r="B4" s="297"/>
      <c r="C4" s="300" t="s">
        <v>529</v>
      </c>
      <c r="D4" s="297"/>
      <c r="E4" s="297"/>
      <c r="F4" s="297"/>
      <c r="G4" s="297"/>
      <c r="H4" s="297"/>
      <c r="I4" s="297"/>
      <c r="J4" s="297"/>
      <c r="K4" s="297"/>
      <c r="L4" s="297"/>
      <c r="M4" s="297"/>
      <c r="N4" s="19" t="s">
        <v>203</v>
      </c>
      <c r="O4" s="33"/>
      <c r="P4" s="33"/>
      <c r="Q4" s="33"/>
    </row>
    <row r="5" spans="1:17" ht="26.25" customHeight="1">
      <c r="A5" s="301" t="s">
        <v>4</v>
      </c>
      <c r="B5" s="297"/>
      <c r="C5" s="301"/>
      <c r="D5" s="297"/>
      <c r="E5" s="297"/>
      <c r="F5" s="297"/>
      <c r="G5" s="297"/>
      <c r="H5" s="297"/>
      <c r="I5" s="297"/>
      <c r="J5" s="297"/>
      <c r="K5" s="297"/>
      <c r="L5" s="297"/>
      <c r="M5" s="297"/>
      <c r="N5" s="297"/>
      <c r="O5" s="33"/>
      <c r="P5" s="33"/>
      <c r="Q5" s="33"/>
    </row>
    <row r="6" spans="1:17" ht="15" customHeight="1">
      <c r="A6" s="296" t="s">
        <v>147</v>
      </c>
      <c r="B6" s="297"/>
      <c r="C6" s="297"/>
      <c r="D6" s="297"/>
      <c r="E6" s="297"/>
      <c r="F6" s="297"/>
      <c r="G6" s="297"/>
      <c r="H6" s="297"/>
      <c r="I6" s="297"/>
      <c r="J6" s="297"/>
      <c r="K6" s="297"/>
      <c r="L6" s="297"/>
      <c r="M6" s="298" t="s">
        <v>88</v>
      </c>
      <c r="N6" s="297"/>
      <c r="O6" s="33"/>
      <c r="P6" s="33"/>
      <c r="Q6" s="33"/>
    </row>
    <row r="7" spans="1:17" ht="14.25" customHeight="1">
      <c r="A7" s="297"/>
      <c r="B7" s="297"/>
      <c r="C7" s="297"/>
      <c r="D7" s="297"/>
      <c r="E7" s="297"/>
      <c r="F7" s="297"/>
      <c r="G7" s="297"/>
      <c r="H7" s="297"/>
      <c r="I7" s="297"/>
      <c r="J7" s="297"/>
      <c r="K7" s="297"/>
      <c r="L7" s="297"/>
      <c r="M7" s="297"/>
      <c r="N7" s="297"/>
      <c r="O7" s="33"/>
      <c r="P7" s="33"/>
      <c r="Q7" s="33"/>
    </row>
    <row r="8" spans="1:17" ht="66.75" customHeight="1">
      <c r="A8" s="29" t="s">
        <v>92</v>
      </c>
      <c r="B8" s="29" t="s">
        <v>180</v>
      </c>
      <c r="C8" s="29" t="s">
        <v>163</v>
      </c>
      <c r="D8" s="29" t="s">
        <v>82</v>
      </c>
      <c r="E8" s="29" t="s">
        <v>83</v>
      </c>
      <c r="F8" s="29" t="s">
        <v>84</v>
      </c>
      <c r="G8" s="29" t="s">
        <v>158</v>
      </c>
      <c r="H8" s="29" t="s">
        <v>160</v>
      </c>
      <c r="I8" s="29" t="s">
        <v>159</v>
      </c>
      <c r="J8" s="29" t="s">
        <v>150</v>
      </c>
      <c r="K8" s="29" t="s">
        <v>89</v>
      </c>
      <c r="L8" s="29" t="s">
        <v>85</v>
      </c>
      <c r="M8" s="29" t="s">
        <v>25</v>
      </c>
      <c r="N8" s="29" t="s">
        <v>26</v>
      </c>
      <c r="O8" s="35"/>
      <c r="P8" s="35"/>
      <c r="Q8" s="35"/>
    </row>
    <row r="9" spans="1:17" ht="120" customHeight="1">
      <c r="A9" s="36" t="s">
        <v>530</v>
      </c>
      <c r="B9" s="36" t="s">
        <v>531</v>
      </c>
      <c r="C9" s="36" t="s">
        <v>532</v>
      </c>
      <c r="D9" s="36" t="s">
        <v>533</v>
      </c>
      <c r="E9" s="36" t="s">
        <v>534</v>
      </c>
      <c r="F9" s="36" t="s">
        <v>535</v>
      </c>
      <c r="G9" s="37" t="s">
        <v>536</v>
      </c>
      <c r="H9" s="37" t="s">
        <v>537</v>
      </c>
      <c r="I9" s="38" t="s">
        <v>538</v>
      </c>
      <c r="J9" s="39" t="s">
        <v>539</v>
      </c>
      <c r="K9" s="40"/>
      <c r="L9" s="41" t="s">
        <v>308</v>
      </c>
    </row>
    <row r="10" spans="1:17" ht="80.25" customHeight="1">
      <c r="A10" s="42"/>
      <c r="B10" s="36" t="s">
        <v>531</v>
      </c>
      <c r="C10" s="36" t="s">
        <v>532</v>
      </c>
      <c r="D10" s="36" t="s">
        <v>533</v>
      </c>
      <c r="E10" s="36" t="s">
        <v>540</v>
      </c>
      <c r="F10" s="36" t="s">
        <v>541</v>
      </c>
      <c r="G10" s="37" t="s">
        <v>542</v>
      </c>
      <c r="H10" s="37" t="s">
        <v>543</v>
      </c>
      <c r="I10" s="38" t="s">
        <v>544</v>
      </c>
      <c r="J10" s="39" t="s">
        <v>545</v>
      </c>
      <c r="K10" s="40"/>
      <c r="L10" s="41" t="s">
        <v>308</v>
      </c>
      <c r="Q10" s="40" t="s">
        <v>546</v>
      </c>
    </row>
    <row r="11" spans="1:17" ht="63.75" customHeight="1">
      <c r="A11" s="36" t="s">
        <v>427</v>
      </c>
      <c r="B11" s="36" t="s">
        <v>531</v>
      </c>
      <c r="C11" s="36" t="s">
        <v>532</v>
      </c>
      <c r="D11" s="36" t="s">
        <v>533</v>
      </c>
      <c r="E11" s="36" t="s">
        <v>540</v>
      </c>
      <c r="F11" s="36" t="s">
        <v>541</v>
      </c>
      <c r="G11" s="37" t="s">
        <v>547</v>
      </c>
      <c r="H11" s="37" t="s">
        <v>548</v>
      </c>
      <c r="I11" s="38" t="s">
        <v>544</v>
      </c>
      <c r="J11" s="39" t="s">
        <v>545</v>
      </c>
      <c r="K11" s="40"/>
      <c r="L11" s="41" t="s">
        <v>308</v>
      </c>
      <c r="Q11" s="40" t="s">
        <v>549</v>
      </c>
    </row>
    <row r="12" spans="1:17" ht="64.5" customHeight="1">
      <c r="A12" s="36" t="s">
        <v>427</v>
      </c>
      <c r="B12" s="36" t="s">
        <v>531</v>
      </c>
      <c r="C12" s="36" t="s">
        <v>532</v>
      </c>
      <c r="D12" s="36" t="s">
        <v>533</v>
      </c>
      <c r="E12" s="36" t="s">
        <v>540</v>
      </c>
      <c r="F12" s="36" t="s">
        <v>541</v>
      </c>
      <c r="G12" s="37" t="s">
        <v>550</v>
      </c>
      <c r="H12" s="37" t="s">
        <v>551</v>
      </c>
      <c r="I12" s="38" t="s">
        <v>544</v>
      </c>
      <c r="J12" s="39" t="s">
        <v>545</v>
      </c>
      <c r="K12" s="40"/>
      <c r="L12" s="41" t="s">
        <v>308</v>
      </c>
      <c r="Q12" s="40" t="s">
        <v>552</v>
      </c>
    </row>
    <row r="13" spans="1:17" ht="66.75" customHeight="1">
      <c r="A13" s="36" t="s">
        <v>553</v>
      </c>
      <c r="B13" s="36" t="s">
        <v>531</v>
      </c>
      <c r="C13" s="36" t="s">
        <v>532</v>
      </c>
      <c r="D13" s="36" t="s">
        <v>533</v>
      </c>
      <c r="E13" s="36" t="s">
        <v>540</v>
      </c>
      <c r="F13" s="36" t="s">
        <v>541</v>
      </c>
      <c r="G13" s="37" t="s">
        <v>554</v>
      </c>
      <c r="H13" s="37" t="s">
        <v>555</v>
      </c>
      <c r="I13" s="38" t="s">
        <v>556</v>
      </c>
      <c r="J13" s="39" t="s">
        <v>545</v>
      </c>
      <c r="K13" s="40"/>
      <c r="L13" s="41" t="s">
        <v>308</v>
      </c>
      <c r="Q13" s="40" t="s">
        <v>557</v>
      </c>
    </row>
    <row r="14" spans="1:17" ht="92.25" customHeight="1">
      <c r="A14" s="42"/>
      <c r="B14" s="42"/>
      <c r="C14" s="42"/>
      <c r="D14" s="36" t="s">
        <v>533</v>
      </c>
      <c r="E14" s="36" t="s">
        <v>558</v>
      </c>
      <c r="F14" s="36" t="s">
        <v>559</v>
      </c>
      <c r="G14" s="37" t="s">
        <v>560</v>
      </c>
      <c r="H14" s="37" t="s">
        <v>561</v>
      </c>
      <c r="I14" s="38" t="s">
        <v>544</v>
      </c>
      <c r="J14" s="39" t="s">
        <v>545</v>
      </c>
      <c r="K14" s="40"/>
      <c r="L14" s="41" t="s">
        <v>308</v>
      </c>
    </row>
    <row r="15" spans="1:17" ht="76.5" customHeight="1">
      <c r="A15" s="36" t="s">
        <v>562</v>
      </c>
      <c r="B15" s="36" t="s">
        <v>531</v>
      </c>
      <c r="C15" s="36" t="s">
        <v>532</v>
      </c>
      <c r="D15" s="36" t="s">
        <v>533</v>
      </c>
      <c r="E15" s="36" t="s">
        <v>563</v>
      </c>
      <c r="F15" s="36" t="s">
        <v>564</v>
      </c>
      <c r="G15" s="37" t="s">
        <v>565</v>
      </c>
      <c r="H15" s="37" t="s">
        <v>566</v>
      </c>
      <c r="I15" s="38" t="s">
        <v>567</v>
      </c>
      <c r="J15" s="39" t="s">
        <v>545</v>
      </c>
      <c r="K15" s="40"/>
      <c r="L15" s="41" t="s">
        <v>308</v>
      </c>
    </row>
    <row r="16" spans="1:17" ht="108.75" customHeight="1">
      <c r="A16" s="36" t="s">
        <v>553</v>
      </c>
      <c r="B16" s="36" t="s">
        <v>568</v>
      </c>
      <c r="C16" s="36" t="s">
        <v>569</v>
      </c>
      <c r="D16" s="36" t="s">
        <v>570</v>
      </c>
      <c r="E16" s="36" t="s">
        <v>571</v>
      </c>
      <c r="F16" s="36" t="s">
        <v>572</v>
      </c>
      <c r="G16" s="37" t="s">
        <v>573</v>
      </c>
      <c r="H16" s="37" t="s">
        <v>574</v>
      </c>
      <c r="I16" s="43" t="s">
        <v>544</v>
      </c>
      <c r="J16" s="39" t="s">
        <v>545</v>
      </c>
      <c r="K16" s="40"/>
      <c r="L16" s="41" t="s">
        <v>308</v>
      </c>
    </row>
    <row r="17" spans="1:12" ht="85.5" customHeight="1">
      <c r="A17" s="36" t="s">
        <v>553</v>
      </c>
      <c r="B17" s="36" t="s">
        <v>531</v>
      </c>
      <c r="C17" s="36" t="s">
        <v>532</v>
      </c>
      <c r="D17" s="36" t="s">
        <v>575</v>
      </c>
      <c r="E17" s="36" t="s">
        <v>576</v>
      </c>
      <c r="F17" s="36" t="s">
        <v>577</v>
      </c>
      <c r="G17" s="37" t="s">
        <v>578</v>
      </c>
      <c r="H17" s="37" t="s">
        <v>579</v>
      </c>
      <c r="I17" s="38" t="s">
        <v>538</v>
      </c>
      <c r="J17" s="39" t="s">
        <v>545</v>
      </c>
      <c r="K17" s="40"/>
      <c r="L17" s="41" t="s">
        <v>308</v>
      </c>
    </row>
    <row r="18" spans="1:12" ht="84" customHeight="1">
      <c r="A18" s="36" t="s">
        <v>553</v>
      </c>
      <c r="B18" s="36" t="s">
        <v>531</v>
      </c>
      <c r="C18" s="36" t="s">
        <v>532</v>
      </c>
      <c r="D18" s="36" t="s">
        <v>575</v>
      </c>
      <c r="E18" s="36" t="s">
        <v>580</v>
      </c>
      <c r="F18" s="36" t="s">
        <v>581</v>
      </c>
      <c r="G18" s="37" t="s">
        <v>582</v>
      </c>
      <c r="H18" s="37" t="s">
        <v>583</v>
      </c>
      <c r="I18" s="38" t="s">
        <v>584</v>
      </c>
      <c r="J18" s="39" t="s">
        <v>545</v>
      </c>
      <c r="K18" s="40"/>
      <c r="L18" s="41" t="s">
        <v>308</v>
      </c>
    </row>
    <row r="19" spans="1:12" ht="87" customHeight="1">
      <c r="A19" s="36" t="s">
        <v>553</v>
      </c>
      <c r="B19" s="36" t="s">
        <v>531</v>
      </c>
      <c r="C19" s="36" t="s">
        <v>532</v>
      </c>
      <c r="D19" s="36" t="s">
        <v>575</v>
      </c>
      <c r="E19" s="36" t="s">
        <v>580</v>
      </c>
      <c r="F19" s="36" t="s">
        <v>581</v>
      </c>
      <c r="G19" s="37" t="s">
        <v>585</v>
      </c>
      <c r="H19" s="37" t="s">
        <v>586</v>
      </c>
      <c r="I19" s="38" t="s">
        <v>584</v>
      </c>
      <c r="J19" s="39" t="s">
        <v>545</v>
      </c>
      <c r="K19" s="40"/>
      <c r="L19" s="41" t="s">
        <v>308</v>
      </c>
    </row>
    <row r="20" spans="1:12" ht="117.75" customHeight="1">
      <c r="A20" s="36" t="s">
        <v>553</v>
      </c>
      <c r="B20" s="36" t="s">
        <v>531</v>
      </c>
      <c r="C20" s="36" t="s">
        <v>532</v>
      </c>
      <c r="D20" s="36" t="s">
        <v>575</v>
      </c>
      <c r="E20" s="36" t="s">
        <v>580</v>
      </c>
      <c r="F20" s="36" t="s">
        <v>581</v>
      </c>
      <c r="G20" s="37" t="s">
        <v>587</v>
      </c>
      <c r="H20" s="37" t="s">
        <v>588</v>
      </c>
      <c r="I20" s="38" t="s">
        <v>584</v>
      </c>
      <c r="J20" s="39" t="s">
        <v>545</v>
      </c>
      <c r="K20" s="40"/>
      <c r="L20" s="41" t="s">
        <v>308</v>
      </c>
    </row>
    <row r="21" spans="1:12" ht="114.75" customHeight="1">
      <c r="A21" s="36" t="s">
        <v>553</v>
      </c>
      <c r="B21" s="36" t="s">
        <v>531</v>
      </c>
      <c r="C21" s="36" t="s">
        <v>532</v>
      </c>
      <c r="D21" s="36" t="s">
        <v>575</v>
      </c>
      <c r="E21" s="36" t="s">
        <v>580</v>
      </c>
      <c r="F21" s="36" t="s">
        <v>581</v>
      </c>
      <c r="G21" s="37" t="s">
        <v>589</v>
      </c>
      <c r="H21" s="37" t="s">
        <v>590</v>
      </c>
      <c r="I21" s="38" t="s">
        <v>584</v>
      </c>
      <c r="J21" s="39" t="s">
        <v>545</v>
      </c>
      <c r="K21" s="40"/>
    </row>
    <row r="22" spans="1:12" ht="100.5" customHeight="1">
      <c r="A22" s="36" t="s">
        <v>553</v>
      </c>
      <c r="B22" s="36" t="s">
        <v>531</v>
      </c>
      <c r="C22" s="36" t="s">
        <v>532</v>
      </c>
      <c r="D22" s="36" t="s">
        <v>575</v>
      </c>
      <c r="E22" s="36" t="s">
        <v>591</v>
      </c>
      <c r="F22" s="36" t="s">
        <v>592</v>
      </c>
      <c r="G22" s="37" t="s">
        <v>593</v>
      </c>
      <c r="H22" s="37" t="s">
        <v>594</v>
      </c>
      <c r="I22" s="38" t="s">
        <v>538</v>
      </c>
      <c r="J22" s="39" t="s">
        <v>539</v>
      </c>
      <c r="K22" s="40"/>
    </row>
    <row r="23" spans="1:12" ht="79.5" customHeight="1">
      <c r="A23" s="36" t="s">
        <v>553</v>
      </c>
      <c r="B23" s="36" t="s">
        <v>531</v>
      </c>
      <c r="C23" s="36" t="s">
        <v>532</v>
      </c>
      <c r="D23" s="36" t="s">
        <v>575</v>
      </c>
      <c r="E23" s="36" t="s">
        <v>595</v>
      </c>
      <c r="F23" s="36" t="s">
        <v>596</v>
      </c>
      <c r="G23" s="37" t="s">
        <v>597</v>
      </c>
      <c r="H23" s="37" t="s">
        <v>598</v>
      </c>
      <c r="I23" s="38" t="s">
        <v>584</v>
      </c>
      <c r="J23" s="39" t="s">
        <v>545</v>
      </c>
      <c r="K23" s="40"/>
    </row>
    <row r="24" spans="1:12" ht="80.25" customHeight="1">
      <c r="A24" s="36" t="s">
        <v>553</v>
      </c>
      <c r="B24" s="36" t="s">
        <v>531</v>
      </c>
      <c r="C24" s="36" t="s">
        <v>532</v>
      </c>
      <c r="D24" s="36" t="s">
        <v>575</v>
      </c>
      <c r="E24" s="36" t="s">
        <v>595</v>
      </c>
      <c r="F24" s="36" t="s">
        <v>596</v>
      </c>
      <c r="G24" s="37" t="s">
        <v>599</v>
      </c>
      <c r="H24" s="37" t="s">
        <v>600</v>
      </c>
      <c r="I24" s="38" t="s">
        <v>584</v>
      </c>
      <c r="J24" s="39" t="s">
        <v>545</v>
      </c>
      <c r="K24" s="40"/>
    </row>
    <row r="25" spans="1:12" ht="98.25" customHeight="1">
      <c r="A25" s="36" t="s">
        <v>427</v>
      </c>
      <c r="B25" s="45" t="s">
        <v>601</v>
      </c>
      <c r="C25" s="36" t="s">
        <v>602</v>
      </c>
      <c r="D25" s="36" t="s">
        <v>603</v>
      </c>
      <c r="E25" s="36" t="s">
        <v>604</v>
      </c>
      <c r="F25" s="36" t="s">
        <v>605</v>
      </c>
      <c r="G25" s="37" t="s">
        <v>606</v>
      </c>
      <c r="H25" s="37" t="s">
        <v>607</v>
      </c>
      <c r="I25" s="38" t="s">
        <v>584</v>
      </c>
      <c r="J25" s="39" t="s">
        <v>545</v>
      </c>
      <c r="K25" s="40"/>
    </row>
    <row r="26" spans="1:12" ht="111" customHeight="1">
      <c r="A26" s="36" t="s">
        <v>427</v>
      </c>
      <c r="B26" s="45" t="s">
        <v>601</v>
      </c>
      <c r="C26" s="36" t="s">
        <v>602</v>
      </c>
      <c r="D26" s="36" t="s">
        <v>603</v>
      </c>
      <c r="E26" s="36" t="s">
        <v>604</v>
      </c>
      <c r="F26" s="36" t="s">
        <v>605</v>
      </c>
      <c r="G26" s="37" t="s">
        <v>608</v>
      </c>
      <c r="H26" s="37" t="s">
        <v>609</v>
      </c>
      <c r="I26" s="38" t="s">
        <v>544</v>
      </c>
      <c r="J26" s="39" t="s">
        <v>545</v>
      </c>
      <c r="K26" s="40"/>
    </row>
    <row r="27" spans="1:12" ht="86.25" customHeight="1">
      <c r="A27" s="36" t="s">
        <v>427</v>
      </c>
      <c r="B27" s="45" t="s">
        <v>601</v>
      </c>
      <c r="C27" s="36" t="s">
        <v>602</v>
      </c>
      <c r="D27" s="36" t="s">
        <v>603</v>
      </c>
      <c r="E27" s="36" t="s">
        <v>604</v>
      </c>
      <c r="F27" s="36" t="s">
        <v>605</v>
      </c>
      <c r="G27" s="37" t="s">
        <v>610</v>
      </c>
      <c r="H27" s="37" t="s">
        <v>611</v>
      </c>
      <c r="I27" s="38" t="s">
        <v>544</v>
      </c>
      <c r="J27" s="39" t="s">
        <v>545</v>
      </c>
      <c r="K27" s="40"/>
    </row>
    <row r="28" spans="1:12" ht="80.25" customHeight="1">
      <c r="A28" s="36" t="s">
        <v>427</v>
      </c>
      <c r="B28" s="45" t="s">
        <v>601</v>
      </c>
      <c r="C28" s="36" t="s">
        <v>602</v>
      </c>
      <c r="D28" s="36" t="s">
        <v>603</v>
      </c>
      <c r="E28" s="36" t="s">
        <v>604</v>
      </c>
      <c r="F28" s="36" t="s">
        <v>605</v>
      </c>
      <c r="G28" s="37" t="s">
        <v>612</v>
      </c>
      <c r="H28" s="37" t="s">
        <v>613</v>
      </c>
      <c r="I28" s="38" t="s">
        <v>544</v>
      </c>
      <c r="J28" s="39" t="s">
        <v>545</v>
      </c>
      <c r="K28" s="40"/>
    </row>
    <row r="29" spans="1:12" ht="113.25" customHeight="1">
      <c r="A29" s="36" t="s">
        <v>427</v>
      </c>
      <c r="B29" s="45" t="s">
        <v>601</v>
      </c>
      <c r="C29" s="36" t="s">
        <v>602</v>
      </c>
      <c r="D29" s="36" t="s">
        <v>603</v>
      </c>
      <c r="E29" s="36" t="s">
        <v>604</v>
      </c>
      <c r="F29" s="36" t="s">
        <v>605</v>
      </c>
      <c r="G29" s="37" t="s">
        <v>614</v>
      </c>
      <c r="H29" s="37" t="s">
        <v>615</v>
      </c>
      <c r="I29" s="38" t="s">
        <v>544</v>
      </c>
      <c r="J29" s="39" t="s">
        <v>539</v>
      </c>
      <c r="K29" s="40"/>
    </row>
    <row r="30" spans="1:12" ht="109.5" customHeight="1">
      <c r="A30" s="36" t="s">
        <v>427</v>
      </c>
      <c r="B30" s="45" t="s">
        <v>601</v>
      </c>
      <c r="C30" s="36" t="s">
        <v>602</v>
      </c>
      <c r="D30" s="36" t="s">
        <v>603</v>
      </c>
      <c r="E30" s="36" t="s">
        <v>604</v>
      </c>
      <c r="F30" s="36" t="s">
        <v>605</v>
      </c>
      <c r="G30" s="37" t="s">
        <v>616</v>
      </c>
      <c r="H30" s="37" t="s">
        <v>617</v>
      </c>
      <c r="I30" s="38" t="s">
        <v>544</v>
      </c>
      <c r="J30" s="39" t="s">
        <v>545</v>
      </c>
      <c r="K30" s="40"/>
    </row>
    <row r="31" spans="1:12" ht="89.25" customHeight="1">
      <c r="A31" s="36" t="s">
        <v>427</v>
      </c>
      <c r="B31" s="45" t="s">
        <v>601</v>
      </c>
      <c r="C31" s="36" t="s">
        <v>602</v>
      </c>
      <c r="D31" s="36" t="s">
        <v>603</v>
      </c>
      <c r="E31" s="36" t="s">
        <v>604</v>
      </c>
      <c r="F31" s="36" t="s">
        <v>605</v>
      </c>
      <c r="G31" s="37" t="s">
        <v>618</v>
      </c>
      <c r="H31" s="37" t="s">
        <v>619</v>
      </c>
      <c r="I31" s="38" t="s">
        <v>544</v>
      </c>
      <c r="J31" s="39" t="s">
        <v>620</v>
      </c>
      <c r="K31" s="40"/>
    </row>
    <row r="32" spans="1:12" ht="90.75" customHeight="1">
      <c r="A32" s="36" t="s">
        <v>427</v>
      </c>
      <c r="B32" s="45" t="s">
        <v>601</v>
      </c>
      <c r="C32" s="36" t="s">
        <v>602</v>
      </c>
      <c r="D32" s="36" t="s">
        <v>603</v>
      </c>
      <c r="E32" s="36" t="s">
        <v>604</v>
      </c>
      <c r="F32" s="36" t="s">
        <v>605</v>
      </c>
      <c r="G32" s="37" t="s">
        <v>621</v>
      </c>
      <c r="H32" s="37" t="s">
        <v>622</v>
      </c>
      <c r="I32" s="38" t="s">
        <v>544</v>
      </c>
      <c r="J32" s="39" t="s">
        <v>620</v>
      </c>
      <c r="K32" s="40"/>
    </row>
    <row r="33" spans="1:11" ht="131.25" customHeight="1">
      <c r="A33" s="36" t="s">
        <v>427</v>
      </c>
      <c r="B33" s="45" t="s">
        <v>601</v>
      </c>
      <c r="C33" s="36" t="s">
        <v>602</v>
      </c>
      <c r="D33" s="36" t="s">
        <v>603</v>
      </c>
      <c r="E33" s="36" t="s">
        <v>623</v>
      </c>
      <c r="F33" s="36" t="s">
        <v>624</v>
      </c>
      <c r="G33" s="37" t="s">
        <v>625</v>
      </c>
      <c r="H33" s="37" t="s">
        <v>626</v>
      </c>
      <c r="I33" s="38" t="s">
        <v>544</v>
      </c>
      <c r="J33" s="39" t="s">
        <v>620</v>
      </c>
      <c r="K33" s="40"/>
    </row>
    <row r="34" spans="1:11" ht="113.25" customHeight="1">
      <c r="A34" s="36" t="s">
        <v>427</v>
      </c>
      <c r="B34" s="45" t="s">
        <v>601</v>
      </c>
      <c r="C34" s="36" t="s">
        <v>602</v>
      </c>
      <c r="D34" s="36" t="s">
        <v>603</v>
      </c>
      <c r="E34" s="36" t="s">
        <v>623</v>
      </c>
      <c r="F34" s="36" t="s">
        <v>624</v>
      </c>
      <c r="G34" s="37" t="s">
        <v>627</v>
      </c>
      <c r="H34" s="37" t="s">
        <v>628</v>
      </c>
      <c r="I34" s="38" t="s">
        <v>544</v>
      </c>
      <c r="J34" s="39" t="s">
        <v>620</v>
      </c>
      <c r="K34" s="40"/>
    </row>
    <row r="35" spans="1:11" ht="110.25" customHeight="1">
      <c r="A35" s="36" t="s">
        <v>427</v>
      </c>
      <c r="B35" s="45" t="s">
        <v>601</v>
      </c>
      <c r="C35" s="36" t="s">
        <v>602</v>
      </c>
      <c r="D35" s="36" t="s">
        <v>603</v>
      </c>
      <c r="E35" s="36" t="s">
        <v>623</v>
      </c>
      <c r="F35" s="36" t="s">
        <v>624</v>
      </c>
      <c r="G35" s="37" t="s">
        <v>629</v>
      </c>
      <c r="H35" s="37" t="s">
        <v>630</v>
      </c>
      <c r="I35" s="38" t="s">
        <v>544</v>
      </c>
      <c r="J35" s="39" t="s">
        <v>620</v>
      </c>
      <c r="K35" s="40"/>
    </row>
    <row r="36" spans="1:11" ht="100.5" customHeight="1">
      <c r="A36" s="36" t="s">
        <v>427</v>
      </c>
      <c r="B36" s="45" t="s">
        <v>601</v>
      </c>
      <c r="C36" s="36" t="s">
        <v>602</v>
      </c>
      <c r="D36" s="36" t="s">
        <v>603</v>
      </c>
      <c r="E36" s="36" t="s">
        <v>623</v>
      </c>
      <c r="F36" s="36" t="s">
        <v>624</v>
      </c>
      <c r="G36" s="37" t="s">
        <v>631</v>
      </c>
      <c r="H36" s="37" t="s">
        <v>632</v>
      </c>
      <c r="I36" s="38" t="s">
        <v>544</v>
      </c>
      <c r="J36" s="39" t="s">
        <v>620</v>
      </c>
      <c r="K36" s="40"/>
    </row>
    <row r="37" spans="1:11" ht="99.75" customHeight="1">
      <c r="A37" s="36" t="s">
        <v>427</v>
      </c>
      <c r="B37" s="45" t="s">
        <v>601</v>
      </c>
      <c r="C37" s="36" t="s">
        <v>602</v>
      </c>
      <c r="D37" s="36" t="s">
        <v>603</v>
      </c>
      <c r="E37" s="36" t="s">
        <v>623</v>
      </c>
      <c r="F37" s="36" t="s">
        <v>624</v>
      </c>
      <c r="G37" s="37" t="s">
        <v>633</v>
      </c>
      <c r="H37" s="37" t="s">
        <v>634</v>
      </c>
      <c r="I37" s="38" t="s">
        <v>544</v>
      </c>
      <c r="J37" s="39" t="s">
        <v>620</v>
      </c>
      <c r="K37" s="40"/>
    </row>
    <row r="38" spans="1:11" ht="115.5" customHeight="1">
      <c r="A38" s="36" t="s">
        <v>427</v>
      </c>
      <c r="B38" s="45" t="s">
        <v>601</v>
      </c>
      <c r="C38" s="36" t="s">
        <v>602</v>
      </c>
      <c r="D38" s="36" t="s">
        <v>603</v>
      </c>
      <c r="E38" s="36" t="s">
        <v>623</v>
      </c>
      <c r="F38" s="36" t="s">
        <v>624</v>
      </c>
      <c r="G38" s="37" t="s">
        <v>635</v>
      </c>
      <c r="H38" s="37" t="s">
        <v>636</v>
      </c>
      <c r="I38" s="38" t="s">
        <v>544</v>
      </c>
      <c r="J38" s="39" t="s">
        <v>545</v>
      </c>
      <c r="K38" s="40"/>
    </row>
    <row r="39" spans="1:11" ht="108" customHeight="1">
      <c r="A39" s="36" t="s">
        <v>427</v>
      </c>
      <c r="B39" s="45" t="s">
        <v>601</v>
      </c>
      <c r="C39" s="36" t="s">
        <v>602</v>
      </c>
      <c r="D39" s="36" t="s">
        <v>603</v>
      </c>
      <c r="E39" s="36" t="s">
        <v>623</v>
      </c>
      <c r="F39" s="36" t="s">
        <v>624</v>
      </c>
      <c r="G39" s="37" t="s">
        <v>637</v>
      </c>
      <c r="H39" s="37" t="s">
        <v>638</v>
      </c>
      <c r="I39" s="38" t="s">
        <v>544</v>
      </c>
      <c r="J39" s="39" t="s">
        <v>620</v>
      </c>
      <c r="K39" s="40"/>
    </row>
    <row r="40" spans="1:11" ht="75.75" customHeight="1">
      <c r="A40" s="36" t="s">
        <v>427</v>
      </c>
      <c r="B40" s="45" t="s">
        <v>601</v>
      </c>
      <c r="C40" s="36" t="s">
        <v>602</v>
      </c>
      <c r="D40" s="36" t="s">
        <v>603</v>
      </c>
      <c r="E40" s="36" t="s">
        <v>639</v>
      </c>
      <c r="F40" s="36" t="s">
        <v>640</v>
      </c>
      <c r="G40" s="37" t="s">
        <v>641</v>
      </c>
      <c r="H40" s="37" t="s">
        <v>642</v>
      </c>
      <c r="I40" s="38" t="s">
        <v>643</v>
      </c>
      <c r="J40" s="39" t="s">
        <v>620</v>
      </c>
      <c r="K40" s="40"/>
    </row>
    <row r="41" spans="1:11" ht="78" customHeight="1">
      <c r="A41" s="36" t="s">
        <v>427</v>
      </c>
      <c r="B41" s="45" t="s">
        <v>601</v>
      </c>
      <c r="C41" s="36" t="s">
        <v>602</v>
      </c>
      <c r="D41" s="36" t="s">
        <v>603</v>
      </c>
      <c r="E41" s="36" t="s">
        <v>639</v>
      </c>
      <c r="F41" s="36" t="s">
        <v>640</v>
      </c>
      <c r="G41" s="37" t="s">
        <v>644</v>
      </c>
      <c r="H41" s="37" t="s">
        <v>645</v>
      </c>
      <c r="I41" s="38" t="s">
        <v>643</v>
      </c>
      <c r="J41" s="39" t="s">
        <v>620</v>
      </c>
      <c r="K41" s="40"/>
    </row>
    <row r="42" spans="1:11" ht="79.5" customHeight="1">
      <c r="A42" s="36" t="s">
        <v>427</v>
      </c>
      <c r="B42" s="45" t="s">
        <v>601</v>
      </c>
      <c r="C42" s="36" t="s">
        <v>602</v>
      </c>
      <c r="D42" s="36" t="s">
        <v>603</v>
      </c>
      <c r="E42" s="36" t="s">
        <v>639</v>
      </c>
      <c r="F42" s="36" t="s">
        <v>640</v>
      </c>
      <c r="G42" s="37" t="s">
        <v>646</v>
      </c>
      <c r="H42" s="37" t="s">
        <v>647</v>
      </c>
      <c r="I42" s="38" t="s">
        <v>643</v>
      </c>
      <c r="J42" s="39" t="s">
        <v>539</v>
      </c>
      <c r="K42" s="40"/>
    </row>
    <row r="43" spans="1:11" ht="96" customHeight="1">
      <c r="A43" s="36" t="s">
        <v>427</v>
      </c>
      <c r="B43" s="45" t="s">
        <v>601</v>
      </c>
      <c r="C43" s="36" t="s">
        <v>602</v>
      </c>
      <c r="D43" s="36" t="s">
        <v>603</v>
      </c>
      <c r="E43" s="36" t="s">
        <v>639</v>
      </c>
      <c r="F43" s="36" t="s">
        <v>640</v>
      </c>
      <c r="G43" s="37" t="s">
        <v>648</v>
      </c>
      <c r="H43" s="37" t="s">
        <v>649</v>
      </c>
      <c r="I43" s="38" t="s">
        <v>643</v>
      </c>
      <c r="J43" s="39" t="s">
        <v>539</v>
      </c>
      <c r="K43" s="40"/>
    </row>
    <row r="44" spans="1:11" ht="87.75" customHeight="1">
      <c r="A44" s="36" t="s">
        <v>427</v>
      </c>
      <c r="B44" s="45" t="s">
        <v>601</v>
      </c>
      <c r="C44" s="36" t="s">
        <v>602</v>
      </c>
      <c r="D44" s="36" t="s">
        <v>603</v>
      </c>
      <c r="E44" s="36" t="s">
        <v>639</v>
      </c>
      <c r="F44" s="36" t="s">
        <v>640</v>
      </c>
      <c r="G44" s="37" t="s">
        <v>650</v>
      </c>
      <c r="H44" s="37" t="s">
        <v>651</v>
      </c>
      <c r="I44" s="38" t="s">
        <v>643</v>
      </c>
      <c r="J44" s="39" t="s">
        <v>545</v>
      </c>
      <c r="K44" s="40"/>
    </row>
    <row r="45" spans="1:11" ht="89.25" customHeight="1">
      <c r="A45" s="36" t="s">
        <v>427</v>
      </c>
      <c r="B45" s="36" t="s">
        <v>531</v>
      </c>
      <c r="D45" s="36" t="s">
        <v>652</v>
      </c>
      <c r="E45" s="36" t="s">
        <v>653</v>
      </c>
      <c r="F45" s="36" t="s">
        <v>654</v>
      </c>
      <c r="G45" s="37" t="s">
        <v>655</v>
      </c>
      <c r="H45" s="37" t="s">
        <v>656</v>
      </c>
      <c r="I45" s="38" t="s">
        <v>538</v>
      </c>
      <c r="J45" s="39" t="s">
        <v>545</v>
      </c>
      <c r="K45" s="40"/>
    </row>
    <row r="46" spans="1:11" ht="99" customHeight="1">
      <c r="A46" s="36" t="s">
        <v>427</v>
      </c>
      <c r="B46" s="36" t="s">
        <v>531</v>
      </c>
      <c r="D46" s="36" t="s">
        <v>652</v>
      </c>
      <c r="E46" s="36" t="s">
        <v>657</v>
      </c>
      <c r="F46" s="36" t="s">
        <v>658</v>
      </c>
      <c r="G46" s="37" t="s">
        <v>659</v>
      </c>
      <c r="H46" s="37" t="s">
        <v>660</v>
      </c>
      <c r="I46" s="38" t="s">
        <v>556</v>
      </c>
      <c r="J46" s="39" t="s">
        <v>620</v>
      </c>
      <c r="K46" s="40"/>
    </row>
    <row r="47" spans="1:11" ht="92.25" customHeight="1">
      <c r="A47" s="36" t="s">
        <v>427</v>
      </c>
      <c r="B47" s="36" t="s">
        <v>531</v>
      </c>
      <c r="D47" s="36" t="s">
        <v>652</v>
      </c>
      <c r="E47" s="36" t="s">
        <v>661</v>
      </c>
      <c r="F47" s="36" t="s">
        <v>662</v>
      </c>
      <c r="G47" s="37" t="s">
        <v>663</v>
      </c>
      <c r="H47" s="37" t="s">
        <v>664</v>
      </c>
      <c r="I47" s="46" t="s">
        <v>567</v>
      </c>
      <c r="J47" s="39" t="s">
        <v>620</v>
      </c>
      <c r="K47" s="40"/>
    </row>
    <row r="48" spans="1:11" ht="96.75" customHeight="1">
      <c r="A48" s="36" t="s">
        <v>427</v>
      </c>
      <c r="B48" s="36" t="s">
        <v>531</v>
      </c>
      <c r="D48" s="36" t="s">
        <v>665</v>
      </c>
      <c r="E48" s="36" t="s">
        <v>666</v>
      </c>
      <c r="F48" s="36" t="s">
        <v>667</v>
      </c>
      <c r="G48" s="37" t="s">
        <v>668</v>
      </c>
      <c r="H48" s="37" t="s">
        <v>669</v>
      </c>
      <c r="I48" s="38" t="s">
        <v>544</v>
      </c>
      <c r="J48" s="39" t="s">
        <v>545</v>
      </c>
      <c r="K48" s="40"/>
    </row>
    <row r="49" spans="1:11" ht="90" customHeight="1">
      <c r="A49" s="36" t="s">
        <v>427</v>
      </c>
      <c r="B49" s="36" t="s">
        <v>531</v>
      </c>
      <c r="D49" s="36" t="s">
        <v>665</v>
      </c>
      <c r="E49" s="36" t="s">
        <v>666</v>
      </c>
      <c r="F49" s="36" t="s">
        <v>667</v>
      </c>
      <c r="G49" s="37" t="s">
        <v>670</v>
      </c>
      <c r="H49" s="37" t="s">
        <v>671</v>
      </c>
      <c r="I49" s="38" t="s">
        <v>544</v>
      </c>
      <c r="J49" s="39" t="s">
        <v>545</v>
      </c>
      <c r="K49" s="40"/>
    </row>
    <row r="50" spans="1:11" ht="93" customHeight="1">
      <c r="A50" s="36" t="s">
        <v>427</v>
      </c>
      <c r="B50" s="36" t="s">
        <v>531</v>
      </c>
      <c r="D50" s="36" t="s">
        <v>665</v>
      </c>
      <c r="E50" s="36" t="s">
        <v>672</v>
      </c>
      <c r="F50" s="36" t="s">
        <v>673</v>
      </c>
      <c r="G50" s="37" t="s">
        <v>674</v>
      </c>
      <c r="H50" s="37" t="s">
        <v>675</v>
      </c>
      <c r="I50" s="38" t="s">
        <v>544</v>
      </c>
      <c r="J50" s="39" t="s">
        <v>545</v>
      </c>
      <c r="K50" s="40"/>
    </row>
    <row r="51" spans="1:11" ht="107.25" customHeight="1">
      <c r="A51" s="36" t="s">
        <v>427</v>
      </c>
      <c r="B51" s="36" t="s">
        <v>531</v>
      </c>
      <c r="D51" s="36" t="s">
        <v>665</v>
      </c>
      <c r="E51" s="36" t="s">
        <v>676</v>
      </c>
      <c r="F51" s="36" t="s">
        <v>677</v>
      </c>
      <c r="G51" s="37" t="s">
        <v>678</v>
      </c>
      <c r="H51" s="37" t="s">
        <v>679</v>
      </c>
      <c r="I51" s="38" t="s">
        <v>544</v>
      </c>
      <c r="J51" s="39" t="s">
        <v>545</v>
      </c>
      <c r="K51" s="40"/>
    </row>
  </sheetData>
  <mergeCells count="9">
    <mergeCell ref="A6:L7"/>
    <mergeCell ref="M6:N7"/>
    <mergeCell ref="A1:B4"/>
    <mergeCell ref="C1:M1"/>
    <mergeCell ref="C2:M2"/>
    <mergeCell ref="C3:M3"/>
    <mergeCell ref="C4:M4"/>
    <mergeCell ref="A5:B5"/>
    <mergeCell ref="C5:N5"/>
  </mergeCells>
  <dataValidations count="1">
    <dataValidation type="list" allowBlank="1" showErrorMessage="1" sqref="K9:K113" xr:uid="{00000000-0002-0000-0200-000000000000}">
      <formula1>$Q$10:$Q$13</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237"/>
  <sheetViews>
    <sheetView topLeftCell="D8" zoomScale="46" zoomScaleNormal="60" workbookViewId="0">
      <pane ySplit="1" topLeftCell="A36" activePane="bottomLeft" state="frozen"/>
      <selection activeCell="N8" sqref="N8"/>
      <selection pane="bottomLeft" activeCell="S38" sqref="S38"/>
    </sheetView>
  </sheetViews>
  <sheetFormatPr baseColWidth="10" defaultColWidth="10.85546875" defaultRowHeight="18"/>
  <cols>
    <col min="1" max="1" width="27.42578125" style="111" customWidth="1"/>
    <col min="2" max="2" width="37" style="111" customWidth="1"/>
    <col min="3" max="3" width="23.140625" style="111" customWidth="1"/>
    <col min="4" max="4" width="26.140625" style="111" bestFit="1" customWidth="1"/>
    <col min="5" max="5" width="34.5703125" style="111" customWidth="1"/>
    <col min="6" max="6" width="26.42578125" style="111" customWidth="1"/>
    <col min="7" max="7" width="28.28515625" style="111" customWidth="1"/>
    <col min="8" max="8" width="33.5703125" style="111" customWidth="1"/>
    <col min="9" max="9" width="31.85546875" style="111" bestFit="1" customWidth="1"/>
    <col min="10" max="10" width="31.85546875" style="111" hidden="1" customWidth="1"/>
    <col min="11" max="11" width="45.140625" style="111" customWidth="1"/>
    <col min="12" max="12" width="26" style="111" hidden="1" customWidth="1"/>
    <col min="13" max="13" width="19.42578125" style="111" customWidth="1"/>
    <col min="14" max="14" width="36.140625" style="209" customWidth="1"/>
    <col min="15" max="18" width="36.140625" style="111" hidden="1" customWidth="1"/>
    <col min="19" max="19" width="36.140625" style="111" customWidth="1"/>
    <col min="20" max="20" width="36.140625" style="210" customWidth="1"/>
    <col min="21" max="21" width="21.140625" style="111" customWidth="1"/>
    <col min="22" max="22" width="21.5703125" style="111" customWidth="1"/>
    <col min="23" max="23" width="20.85546875" style="111" customWidth="1"/>
    <col min="24" max="24" width="29" style="111" customWidth="1"/>
    <col min="25" max="25" width="31.5703125" style="111" bestFit="1" customWidth="1"/>
    <col min="26" max="26" width="32.85546875" style="111" bestFit="1" customWidth="1"/>
    <col min="27" max="27" width="29" style="111" bestFit="1" customWidth="1"/>
    <col min="28" max="28" width="44.5703125" style="111" customWidth="1"/>
    <col min="29" max="29" width="31.140625" style="111" customWidth="1"/>
    <col min="30" max="30" width="36.140625" style="111" customWidth="1"/>
    <col min="31" max="31" width="37" style="207" customWidth="1"/>
    <col min="32" max="32" width="29.42578125" style="111" bestFit="1" customWidth="1"/>
    <col min="33" max="33" width="27.140625" style="111" bestFit="1" customWidth="1"/>
    <col min="34" max="34" width="37.5703125" style="111" bestFit="1" customWidth="1"/>
    <col min="35" max="35" width="34.42578125" style="111" customWidth="1"/>
    <col min="36" max="36" width="41.7109375" style="213" customWidth="1"/>
    <col min="37" max="39" width="30.85546875" style="111" hidden="1" customWidth="1"/>
    <col min="40" max="40" width="26.5703125" style="111" hidden="1" customWidth="1"/>
    <col min="41" max="41" width="30.7109375" style="111" hidden="1" customWidth="1"/>
    <col min="42" max="42" width="46.7109375" style="213" customWidth="1"/>
    <col min="43" max="43" width="32.85546875" style="213" customWidth="1"/>
    <col min="44" max="44" width="42.7109375" style="213" customWidth="1"/>
    <col min="45" max="45" width="29.42578125" style="213" customWidth="1"/>
    <col min="46" max="46" width="32.85546875" style="111" hidden="1" customWidth="1"/>
    <col min="47" max="47" width="26.28515625" style="111" hidden="1" customWidth="1"/>
    <col min="48" max="48" width="31.28515625" style="111" hidden="1" customWidth="1"/>
    <col min="49" max="49" width="24.7109375" style="111" hidden="1" customWidth="1"/>
    <col min="50" max="50" width="24.28515625" style="111" hidden="1" customWidth="1"/>
    <col min="51" max="51" width="27.140625" style="111" hidden="1" customWidth="1"/>
    <col min="52" max="52" width="21.28515625" style="111" hidden="1" customWidth="1"/>
    <col min="53" max="53" width="26.140625" style="111" hidden="1" customWidth="1"/>
    <col min="54" max="54" width="24.28515625" style="111" hidden="1" customWidth="1"/>
    <col min="55" max="55" width="25.5703125" style="111" hidden="1" customWidth="1"/>
    <col min="56" max="56" width="29" style="111" hidden="1" customWidth="1"/>
    <col min="57" max="57" width="26.28515625" style="111" hidden="1" customWidth="1"/>
    <col min="58" max="58" width="40.5703125" style="111" customWidth="1"/>
    <col min="59" max="59" width="10.85546875" style="111" hidden="1" customWidth="1"/>
    <col min="60" max="60" width="12.140625" style="111" hidden="1" customWidth="1"/>
    <col min="61" max="61" width="10.85546875" style="111" hidden="1" customWidth="1"/>
    <col min="62" max="16384" width="10.85546875" style="111"/>
  </cols>
  <sheetData>
    <row r="1" spans="1:59" ht="20.25" hidden="1" customHeight="1">
      <c r="A1" s="313" t="s">
        <v>0</v>
      </c>
      <c r="B1" s="313"/>
      <c r="C1" s="313" t="s">
        <v>1</v>
      </c>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c r="AY1" s="313"/>
      <c r="AZ1" s="313"/>
      <c r="BA1" s="313"/>
      <c r="BB1" s="313"/>
      <c r="BC1" s="313"/>
      <c r="BD1" s="313"/>
      <c r="BE1" s="109" t="s">
        <v>251</v>
      </c>
      <c r="BF1" s="110"/>
    </row>
    <row r="2" spans="1:59" ht="26.25" hidden="1" customHeight="1">
      <c r="A2" s="313"/>
      <c r="B2" s="313"/>
      <c r="C2" s="313" t="s">
        <v>2</v>
      </c>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313"/>
      <c r="AP2" s="313"/>
      <c r="AQ2" s="313"/>
      <c r="AR2" s="313"/>
      <c r="AS2" s="313"/>
      <c r="AT2" s="313"/>
      <c r="AU2" s="313"/>
      <c r="AV2" s="313"/>
      <c r="AW2" s="313"/>
      <c r="AX2" s="313"/>
      <c r="AY2" s="313"/>
      <c r="AZ2" s="313"/>
      <c r="BA2" s="313"/>
      <c r="BB2" s="313"/>
      <c r="BC2" s="313"/>
      <c r="BD2" s="313"/>
      <c r="BE2" s="112" t="s">
        <v>3</v>
      </c>
      <c r="BF2" s="110"/>
    </row>
    <row r="3" spans="1:59" ht="20.25" hidden="1" customHeight="1">
      <c r="A3" s="313"/>
      <c r="B3" s="313"/>
      <c r="C3" s="313" t="s">
        <v>252</v>
      </c>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3"/>
      <c r="AQ3" s="313"/>
      <c r="AR3" s="313"/>
      <c r="AS3" s="313"/>
      <c r="AT3" s="313"/>
      <c r="AU3" s="313"/>
      <c r="AV3" s="313"/>
      <c r="AW3" s="313"/>
      <c r="AX3" s="313"/>
      <c r="AY3" s="313"/>
      <c r="AZ3" s="313"/>
      <c r="BA3" s="313"/>
      <c r="BB3" s="313"/>
      <c r="BC3" s="313"/>
      <c r="BD3" s="313"/>
      <c r="BE3" s="112" t="s">
        <v>250</v>
      </c>
      <c r="BF3" s="110"/>
    </row>
    <row r="4" spans="1:59" ht="18.75" hidden="1" customHeight="1">
      <c r="A4" s="313"/>
      <c r="B4" s="313"/>
      <c r="C4" s="313" t="s">
        <v>249</v>
      </c>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313"/>
      <c r="AO4" s="313"/>
      <c r="AP4" s="313"/>
      <c r="AQ4" s="313"/>
      <c r="AR4" s="313"/>
      <c r="AS4" s="313"/>
      <c r="AT4" s="313"/>
      <c r="AU4" s="313"/>
      <c r="AV4" s="313"/>
      <c r="AW4" s="313"/>
      <c r="AX4" s="313"/>
      <c r="AY4" s="313"/>
      <c r="AZ4" s="313"/>
      <c r="BA4" s="313"/>
      <c r="BB4" s="313"/>
      <c r="BC4" s="313"/>
      <c r="BD4" s="313"/>
      <c r="BE4" s="112" t="s">
        <v>205</v>
      </c>
      <c r="BF4" s="110"/>
    </row>
    <row r="5" spans="1:59" ht="21" hidden="1" customHeight="1">
      <c r="A5" s="313" t="s">
        <v>4</v>
      </c>
      <c r="B5" s="313"/>
      <c r="C5" s="313" t="s">
        <v>1274</v>
      </c>
      <c r="D5" s="313"/>
      <c r="E5" s="313"/>
      <c r="F5" s="313"/>
      <c r="G5" s="313"/>
      <c r="H5" s="313"/>
      <c r="I5" s="313"/>
      <c r="J5" s="313"/>
      <c r="K5" s="313"/>
      <c r="L5" s="313"/>
      <c r="M5" s="313"/>
      <c r="N5" s="313"/>
      <c r="O5" s="313"/>
      <c r="P5" s="313"/>
      <c r="Q5" s="313"/>
      <c r="R5" s="313"/>
      <c r="S5" s="313"/>
      <c r="T5" s="313"/>
      <c r="U5" s="313"/>
      <c r="V5" s="313"/>
      <c r="W5" s="313"/>
      <c r="X5" s="313"/>
      <c r="Y5" s="313"/>
      <c r="Z5" s="313"/>
      <c r="AA5" s="313"/>
      <c r="AB5" s="313"/>
      <c r="AC5" s="313"/>
      <c r="AD5" s="313"/>
      <c r="AE5" s="313"/>
      <c r="AF5" s="313"/>
      <c r="AG5" s="313"/>
      <c r="AH5" s="313"/>
      <c r="AI5" s="313"/>
      <c r="AJ5" s="313"/>
      <c r="AK5" s="313"/>
      <c r="AL5" s="313"/>
      <c r="AM5" s="313"/>
      <c r="AN5" s="313"/>
      <c r="AO5" s="313"/>
      <c r="AP5" s="313"/>
      <c r="AQ5" s="313"/>
      <c r="AR5" s="313"/>
      <c r="AS5" s="313"/>
      <c r="AT5" s="313"/>
      <c r="AU5" s="313"/>
      <c r="AV5" s="313"/>
      <c r="AW5" s="313"/>
      <c r="AX5" s="313"/>
      <c r="AY5" s="313"/>
      <c r="AZ5" s="313"/>
      <c r="BA5" s="313"/>
      <c r="BB5" s="313"/>
      <c r="BC5" s="313"/>
      <c r="BD5" s="313"/>
      <c r="BE5" s="313"/>
      <c r="BF5" s="113"/>
    </row>
    <row r="6" spans="1:59" ht="24.75" hidden="1" customHeight="1">
      <c r="A6" s="320" t="s">
        <v>161</v>
      </c>
      <c r="B6" s="320"/>
      <c r="C6" s="320"/>
      <c r="D6" s="320"/>
      <c r="E6" s="320"/>
      <c r="F6" s="320"/>
      <c r="G6" s="320"/>
      <c r="H6" s="320"/>
      <c r="I6" s="320"/>
      <c r="J6" s="320"/>
      <c r="K6" s="320"/>
      <c r="L6" s="320"/>
      <c r="M6" s="320"/>
      <c r="N6" s="320"/>
      <c r="O6" s="320"/>
      <c r="P6" s="320"/>
      <c r="Q6" s="320"/>
      <c r="R6" s="320"/>
      <c r="S6" s="320"/>
      <c r="T6" s="320"/>
      <c r="U6" s="320"/>
      <c r="V6" s="320"/>
      <c r="W6" s="320"/>
      <c r="X6" s="320"/>
      <c r="Y6" s="320"/>
      <c r="Z6" s="320"/>
      <c r="AA6" s="320"/>
      <c r="AB6" s="321"/>
      <c r="AC6" s="314" t="s">
        <v>87</v>
      </c>
      <c r="AD6" s="315"/>
      <c r="AE6" s="315"/>
      <c r="AF6" s="315"/>
      <c r="AG6" s="315"/>
      <c r="AH6" s="315"/>
      <c r="AI6" s="318" t="s">
        <v>5</v>
      </c>
      <c r="AJ6" s="318"/>
      <c r="AK6" s="318"/>
      <c r="AL6" s="318"/>
      <c r="AM6" s="318"/>
      <c r="AN6" s="318"/>
      <c r="AO6" s="318"/>
      <c r="AP6" s="318"/>
      <c r="AQ6" s="318"/>
      <c r="AR6" s="318"/>
      <c r="AS6" s="318"/>
      <c r="AT6" s="318"/>
      <c r="AU6" s="318"/>
      <c r="AV6" s="318"/>
      <c r="AW6" s="318"/>
      <c r="AX6" s="318"/>
      <c r="AY6" s="318"/>
      <c r="AZ6" s="318"/>
      <c r="BA6" s="318"/>
      <c r="BB6" s="318"/>
      <c r="BC6" s="318"/>
      <c r="BD6" s="318"/>
      <c r="BE6" s="318"/>
      <c r="BF6" s="114"/>
    </row>
    <row r="7" spans="1:59" ht="24" hidden="1" customHeight="1" thickBot="1">
      <c r="A7" s="322"/>
      <c r="B7" s="322"/>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B7" s="323"/>
      <c r="AC7" s="316"/>
      <c r="AD7" s="317"/>
      <c r="AE7" s="317"/>
      <c r="AF7" s="317"/>
      <c r="AG7" s="317"/>
      <c r="AH7" s="317"/>
      <c r="AI7" s="319"/>
      <c r="AJ7" s="319"/>
      <c r="AK7" s="319"/>
      <c r="AL7" s="319"/>
      <c r="AM7" s="319"/>
      <c r="AN7" s="319"/>
      <c r="AO7" s="319"/>
      <c r="AP7" s="319"/>
      <c r="AQ7" s="319"/>
      <c r="AR7" s="319"/>
      <c r="AS7" s="319"/>
      <c r="AT7" s="319"/>
      <c r="AU7" s="319"/>
      <c r="AV7" s="319"/>
      <c r="AW7" s="319"/>
      <c r="AX7" s="319"/>
      <c r="AY7" s="319"/>
      <c r="AZ7" s="319"/>
      <c r="BA7" s="319"/>
      <c r="BB7" s="319"/>
      <c r="BC7" s="319"/>
      <c r="BD7" s="319"/>
      <c r="BE7" s="319"/>
      <c r="BF7" s="114"/>
    </row>
    <row r="8" spans="1:59" ht="108">
      <c r="A8" s="115" t="s">
        <v>92</v>
      </c>
      <c r="B8" s="115" t="s">
        <v>6</v>
      </c>
      <c r="C8" s="115" t="s">
        <v>183</v>
      </c>
      <c r="D8" s="108" t="s">
        <v>143</v>
      </c>
      <c r="E8" s="108" t="s">
        <v>9</v>
      </c>
      <c r="F8" s="115" t="s">
        <v>10</v>
      </c>
      <c r="G8" s="108" t="s">
        <v>141</v>
      </c>
      <c r="H8" s="108" t="s">
        <v>187</v>
      </c>
      <c r="I8" s="108" t="s">
        <v>142</v>
      </c>
      <c r="J8" s="108" t="s">
        <v>192</v>
      </c>
      <c r="K8" s="116" t="s">
        <v>181</v>
      </c>
      <c r="L8" s="116" t="s">
        <v>199</v>
      </c>
      <c r="M8" s="116" t="s">
        <v>11</v>
      </c>
      <c r="N8" s="115" t="s">
        <v>185</v>
      </c>
      <c r="O8" s="108" t="s">
        <v>680</v>
      </c>
      <c r="P8" s="108" t="s">
        <v>681</v>
      </c>
      <c r="Q8" s="108" t="s">
        <v>682</v>
      </c>
      <c r="R8" s="108" t="s">
        <v>683</v>
      </c>
      <c r="S8" s="108" t="s">
        <v>684</v>
      </c>
      <c r="T8" s="215" t="s">
        <v>215</v>
      </c>
      <c r="U8" s="116" t="s">
        <v>144</v>
      </c>
      <c r="V8" s="116" t="s">
        <v>145</v>
      </c>
      <c r="W8" s="115" t="s">
        <v>15</v>
      </c>
      <c r="X8" s="115" t="s">
        <v>16</v>
      </c>
      <c r="Y8" s="115" t="s">
        <v>156</v>
      </c>
      <c r="Z8" s="115" t="s">
        <v>34</v>
      </c>
      <c r="AA8" s="115" t="s">
        <v>97</v>
      </c>
      <c r="AB8" s="115" t="s">
        <v>98</v>
      </c>
      <c r="AC8" s="108" t="s">
        <v>21</v>
      </c>
      <c r="AD8" s="108" t="s">
        <v>146</v>
      </c>
      <c r="AE8" s="117" t="s">
        <v>197</v>
      </c>
      <c r="AF8" s="108" t="s">
        <v>22</v>
      </c>
      <c r="AG8" s="108" t="s">
        <v>23</v>
      </c>
      <c r="AH8" s="108" t="s">
        <v>24</v>
      </c>
      <c r="AI8" s="115" t="s">
        <v>18</v>
      </c>
      <c r="AJ8" s="208" t="s">
        <v>1285</v>
      </c>
      <c r="AK8" s="115" t="s">
        <v>232</v>
      </c>
      <c r="AL8" s="115" t="s">
        <v>233</v>
      </c>
      <c r="AM8" s="115" t="s">
        <v>234</v>
      </c>
      <c r="AN8" s="115" t="s">
        <v>17</v>
      </c>
      <c r="AO8" s="115" t="s">
        <v>19</v>
      </c>
      <c r="AP8" s="208" t="s">
        <v>216</v>
      </c>
      <c r="AQ8" s="208" t="s">
        <v>217</v>
      </c>
      <c r="AR8" s="208" t="s">
        <v>219</v>
      </c>
      <c r="AS8" s="208" t="s">
        <v>220</v>
      </c>
      <c r="AT8" s="115" t="s">
        <v>218</v>
      </c>
      <c r="AU8" s="115" t="s">
        <v>221</v>
      </c>
      <c r="AV8" s="115" t="s">
        <v>222</v>
      </c>
      <c r="AW8" s="115" t="s">
        <v>223</v>
      </c>
      <c r="AX8" s="115" t="s">
        <v>224</v>
      </c>
      <c r="AY8" s="115" t="s">
        <v>225</v>
      </c>
      <c r="AZ8" s="115" t="s">
        <v>226</v>
      </c>
      <c r="BA8" s="115" t="s">
        <v>227</v>
      </c>
      <c r="BB8" s="115" t="s">
        <v>228</v>
      </c>
      <c r="BC8" s="115" t="s">
        <v>229</v>
      </c>
      <c r="BD8" s="115" t="s">
        <v>230</v>
      </c>
      <c r="BE8" s="115" t="s">
        <v>231</v>
      </c>
      <c r="BF8" s="115" t="s">
        <v>239</v>
      </c>
      <c r="BG8" s="115"/>
    </row>
    <row r="9" spans="1:59" s="123" customFormat="1" ht="114.75" customHeight="1">
      <c r="A9" s="306" t="s">
        <v>261</v>
      </c>
      <c r="B9" s="306" t="s">
        <v>262</v>
      </c>
      <c r="C9" s="306" t="s">
        <v>685</v>
      </c>
      <c r="D9" s="306" t="s">
        <v>686</v>
      </c>
      <c r="E9" s="306" t="s">
        <v>687</v>
      </c>
      <c r="F9" s="324">
        <v>202400000003934</v>
      </c>
      <c r="G9" s="306" t="s">
        <v>688</v>
      </c>
      <c r="H9" s="306" t="s">
        <v>689</v>
      </c>
      <c r="I9" s="306" t="s">
        <v>690</v>
      </c>
      <c r="J9" s="325">
        <v>1</v>
      </c>
      <c r="K9" s="122" t="s">
        <v>691</v>
      </c>
      <c r="L9" s="122" t="s">
        <v>692</v>
      </c>
      <c r="M9" s="122" t="s">
        <v>693</v>
      </c>
      <c r="N9" s="125">
        <v>3.9E-2</v>
      </c>
      <c r="O9" s="118">
        <v>9.0000000000000011E-3</v>
      </c>
      <c r="P9" s="119"/>
      <c r="Q9" s="119"/>
      <c r="R9" s="119"/>
      <c r="S9" s="118">
        <f>SUM(O9:R9)</f>
        <v>9.0000000000000011E-3</v>
      </c>
      <c r="T9" s="120">
        <f>+S9/N9</f>
        <v>0.23076923076923081</v>
      </c>
      <c r="U9" s="121">
        <v>46054</v>
      </c>
      <c r="V9" s="121">
        <v>46357</v>
      </c>
      <c r="W9" s="122">
        <f>11*30</f>
        <v>330</v>
      </c>
      <c r="X9" s="122">
        <v>1059626</v>
      </c>
      <c r="Y9" s="122">
        <v>11</v>
      </c>
      <c r="Z9" s="330" t="s">
        <v>694</v>
      </c>
      <c r="AA9" s="306" t="s">
        <v>695</v>
      </c>
      <c r="AB9" s="306" t="s">
        <v>696</v>
      </c>
      <c r="AC9" s="331" t="s">
        <v>697</v>
      </c>
      <c r="AD9" s="306" t="s">
        <v>698</v>
      </c>
      <c r="AE9" s="328">
        <v>800000000</v>
      </c>
      <c r="AF9" s="306" t="s">
        <v>75</v>
      </c>
      <c r="AG9" s="306" t="s">
        <v>52</v>
      </c>
      <c r="AH9" s="329">
        <v>46053</v>
      </c>
      <c r="AI9" s="96">
        <f>79924186.67*2</f>
        <v>159848373.34</v>
      </c>
      <c r="AJ9" s="303">
        <v>800000000</v>
      </c>
      <c r="AK9" s="119"/>
      <c r="AL9" s="119"/>
      <c r="AM9" s="119"/>
      <c r="AN9" s="122" t="s">
        <v>699</v>
      </c>
      <c r="AO9" s="306" t="s">
        <v>700</v>
      </c>
      <c r="AP9" s="303">
        <v>394924074</v>
      </c>
      <c r="AQ9" s="305">
        <f>+AP9/AJ9</f>
        <v>0.4936550925</v>
      </c>
      <c r="AR9" s="303">
        <v>69465120</v>
      </c>
      <c r="AS9" s="305">
        <f>+AR9/AJ9</f>
        <v>8.6831400000000003E-2</v>
      </c>
      <c r="AT9" s="119"/>
      <c r="AU9" s="119"/>
      <c r="AV9" s="119"/>
      <c r="AW9" s="119"/>
      <c r="AX9" s="119"/>
      <c r="AY9" s="119"/>
      <c r="AZ9" s="119"/>
      <c r="BA9" s="119"/>
      <c r="BB9" s="119"/>
      <c r="BC9" s="119"/>
      <c r="BD9" s="119"/>
      <c r="BE9" s="119"/>
      <c r="BF9" s="356"/>
    </row>
    <row r="10" spans="1:59" s="123" customFormat="1" ht="108" customHeight="1">
      <c r="A10" s="306"/>
      <c r="B10" s="306"/>
      <c r="C10" s="306"/>
      <c r="D10" s="306"/>
      <c r="E10" s="306"/>
      <c r="F10" s="324"/>
      <c r="G10" s="306"/>
      <c r="H10" s="306"/>
      <c r="I10" s="306"/>
      <c r="J10" s="325"/>
      <c r="K10" s="122" t="s">
        <v>701</v>
      </c>
      <c r="L10" s="122" t="s">
        <v>692</v>
      </c>
      <c r="M10" s="122" t="s">
        <v>702</v>
      </c>
      <c r="N10" s="125">
        <v>0.22500000000000001</v>
      </c>
      <c r="O10" s="118">
        <v>3.6000000000000004E-2</v>
      </c>
      <c r="P10" s="119"/>
      <c r="Q10" s="119"/>
      <c r="R10" s="119"/>
      <c r="S10" s="118">
        <f t="shared" ref="S10:S76" si="0">SUM(O10:R10)</f>
        <v>3.6000000000000004E-2</v>
      </c>
      <c r="T10" s="120">
        <f t="shared" ref="T10:T76" si="1">+S10/N10</f>
        <v>0.16</v>
      </c>
      <c r="U10" s="121">
        <v>46054</v>
      </c>
      <c r="V10" s="121">
        <v>46357</v>
      </c>
      <c r="W10" s="122">
        <f t="shared" ref="W10" si="2">11*30</f>
        <v>330</v>
      </c>
      <c r="X10" s="122">
        <v>1059626</v>
      </c>
      <c r="Y10" s="122">
        <v>11</v>
      </c>
      <c r="Z10" s="330"/>
      <c r="AA10" s="306"/>
      <c r="AB10" s="306"/>
      <c r="AC10" s="331"/>
      <c r="AD10" s="306"/>
      <c r="AE10" s="328"/>
      <c r="AF10" s="306"/>
      <c r="AG10" s="306"/>
      <c r="AH10" s="330"/>
      <c r="AI10" s="96">
        <v>399041173.32999998</v>
      </c>
      <c r="AJ10" s="303"/>
      <c r="AK10" s="119"/>
      <c r="AL10" s="119"/>
      <c r="AM10" s="119"/>
      <c r="AN10" s="122" t="s">
        <v>699</v>
      </c>
      <c r="AO10" s="306"/>
      <c r="AP10" s="303"/>
      <c r="AQ10" s="305"/>
      <c r="AR10" s="303"/>
      <c r="AS10" s="305"/>
      <c r="AT10" s="119"/>
      <c r="AU10" s="119"/>
      <c r="AV10" s="119"/>
      <c r="AW10" s="119"/>
      <c r="AX10" s="119"/>
      <c r="AY10" s="119"/>
      <c r="AZ10" s="119"/>
      <c r="BA10" s="119"/>
      <c r="BB10" s="119"/>
      <c r="BC10" s="119"/>
      <c r="BD10" s="119"/>
      <c r="BE10" s="119"/>
      <c r="BF10" s="357"/>
    </row>
    <row r="11" spans="1:59" s="123" customFormat="1" ht="216">
      <c r="A11" s="306"/>
      <c r="B11" s="306"/>
      <c r="C11" s="306"/>
      <c r="D11" s="306"/>
      <c r="E11" s="306"/>
      <c r="F11" s="324"/>
      <c r="G11" s="306"/>
      <c r="H11" s="306"/>
      <c r="I11" s="306"/>
      <c r="J11" s="325"/>
      <c r="K11" s="122" t="s">
        <v>703</v>
      </c>
      <c r="L11" s="122" t="s">
        <v>692</v>
      </c>
      <c r="M11" s="122" t="s">
        <v>704</v>
      </c>
      <c r="N11" s="125">
        <v>0.05</v>
      </c>
      <c r="O11" s="118" t="s">
        <v>308</v>
      </c>
      <c r="P11" s="119"/>
      <c r="Q11" s="119"/>
      <c r="R11" s="119"/>
      <c r="S11" s="118" t="s">
        <v>308</v>
      </c>
      <c r="T11" s="120" t="s">
        <v>308</v>
      </c>
      <c r="U11" s="121">
        <v>46235</v>
      </c>
      <c r="V11" s="121">
        <v>46357</v>
      </c>
      <c r="W11" s="122">
        <f>5*30</f>
        <v>150</v>
      </c>
      <c r="X11" s="122">
        <v>1059626</v>
      </c>
      <c r="Y11" s="122">
        <v>11</v>
      </c>
      <c r="Z11" s="330"/>
      <c r="AA11" s="306"/>
      <c r="AB11" s="306"/>
      <c r="AC11" s="331"/>
      <c r="AD11" s="306"/>
      <c r="AE11" s="328"/>
      <c r="AF11" s="306"/>
      <c r="AG11" s="306"/>
      <c r="AH11" s="330"/>
      <c r="AI11" s="96">
        <f>81473333.34*2</f>
        <v>162946666.68000001</v>
      </c>
      <c r="AJ11" s="303"/>
      <c r="AK11" s="119"/>
      <c r="AL11" s="119"/>
      <c r="AM11" s="119"/>
      <c r="AN11" s="122" t="s">
        <v>699</v>
      </c>
      <c r="AO11" s="306"/>
      <c r="AP11" s="303"/>
      <c r="AQ11" s="305"/>
      <c r="AR11" s="303"/>
      <c r="AS11" s="305"/>
      <c r="AT11" s="119"/>
      <c r="AU11" s="119"/>
      <c r="AV11" s="119"/>
      <c r="AW11" s="119"/>
      <c r="AX11" s="119"/>
      <c r="AY11" s="119"/>
      <c r="AZ11" s="119"/>
      <c r="BA11" s="119"/>
      <c r="BB11" s="119"/>
      <c r="BC11" s="119"/>
      <c r="BD11" s="119"/>
      <c r="BE11" s="119"/>
      <c r="BF11" s="357"/>
    </row>
    <row r="12" spans="1:59" s="123" customFormat="1" ht="90">
      <c r="A12" s="306"/>
      <c r="B12" s="306"/>
      <c r="C12" s="306"/>
      <c r="D12" s="306"/>
      <c r="E12" s="306"/>
      <c r="F12" s="324"/>
      <c r="G12" s="306"/>
      <c r="H12" s="306"/>
      <c r="I12" s="306"/>
      <c r="J12" s="325"/>
      <c r="K12" s="122" t="s">
        <v>705</v>
      </c>
      <c r="L12" s="122" t="s">
        <v>692</v>
      </c>
      <c r="M12" s="122" t="s">
        <v>706</v>
      </c>
      <c r="N12" s="125">
        <v>0.05</v>
      </c>
      <c r="O12" s="118" t="s">
        <v>308</v>
      </c>
      <c r="P12" s="119"/>
      <c r="Q12" s="119"/>
      <c r="R12" s="119"/>
      <c r="S12" s="118" t="s">
        <v>308</v>
      </c>
      <c r="T12" s="120" t="s">
        <v>308</v>
      </c>
      <c r="U12" s="121">
        <v>46235</v>
      </c>
      <c r="V12" s="121">
        <v>46357</v>
      </c>
      <c r="W12" s="122">
        <f>5*30</f>
        <v>150</v>
      </c>
      <c r="X12" s="122">
        <v>1059626</v>
      </c>
      <c r="Y12" s="122">
        <v>11</v>
      </c>
      <c r="Z12" s="330"/>
      <c r="AA12" s="306"/>
      <c r="AB12" s="306"/>
      <c r="AC12" s="331"/>
      <c r="AD12" s="306"/>
      <c r="AE12" s="328"/>
      <c r="AF12" s="306"/>
      <c r="AG12" s="306"/>
      <c r="AH12" s="330"/>
      <c r="AI12" s="96">
        <f>40736666.67*2</f>
        <v>81473333.340000004</v>
      </c>
      <c r="AJ12" s="303"/>
      <c r="AK12" s="119"/>
      <c r="AL12" s="119"/>
      <c r="AM12" s="119"/>
      <c r="AN12" s="122" t="s">
        <v>699</v>
      </c>
      <c r="AO12" s="306"/>
      <c r="AP12" s="303"/>
      <c r="AQ12" s="305"/>
      <c r="AR12" s="303"/>
      <c r="AS12" s="305"/>
      <c r="AT12" s="119"/>
      <c r="AU12" s="119"/>
      <c r="AV12" s="119"/>
      <c r="AW12" s="119"/>
      <c r="AX12" s="119"/>
      <c r="AY12" s="119"/>
      <c r="AZ12" s="119"/>
      <c r="BA12" s="119"/>
      <c r="BB12" s="119"/>
      <c r="BC12" s="119"/>
      <c r="BD12" s="119"/>
      <c r="BE12" s="119"/>
      <c r="BF12" s="358"/>
    </row>
    <row r="13" spans="1:59" s="123" customFormat="1" ht="86.25" customHeight="1">
      <c r="A13" s="122"/>
      <c r="B13" s="122"/>
      <c r="C13" s="122"/>
      <c r="D13" s="122"/>
      <c r="E13" s="122"/>
      <c r="F13" s="124"/>
      <c r="G13" s="122"/>
      <c r="H13" s="122"/>
      <c r="I13" s="122"/>
      <c r="J13" s="95"/>
      <c r="K13" s="302" t="s">
        <v>1275</v>
      </c>
      <c r="L13" s="302"/>
      <c r="M13" s="302"/>
      <c r="N13" s="302"/>
      <c r="O13" s="302"/>
      <c r="P13" s="302"/>
      <c r="Q13" s="302"/>
      <c r="R13" s="302"/>
      <c r="S13" s="302"/>
      <c r="T13" s="128">
        <f>AVERAGE(T9:T12)</f>
        <v>0.19538461538461541</v>
      </c>
      <c r="U13" s="121"/>
      <c r="V13" s="121"/>
      <c r="W13" s="122"/>
      <c r="X13" s="122"/>
      <c r="Y13" s="122"/>
      <c r="Z13" s="126"/>
      <c r="AA13" s="122"/>
      <c r="AB13" s="122"/>
      <c r="AC13" s="127"/>
      <c r="AD13" s="122"/>
      <c r="AE13" s="312" t="s">
        <v>1276</v>
      </c>
      <c r="AF13" s="312"/>
      <c r="AG13" s="312"/>
      <c r="AH13" s="312"/>
      <c r="AI13" s="312"/>
      <c r="AJ13" s="129">
        <f>+AJ9</f>
        <v>800000000</v>
      </c>
      <c r="AK13" s="119"/>
      <c r="AL13" s="119"/>
      <c r="AM13" s="119"/>
      <c r="AN13" s="122"/>
      <c r="AO13" s="122"/>
      <c r="AP13" s="129">
        <f>+AP9</f>
        <v>394924074</v>
      </c>
      <c r="AQ13" s="130">
        <f>+AQ9</f>
        <v>0.4936550925</v>
      </c>
      <c r="AR13" s="129">
        <f>+AR9</f>
        <v>69465120</v>
      </c>
      <c r="AS13" s="130">
        <f t="shared" ref="AS13" si="3">+AS9</f>
        <v>8.6831400000000003E-2</v>
      </c>
      <c r="AT13" s="119"/>
      <c r="AU13" s="119"/>
      <c r="AV13" s="119"/>
      <c r="AW13" s="119"/>
      <c r="AX13" s="119"/>
      <c r="AY13" s="119"/>
      <c r="AZ13" s="119"/>
      <c r="BA13" s="119"/>
      <c r="BB13" s="119"/>
      <c r="BC13" s="119"/>
      <c r="BD13" s="119"/>
      <c r="BE13" s="119"/>
      <c r="BF13" s="126"/>
    </row>
    <row r="14" spans="1:59" s="123" customFormat="1" ht="72">
      <c r="A14" s="310" t="s">
        <v>275</v>
      </c>
      <c r="B14" s="310" t="s">
        <v>276</v>
      </c>
      <c r="C14" s="310" t="s">
        <v>277</v>
      </c>
      <c r="D14" s="310" t="s">
        <v>707</v>
      </c>
      <c r="E14" s="310" t="s">
        <v>708</v>
      </c>
      <c r="F14" s="326">
        <v>2024130010263</v>
      </c>
      <c r="G14" s="310" t="s">
        <v>709</v>
      </c>
      <c r="H14" s="310" t="s">
        <v>710</v>
      </c>
      <c r="I14" s="310" t="s">
        <v>711</v>
      </c>
      <c r="J14" s="310"/>
      <c r="K14" s="131" t="s">
        <v>712</v>
      </c>
      <c r="L14" s="216" t="s">
        <v>692</v>
      </c>
      <c r="M14" s="131" t="s">
        <v>713</v>
      </c>
      <c r="N14" s="131" t="s">
        <v>270</v>
      </c>
      <c r="O14" s="118" t="s">
        <v>308</v>
      </c>
      <c r="P14" s="119"/>
      <c r="Q14" s="119"/>
      <c r="R14" s="119"/>
      <c r="S14" s="118">
        <f t="shared" si="0"/>
        <v>0</v>
      </c>
      <c r="T14" s="131" t="s">
        <v>270</v>
      </c>
      <c r="U14" s="131" t="s">
        <v>270</v>
      </c>
      <c r="V14" s="131" t="s">
        <v>270</v>
      </c>
      <c r="W14" s="131" t="s">
        <v>270</v>
      </c>
      <c r="X14" s="131" t="s">
        <v>270</v>
      </c>
      <c r="Y14" s="131" t="s">
        <v>270</v>
      </c>
      <c r="Z14" s="310" t="s">
        <v>714</v>
      </c>
      <c r="AA14" s="310" t="s">
        <v>715</v>
      </c>
      <c r="AB14" s="310" t="s">
        <v>716</v>
      </c>
      <c r="AC14" s="131" t="s">
        <v>270</v>
      </c>
      <c r="AD14" s="131" t="s">
        <v>270</v>
      </c>
      <c r="AE14" s="131" t="s">
        <v>270</v>
      </c>
      <c r="AF14" s="131" t="s">
        <v>270</v>
      </c>
      <c r="AG14" s="131" t="s">
        <v>270</v>
      </c>
      <c r="AH14" s="131" t="s">
        <v>270</v>
      </c>
      <c r="AI14" s="327">
        <v>1</v>
      </c>
      <c r="AJ14" s="327">
        <v>1</v>
      </c>
      <c r="AK14" s="119"/>
      <c r="AL14" s="119"/>
      <c r="AM14" s="119"/>
      <c r="AN14" s="310" t="s">
        <v>699</v>
      </c>
      <c r="AO14" s="310" t="s">
        <v>717</v>
      </c>
      <c r="AP14" s="327">
        <v>0</v>
      </c>
      <c r="AQ14" s="327">
        <v>0</v>
      </c>
      <c r="AR14" s="327">
        <v>0</v>
      </c>
      <c r="AS14" s="327">
        <v>0</v>
      </c>
      <c r="AT14" s="119"/>
      <c r="AU14" s="119"/>
      <c r="AV14" s="119"/>
      <c r="AW14" s="119"/>
      <c r="AX14" s="119"/>
      <c r="AY14" s="119"/>
      <c r="AZ14" s="119"/>
      <c r="BA14" s="119"/>
      <c r="BB14" s="119"/>
      <c r="BC14" s="119"/>
      <c r="BD14" s="119"/>
      <c r="BE14" s="119"/>
      <c r="BF14" s="359"/>
    </row>
    <row r="15" spans="1:59" s="123" customFormat="1" ht="72">
      <c r="A15" s="310"/>
      <c r="B15" s="310"/>
      <c r="C15" s="310"/>
      <c r="D15" s="310" t="s">
        <v>718</v>
      </c>
      <c r="E15" s="310"/>
      <c r="F15" s="326"/>
      <c r="G15" s="310"/>
      <c r="H15" s="310"/>
      <c r="I15" s="310"/>
      <c r="J15" s="310"/>
      <c r="K15" s="131" t="s">
        <v>719</v>
      </c>
      <c r="L15" s="131" t="s">
        <v>692</v>
      </c>
      <c r="M15" s="131" t="s">
        <v>713</v>
      </c>
      <c r="N15" s="131" t="s">
        <v>270</v>
      </c>
      <c r="O15" s="118" t="s">
        <v>308</v>
      </c>
      <c r="P15" s="119"/>
      <c r="Q15" s="119"/>
      <c r="R15" s="119"/>
      <c r="S15" s="118">
        <f t="shared" si="0"/>
        <v>0</v>
      </c>
      <c r="T15" s="131" t="s">
        <v>270</v>
      </c>
      <c r="U15" s="131" t="s">
        <v>270</v>
      </c>
      <c r="V15" s="131" t="s">
        <v>270</v>
      </c>
      <c r="W15" s="131" t="s">
        <v>270</v>
      </c>
      <c r="X15" s="131" t="s">
        <v>270</v>
      </c>
      <c r="Y15" s="131" t="s">
        <v>270</v>
      </c>
      <c r="Z15" s="310"/>
      <c r="AA15" s="310"/>
      <c r="AB15" s="310"/>
      <c r="AC15" s="131" t="s">
        <v>270</v>
      </c>
      <c r="AD15" s="131" t="s">
        <v>270</v>
      </c>
      <c r="AE15" s="131" t="s">
        <v>270</v>
      </c>
      <c r="AF15" s="131" t="s">
        <v>270</v>
      </c>
      <c r="AG15" s="131" t="s">
        <v>270</v>
      </c>
      <c r="AH15" s="131" t="s">
        <v>270</v>
      </c>
      <c r="AI15" s="327"/>
      <c r="AJ15" s="327"/>
      <c r="AK15" s="119"/>
      <c r="AL15" s="119"/>
      <c r="AM15" s="119"/>
      <c r="AN15" s="310"/>
      <c r="AO15" s="310"/>
      <c r="AP15" s="327"/>
      <c r="AQ15" s="327"/>
      <c r="AR15" s="327"/>
      <c r="AS15" s="327"/>
      <c r="AT15" s="119"/>
      <c r="AU15" s="119"/>
      <c r="AV15" s="119"/>
      <c r="AW15" s="119"/>
      <c r="AX15" s="119"/>
      <c r="AY15" s="119"/>
      <c r="AZ15" s="119"/>
      <c r="BA15" s="119"/>
      <c r="BB15" s="119"/>
      <c r="BC15" s="119"/>
      <c r="BD15" s="119"/>
      <c r="BE15" s="119"/>
      <c r="BF15" s="360"/>
    </row>
    <row r="16" spans="1:59" s="123" customFormat="1" ht="126">
      <c r="A16" s="310"/>
      <c r="B16" s="310"/>
      <c r="C16" s="310"/>
      <c r="D16" s="310"/>
      <c r="E16" s="310"/>
      <c r="F16" s="326"/>
      <c r="G16" s="310"/>
      <c r="H16" s="310"/>
      <c r="I16" s="310"/>
      <c r="J16" s="310"/>
      <c r="K16" s="131" t="s">
        <v>720</v>
      </c>
      <c r="L16" s="131" t="s">
        <v>692</v>
      </c>
      <c r="M16" s="131" t="s">
        <v>721</v>
      </c>
      <c r="N16" s="131">
        <v>10</v>
      </c>
      <c r="O16" s="118" t="s">
        <v>308</v>
      </c>
      <c r="P16" s="119"/>
      <c r="Q16" s="119"/>
      <c r="R16" s="119"/>
      <c r="S16" s="118">
        <f t="shared" si="0"/>
        <v>0</v>
      </c>
      <c r="T16" s="118" t="s">
        <v>308</v>
      </c>
      <c r="U16" s="121">
        <v>46113</v>
      </c>
      <c r="V16" s="121">
        <v>46357</v>
      </c>
      <c r="W16" s="124">
        <f>9*30</f>
        <v>270</v>
      </c>
      <c r="X16" s="131" t="s">
        <v>722</v>
      </c>
      <c r="Y16" s="131" t="s">
        <v>723</v>
      </c>
      <c r="Z16" s="310"/>
      <c r="AA16" s="310"/>
      <c r="AB16" s="310"/>
      <c r="AC16" s="131" t="s">
        <v>724</v>
      </c>
      <c r="AD16" s="131" t="s">
        <v>308</v>
      </c>
      <c r="AE16" s="131" t="s">
        <v>308</v>
      </c>
      <c r="AF16" s="131" t="s">
        <v>308</v>
      </c>
      <c r="AG16" s="131" t="s">
        <v>308</v>
      </c>
      <c r="AH16" s="131" t="s">
        <v>308</v>
      </c>
      <c r="AI16" s="327"/>
      <c r="AJ16" s="327"/>
      <c r="AK16" s="119"/>
      <c r="AL16" s="119"/>
      <c r="AM16" s="119"/>
      <c r="AN16" s="310"/>
      <c r="AO16" s="310"/>
      <c r="AP16" s="327"/>
      <c r="AQ16" s="327"/>
      <c r="AR16" s="327"/>
      <c r="AS16" s="327"/>
      <c r="AT16" s="119"/>
      <c r="AU16" s="119"/>
      <c r="AV16" s="119"/>
      <c r="AW16" s="119"/>
      <c r="AX16" s="119"/>
      <c r="AY16" s="119"/>
      <c r="AZ16" s="119"/>
      <c r="BA16" s="119"/>
      <c r="BB16" s="119"/>
      <c r="BC16" s="119"/>
      <c r="BD16" s="119"/>
      <c r="BE16" s="119"/>
      <c r="BF16" s="361"/>
    </row>
    <row r="17" spans="1:58" s="123" customFormat="1" ht="60" customHeight="1">
      <c r="A17" s="131"/>
      <c r="B17" s="131"/>
      <c r="C17" s="131"/>
      <c r="D17" s="131"/>
      <c r="E17" s="131"/>
      <c r="F17" s="132"/>
      <c r="G17" s="131"/>
      <c r="H17" s="131"/>
      <c r="I17" s="131"/>
      <c r="J17" s="131"/>
      <c r="K17" s="302" t="s">
        <v>1325</v>
      </c>
      <c r="L17" s="302"/>
      <c r="M17" s="302"/>
      <c r="N17" s="302"/>
      <c r="O17" s="302"/>
      <c r="P17" s="302"/>
      <c r="Q17" s="302"/>
      <c r="R17" s="302"/>
      <c r="S17" s="302"/>
      <c r="T17" s="128" t="s">
        <v>308</v>
      </c>
      <c r="U17" s="121"/>
      <c r="V17" s="121"/>
      <c r="W17" s="124"/>
      <c r="X17" s="131"/>
      <c r="Y17" s="131"/>
      <c r="Z17" s="131"/>
      <c r="AA17" s="131"/>
      <c r="AB17" s="131"/>
      <c r="AC17" s="131"/>
      <c r="AD17" s="131"/>
      <c r="AE17" s="131"/>
      <c r="AF17" s="131"/>
      <c r="AG17" s="131"/>
      <c r="AH17" s="131"/>
      <c r="AI17" s="133"/>
      <c r="AJ17" s="135"/>
      <c r="AK17" s="119"/>
      <c r="AL17" s="119"/>
      <c r="AM17" s="119"/>
      <c r="AN17" s="131"/>
      <c r="AO17" s="131"/>
      <c r="AP17" s="136"/>
      <c r="AQ17" s="136"/>
      <c r="AR17" s="136"/>
      <c r="AS17" s="136"/>
      <c r="AT17" s="119"/>
      <c r="AU17" s="119"/>
      <c r="AV17" s="119"/>
      <c r="AW17" s="119"/>
      <c r="AX17" s="119"/>
      <c r="AY17" s="119"/>
      <c r="AZ17" s="119"/>
      <c r="BA17" s="119"/>
      <c r="BB17" s="119"/>
      <c r="BC17" s="119"/>
      <c r="BD17" s="119"/>
      <c r="BE17" s="119"/>
      <c r="BF17" s="131"/>
    </row>
    <row r="18" spans="1:58" s="123" customFormat="1" ht="126">
      <c r="A18" s="306" t="s">
        <v>288</v>
      </c>
      <c r="B18" s="306" t="s">
        <v>725</v>
      </c>
      <c r="C18" s="332" t="s">
        <v>290</v>
      </c>
      <c r="D18" s="306" t="s">
        <v>293</v>
      </c>
      <c r="E18" s="306" t="s">
        <v>726</v>
      </c>
      <c r="F18" s="324">
        <v>2024130010205</v>
      </c>
      <c r="G18" s="306" t="s">
        <v>727</v>
      </c>
      <c r="H18" s="306" t="s">
        <v>728</v>
      </c>
      <c r="I18" s="306" t="s">
        <v>729</v>
      </c>
      <c r="J18" s="95"/>
      <c r="K18" s="122" t="s">
        <v>730</v>
      </c>
      <c r="L18" s="122" t="s">
        <v>692</v>
      </c>
      <c r="M18" s="122" t="s">
        <v>731</v>
      </c>
      <c r="N18" s="139">
        <v>4.0000000000000001E-3</v>
      </c>
      <c r="O18" s="118">
        <v>4.0000000000000001E-3</v>
      </c>
      <c r="P18" s="119"/>
      <c r="Q18" s="119"/>
      <c r="R18" s="119"/>
      <c r="S18" s="118">
        <f t="shared" si="0"/>
        <v>4.0000000000000001E-3</v>
      </c>
      <c r="T18" s="120">
        <f t="shared" si="1"/>
        <v>1</v>
      </c>
      <c r="U18" s="121">
        <v>46023</v>
      </c>
      <c r="V18" s="121">
        <v>46082</v>
      </c>
      <c r="W18" s="122">
        <v>90</v>
      </c>
      <c r="X18" s="122" t="s">
        <v>722</v>
      </c>
      <c r="Y18" s="122" t="s">
        <v>723</v>
      </c>
      <c r="Z18" s="306" t="s">
        <v>714</v>
      </c>
      <c r="AA18" s="122" t="s">
        <v>732</v>
      </c>
      <c r="AB18" s="122" t="s">
        <v>733</v>
      </c>
      <c r="AC18" s="122" t="s">
        <v>734</v>
      </c>
      <c r="AD18" s="306" t="s">
        <v>735</v>
      </c>
      <c r="AE18" s="334">
        <v>2000000000</v>
      </c>
      <c r="AF18" s="306" t="s">
        <v>75</v>
      </c>
      <c r="AG18" s="306" t="s">
        <v>736</v>
      </c>
      <c r="AH18" s="137"/>
      <c r="AI18" s="173">
        <v>99000000</v>
      </c>
      <c r="AJ18" s="106">
        <v>143000000</v>
      </c>
      <c r="AK18" s="119"/>
      <c r="AL18" s="119"/>
      <c r="AM18" s="119"/>
      <c r="AN18" s="306" t="s">
        <v>736</v>
      </c>
      <c r="AO18" s="306" t="s">
        <v>737</v>
      </c>
      <c r="AP18" s="303">
        <v>1174749250</v>
      </c>
      <c r="AQ18" s="305">
        <f>+AP18/AJ26</f>
        <v>0.58737462500000004</v>
      </c>
      <c r="AR18" s="303">
        <v>184841830</v>
      </c>
      <c r="AS18" s="305">
        <f>+AR18/AJ26</f>
        <v>9.2420915000000006E-2</v>
      </c>
      <c r="AT18" s="119"/>
      <c r="AU18" s="119"/>
      <c r="AV18" s="119"/>
      <c r="AW18" s="119"/>
      <c r="AX18" s="119"/>
      <c r="AY18" s="119"/>
      <c r="AZ18" s="119"/>
      <c r="BA18" s="119"/>
      <c r="BB18" s="119"/>
      <c r="BC18" s="119"/>
      <c r="BD18" s="119"/>
      <c r="BE18" s="119"/>
      <c r="BF18" s="362"/>
    </row>
    <row r="19" spans="1:58" s="123" customFormat="1" ht="126">
      <c r="A19" s="306"/>
      <c r="B19" s="306"/>
      <c r="C19" s="332"/>
      <c r="D19" s="306"/>
      <c r="E19" s="306"/>
      <c r="F19" s="324"/>
      <c r="G19" s="306"/>
      <c r="H19" s="306"/>
      <c r="I19" s="306"/>
      <c r="J19" s="95"/>
      <c r="K19" s="122" t="s">
        <v>738</v>
      </c>
      <c r="L19" s="122" t="s">
        <v>692</v>
      </c>
      <c r="M19" s="122" t="s">
        <v>739</v>
      </c>
      <c r="N19" s="139">
        <v>4.0000000000000001E-3</v>
      </c>
      <c r="O19" s="118">
        <v>2E-3</v>
      </c>
      <c r="P19" s="119"/>
      <c r="Q19" s="119"/>
      <c r="R19" s="119"/>
      <c r="S19" s="118">
        <f t="shared" si="0"/>
        <v>2E-3</v>
      </c>
      <c r="T19" s="120">
        <f t="shared" si="1"/>
        <v>0.5</v>
      </c>
      <c r="U19" s="121">
        <v>46023</v>
      </c>
      <c r="V19" s="121">
        <v>46174</v>
      </c>
      <c r="W19" s="122">
        <v>180</v>
      </c>
      <c r="X19" s="122" t="s">
        <v>722</v>
      </c>
      <c r="Y19" s="122" t="s">
        <v>723</v>
      </c>
      <c r="Z19" s="306"/>
      <c r="AA19" s="122" t="s">
        <v>732</v>
      </c>
      <c r="AB19" s="122" t="s">
        <v>733</v>
      </c>
      <c r="AC19" s="122" t="s">
        <v>734</v>
      </c>
      <c r="AD19" s="306"/>
      <c r="AE19" s="334"/>
      <c r="AF19" s="306"/>
      <c r="AG19" s="306"/>
      <c r="AH19" s="137"/>
      <c r="AI19" s="138">
        <v>93500000</v>
      </c>
      <c r="AJ19" s="106">
        <v>123750000</v>
      </c>
      <c r="AK19" s="119"/>
      <c r="AL19" s="119"/>
      <c r="AM19" s="119"/>
      <c r="AN19" s="306"/>
      <c r="AO19" s="306"/>
      <c r="AP19" s="303"/>
      <c r="AQ19" s="305"/>
      <c r="AR19" s="303"/>
      <c r="AS19" s="305"/>
      <c r="AT19" s="119"/>
      <c r="AU19" s="119"/>
      <c r="AV19" s="119"/>
      <c r="AW19" s="119"/>
      <c r="AX19" s="119"/>
      <c r="AY19" s="119"/>
      <c r="AZ19" s="119"/>
      <c r="BA19" s="119"/>
      <c r="BB19" s="119"/>
      <c r="BC19" s="119"/>
      <c r="BD19" s="119"/>
      <c r="BE19" s="119"/>
      <c r="BF19" s="363"/>
    </row>
    <row r="20" spans="1:58" s="123" customFormat="1" ht="144">
      <c r="A20" s="306"/>
      <c r="B20" s="306"/>
      <c r="C20" s="332"/>
      <c r="D20" s="306"/>
      <c r="E20" s="306"/>
      <c r="F20" s="324"/>
      <c r="G20" s="306"/>
      <c r="H20" s="306"/>
      <c r="I20" s="306"/>
      <c r="J20" s="95"/>
      <c r="K20" s="122" t="s">
        <v>740</v>
      </c>
      <c r="L20" s="122" t="s">
        <v>692</v>
      </c>
      <c r="M20" s="122" t="s">
        <v>741</v>
      </c>
      <c r="N20" s="139">
        <v>0.108</v>
      </c>
      <c r="O20" s="118">
        <v>3.5999999999999997E-2</v>
      </c>
      <c r="P20" s="119"/>
      <c r="Q20" s="119"/>
      <c r="R20" s="119"/>
      <c r="S20" s="118">
        <f t="shared" si="0"/>
        <v>3.5999999999999997E-2</v>
      </c>
      <c r="T20" s="120">
        <f t="shared" si="1"/>
        <v>0.33333333333333331</v>
      </c>
      <c r="U20" s="121">
        <v>46023</v>
      </c>
      <c r="V20" s="121">
        <v>46266</v>
      </c>
      <c r="W20" s="122">
        <v>270</v>
      </c>
      <c r="X20" s="122" t="s">
        <v>722</v>
      </c>
      <c r="Y20" s="122" t="s">
        <v>723</v>
      </c>
      <c r="Z20" s="306"/>
      <c r="AA20" s="122" t="s">
        <v>742</v>
      </c>
      <c r="AB20" s="122" t="s">
        <v>743</v>
      </c>
      <c r="AC20" s="122" t="s">
        <v>734</v>
      </c>
      <c r="AD20" s="306"/>
      <c r="AE20" s="334"/>
      <c r="AF20" s="306"/>
      <c r="AG20" s="306"/>
      <c r="AH20" s="137"/>
      <c r="AI20" s="138">
        <f>808500000</f>
        <v>808500000</v>
      </c>
      <c r="AJ20" s="106">
        <v>711078500</v>
      </c>
      <c r="AK20" s="119"/>
      <c r="AL20" s="119"/>
      <c r="AM20" s="119"/>
      <c r="AN20" s="306"/>
      <c r="AO20" s="306"/>
      <c r="AP20" s="303"/>
      <c r="AQ20" s="305"/>
      <c r="AR20" s="303"/>
      <c r="AS20" s="305"/>
      <c r="AT20" s="119"/>
      <c r="AU20" s="119"/>
      <c r="AV20" s="119"/>
      <c r="AW20" s="119"/>
      <c r="AX20" s="119"/>
      <c r="AY20" s="119"/>
      <c r="AZ20" s="119"/>
      <c r="BA20" s="119"/>
      <c r="BB20" s="119"/>
      <c r="BC20" s="119"/>
      <c r="BD20" s="119"/>
      <c r="BE20" s="119"/>
      <c r="BF20" s="363"/>
    </row>
    <row r="21" spans="1:58" s="123" customFormat="1" ht="90">
      <c r="A21" s="306"/>
      <c r="B21" s="306"/>
      <c r="C21" s="332"/>
      <c r="D21" s="306"/>
      <c r="E21" s="306"/>
      <c r="F21" s="324"/>
      <c r="G21" s="306"/>
      <c r="H21" s="306"/>
      <c r="I21" s="306"/>
      <c r="J21" s="95"/>
      <c r="K21" s="122" t="s">
        <v>744</v>
      </c>
      <c r="L21" s="122" t="s">
        <v>692</v>
      </c>
      <c r="M21" s="122" t="s">
        <v>745</v>
      </c>
      <c r="N21" s="139">
        <v>3.9E-2</v>
      </c>
      <c r="O21" s="118" t="s">
        <v>308</v>
      </c>
      <c r="P21" s="119"/>
      <c r="Q21" s="119"/>
      <c r="R21" s="119"/>
      <c r="S21" s="118" t="s">
        <v>308</v>
      </c>
      <c r="T21" s="120" t="s">
        <v>308</v>
      </c>
      <c r="U21" s="121">
        <v>46113</v>
      </c>
      <c r="V21" s="121">
        <v>46266</v>
      </c>
      <c r="W21" s="122">
        <v>180</v>
      </c>
      <c r="X21" s="122" t="s">
        <v>722</v>
      </c>
      <c r="Y21" s="122" t="s">
        <v>723</v>
      </c>
      <c r="Z21" s="306"/>
      <c r="AA21" s="122" t="s">
        <v>746</v>
      </c>
      <c r="AB21" s="122" t="s">
        <v>747</v>
      </c>
      <c r="AC21" s="122" t="s">
        <v>734</v>
      </c>
      <c r="AD21" s="306"/>
      <c r="AE21" s="334"/>
      <c r="AF21" s="306"/>
      <c r="AG21" s="306"/>
      <c r="AH21" s="137"/>
      <c r="AI21" s="138">
        <f>99000000+90000000</f>
        <v>189000000</v>
      </c>
      <c r="AJ21" s="106">
        <v>118800000</v>
      </c>
      <c r="AK21" s="119"/>
      <c r="AL21" s="119"/>
      <c r="AM21" s="119"/>
      <c r="AN21" s="306"/>
      <c r="AO21" s="306"/>
      <c r="AP21" s="303"/>
      <c r="AQ21" s="305"/>
      <c r="AR21" s="303"/>
      <c r="AS21" s="305"/>
      <c r="AT21" s="119"/>
      <c r="AU21" s="119"/>
      <c r="AV21" s="119"/>
      <c r="AW21" s="119"/>
      <c r="AX21" s="119"/>
      <c r="AY21" s="119"/>
      <c r="AZ21" s="119"/>
      <c r="BA21" s="119"/>
      <c r="BB21" s="119"/>
      <c r="BC21" s="119"/>
      <c r="BD21" s="119"/>
      <c r="BE21" s="119"/>
      <c r="BF21" s="363"/>
    </row>
    <row r="22" spans="1:58" s="123" customFormat="1" ht="162">
      <c r="A22" s="306"/>
      <c r="B22" s="306"/>
      <c r="C22" s="332"/>
      <c r="D22" s="306"/>
      <c r="E22" s="306"/>
      <c r="F22" s="324"/>
      <c r="G22" s="306"/>
      <c r="H22" s="306"/>
      <c r="I22" s="306"/>
      <c r="J22" s="95"/>
      <c r="K22" s="122" t="s">
        <v>748</v>
      </c>
      <c r="L22" s="122" t="s">
        <v>692</v>
      </c>
      <c r="M22" s="122" t="s">
        <v>749</v>
      </c>
      <c r="N22" s="139">
        <v>1.4E-2</v>
      </c>
      <c r="O22" s="118">
        <v>3.4399999999999999E-3</v>
      </c>
      <c r="P22" s="119"/>
      <c r="Q22" s="119"/>
      <c r="R22" s="119"/>
      <c r="S22" s="118">
        <f t="shared" si="0"/>
        <v>3.4399999999999999E-3</v>
      </c>
      <c r="T22" s="120">
        <f t="shared" si="1"/>
        <v>0.24571428571428569</v>
      </c>
      <c r="U22" s="121">
        <v>46023</v>
      </c>
      <c r="V22" s="121">
        <v>46357</v>
      </c>
      <c r="W22" s="122">
        <v>360</v>
      </c>
      <c r="X22" s="122" t="s">
        <v>722</v>
      </c>
      <c r="Y22" s="122" t="s">
        <v>723</v>
      </c>
      <c r="Z22" s="306"/>
      <c r="AA22" s="122" t="s">
        <v>746</v>
      </c>
      <c r="AB22" s="122" t="s">
        <v>750</v>
      </c>
      <c r="AC22" s="122" t="s">
        <v>734</v>
      </c>
      <c r="AD22" s="306"/>
      <c r="AE22" s="334"/>
      <c r="AF22" s="306"/>
      <c r="AG22" s="306"/>
      <c r="AH22" s="137"/>
      <c r="AI22" s="138">
        <v>415000000</v>
      </c>
      <c r="AJ22" s="106">
        <v>250000000</v>
      </c>
      <c r="AK22" s="119"/>
      <c r="AL22" s="119"/>
      <c r="AM22" s="119"/>
      <c r="AN22" s="306"/>
      <c r="AO22" s="306"/>
      <c r="AP22" s="303"/>
      <c r="AQ22" s="305"/>
      <c r="AR22" s="303"/>
      <c r="AS22" s="305"/>
      <c r="AT22" s="119"/>
      <c r="AU22" s="119"/>
      <c r="AV22" s="119"/>
      <c r="AW22" s="119"/>
      <c r="AX22" s="119"/>
      <c r="AY22" s="119"/>
      <c r="AZ22" s="119"/>
      <c r="BA22" s="119"/>
      <c r="BB22" s="119"/>
      <c r="BC22" s="119"/>
      <c r="BD22" s="119"/>
      <c r="BE22" s="119"/>
      <c r="BF22" s="363"/>
    </row>
    <row r="23" spans="1:58" s="123" customFormat="1" ht="216">
      <c r="A23" s="306"/>
      <c r="B23" s="306"/>
      <c r="C23" s="332"/>
      <c r="D23" s="306"/>
      <c r="E23" s="306"/>
      <c r="F23" s="324"/>
      <c r="G23" s="306"/>
      <c r="H23" s="306"/>
      <c r="I23" s="306"/>
      <c r="J23" s="95"/>
      <c r="K23" s="122" t="s">
        <v>751</v>
      </c>
      <c r="L23" s="122" t="s">
        <v>692</v>
      </c>
      <c r="M23" s="122" t="s">
        <v>752</v>
      </c>
      <c r="N23" s="139">
        <v>1.4E-2</v>
      </c>
      <c r="O23" s="118">
        <v>3.0000000000000001E-3</v>
      </c>
      <c r="P23" s="119"/>
      <c r="Q23" s="119"/>
      <c r="R23" s="119"/>
      <c r="S23" s="118">
        <f t="shared" si="0"/>
        <v>3.0000000000000001E-3</v>
      </c>
      <c r="T23" s="120">
        <f t="shared" si="1"/>
        <v>0.21428571428571427</v>
      </c>
      <c r="U23" s="121">
        <v>46023</v>
      </c>
      <c r="V23" s="121">
        <v>46357</v>
      </c>
      <c r="W23" s="122">
        <v>360</v>
      </c>
      <c r="X23" s="122" t="s">
        <v>722</v>
      </c>
      <c r="Y23" s="122" t="s">
        <v>723</v>
      </c>
      <c r="Z23" s="306"/>
      <c r="AA23" s="122" t="s">
        <v>753</v>
      </c>
      <c r="AB23" s="122" t="s">
        <v>754</v>
      </c>
      <c r="AC23" s="122" t="s">
        <v>734</v>
      </c>
      <c r="AD23" s="306"/>
      <c r="AE23" s="334"/>
      <c r="AF23" s="306"/>
      <c r="AG23" s="306"/>
      <c r="AH23" s="137"/>
      <c r="AI23" s="138">
        <v>195000000</v>
      </c>
      <c r="AJ23" s="106">
        <v>411974300</v>
      </c>
      <c r="AK23" s="119"/>
      <c r="AL23" s="119"/>
      <c r="AM23" s="119"/>
      <c r="AN23" s="306"/>
      <c r="AO23" s="306"/>
      <c r="AP23" s="303"/>
      <c r="AQ23" s="305"/>
      <c r="AR23" s="303"/>
      <c r="AS23" s="305"/>
      <c r="AT23" s="119"/>
      <c r="AU23" s="119"/>
      <c r="AV23" s="119"/>
      <c r="AW23" s="119"/>
      <c r="AX23" s="119"/>
      <c r="AY23" s="119"/>
      <c r="AZ23" s="119"/>
      <c r="BA23" s="119"/>
      <c r="BB23" s="119"/>
      <c r="BC23" s="119"/>
      <c r="BD23" s="119"/>
      <c r="BE23" s="119"/>
      <c r="BF23" s="363"/>
    </row>
    <row r="24" spans="1:58" s="123" customFormat="1" ht="180">
      <c r="A24" s="306"/>
      <c r="B24" s="306"/>
      <c r="C24" s="332"/>
      <c r="D24" s="306"/>
      <c r="E24" s="306"/>
      <c r="F24" s="324"/>
      <c r="G24" s="306"/>
      <c r="H24" s="306"/>
      <c r="I24" s="306"/>
      <c r="J24" s="95"/>
      <c r="K24" s="122" t="s">
        <v>755</v>
      </c>
      <c r="L24" s="122" t="s">
        <v>692</v>
      </c>
      <c r="M24" s="122" t="s">
        <v>756</v>
      </c>
      <c r="N24" s="139">
        <v>1.4E-2</v>
      </c>
      <c r="O24" s="118">
        <v>8.0000000000000002E-3</v>
      </c>
      <c r="P24" s="119"/>
      <c r="Q24" s="119"/>
      <c r="R24" s="119"/>
      <c r="S24" s="118">
        <f t="shared" si="0"/>
        <v>8.0000000000000002E-3</v>
      </c>
      <c r="T24" s="120">
        <f t="shared" si="1"/>
        <v>0.5714285714285714</v>
      </c>
      <c r="U24" s="121">
        <v>46023</v>
      </c>
      <c r="V24" s="121">
        <v>46357</v>
      </c>
      <c r="W24" s="122">
        <v>360</v>
      </c>
      <c r="X24" s="122" t="s">
        <v>722</v>
      </c>
      <c r="Y24" s="122" t="s">
        <v>723</v>
      </c>
      <c r="Z24" s="306"/>
      <c r="AA24" s="122" t="s">
        <v>757</v>
      </c>
      <c r="AB24" s="122" t="s">
        <v>758</v>
      </c>
      <c r="AC24" s="122" t="s">
        <v>734</v>
      </c>
      <c r="AD24" s="306"/>
      <c r="AE24" s="334"/>
      <c r="AF24" s="306"/>
      <c r="AG24" s="122" t="s">
        <v>759</v>
      </c>
      <c r="AH24" s="137"/>
      <c r="AI24" s="138">
        <v>200000000</v>
      </c>
      <c r="AJ24" s="106">
        <v>241397200</v>
      </c>
      <c r="AK24" s="119"/>
      <c r="AL24" s="119"/>
      <c r="AM24" s="119"/>
      <c r="AN24" s="122" t="s">
        <v>759</v>
      </c>
      <c r="AO24" s="306"/>
      <c r="AP24" s="303"/>
      <c r="AQ24" s="305"/>
      <c r="AR24" s="303"/>
      <c r="AS24" s="305"/>
      <c r="AT24" s="119"/>
      <c r="AU24" s="119"/>
      <c r="AV24" s="119"/>
      <c r="AW24" s="119"/>
      <c r="AX24" s="119"/>
      <c r="AY24" s="119"/>
      <c r="AZ24" s="119"/>
      <c r="BA24" s="119"/>
      <c r="BB24" s="119"/>
      <c r="BC24" s="119"/>
      <c r="BD24" s="119"/>
      <c r="BE24" s="119"/>
      <c r="BF24" s="363"/>
    </row>
    <row r="25" spans="1:58" s="123" customFormat="1" ht="90">
      <c r="A25" s="306"/>
      <c r="B25" s="306"/>
      <c r="C25" s="332"/>
      <c r="D25" s="306"/>
      <c r="E25" s="306"/>
      <c r="F25" s="324"/>
      <c r="G25" s="306"/>
      <c r="H25" s="306"/>
      <c r="I25" s="306"/>
      <c r="J25" s="95"/>
      <c r="K25" s="122" t="s">
        <v>760</v>
      </c>
      <c r="L25" s="122" t="s">
        <v>692</v>
      </c>
      <c r="M25" s="122" t="s">
        <v>761</v>
      </c>
      <c r="N25" s="139" t="s">
        <v>270</v>
      </c>
      <c r="O25" s="118" t="s">
        <v>308</v>
      </c>
      <c r="P25" s="119"/>
      <c r="Q25" s="119"/>
      <c r="R25" s="119"/>
      <c r="S25" s="118" t="s">
        <v>308</v>
      </c>
      <c r="T25" s="120" t="s">
        <v>308</v>
      </c>
      <c r="U25" s="126" t="s">
        <v>308</v>
      </c>
      <c r="V25" s="126" t="s">
        <v>308</v>
      </c>
      <c r="W25" s="122" t="s">
        <v>308</v>
      </c>
      <c r="X25" s="122" t="s">
        <v>270</v>
      </c>
      <c r="Y25" s="122" t="s">
        <v>270</v>
      </c>
      <c r="Z25" s="306"/>
      <c r="AA25" s="122" t="s">
        <v>746</v>
      </c>
      <c r="AB25" s="122" t="s">
        <v>762</v>
      </c>
      <c r="AC25" s="126" t="s">
        <v>308</v>
      </c>
      <c r="AD25" s="126" t="s">
        <v>308</v>
      </c>
      <c r="AE25" s="126" t="s">
        <v>308</v>
      </c>
      <c r="AF25" s="126" t="s">
        <v>308</v>
      </c>
      <c r="AG25" s="126" t="s">
        <v>308</v>
      </c>
      <c r="AH25" s="126" t="s">
        <v>308</v>
      </c>
      <c r="AI25" s="126" t="s">
        <v>308</v>
      </c>
      <c r="AJ25" s="135"/>
      <c r="AK25" s="119"/>
      <c r="AL25" s="119"/>
      <c r="AM25" s="119"/>
      <c r="AN25" s="126" t="s">
        <v>308</v>
      </c>
      <c r="AO25" s="306"/>
      <c r="AP25" s="303"/>
      <c r="AQ25" s="305"/>
      <c r="AR25" s="303"/>
      <c r="AS25" s="305"/>
      <c r="AT25" s="119"/>
      <c r="AU25" s="119"/>
      <c r="AV25" s="119"/>
      <c r="AW25" s="119"/>
      <c r="AX25" s="119"/>
      <c r="AY25" s="119"/>
      <c r="AZ25" s="119"/>
      <c r="BA25" s="119"/>
      <c r="BB25" s="119"/>
      <c r="BC25" s="119"/>
      <c r="BD25" s="119"/>
      <c r="BE25" s="119"/>
      <c r="BF25" s="364"/>
    </row>
    <row r="26" spans="1:58" s="123" customFormat="1" ht="65.25" customHeight="1">
      <c r="A26" s="306"/>
      <c r="B26" s="306"/>
      <c r="C26" s="332"/>
      <c r="D26" s="122"/>
      <c r="E26" s="122"/>
      <c r="F26" s="124"/>
      <c r="G26" s="122"/>
      <c r="H26" s="122"/>
      <c r="I26" s="122"/>
      <c r="J26" s="95"/>
      <c r="K26" s="302" t="s">
        <v>1277</v>
      </c>
      <c r="L26" s="302"/>
      <c r="M26" s="302"/>
      <c r="N26" s="302"/>
      <c r="O26" s="302"/>
      <c r="P26" s="302"/>
      <c r="Q26" s="302"/>
      <c r="R26" s="302"/>
      <c r="S26" s="302"/>
      <c r="T26" s="140">
        <f>AVERAGE(T18:T25)</f>
        <v>0.47746031746031753</v>
      </c>
      <c r="U26" s="126"/>
      <c r="V26" s="126"/>
      <c r="W26" s="122"/>
      <c r="X26" s="122"/>
      <c r="Y26" s="122"/>
      <c r="Z26" s="122"/>
      <c r="AA26" s="122"/>
      <c r="AB26" s="122"/>
      <c r="AC26" s="126"/>
      <c r="AD26" s="126"/>
      <c r="AE26" s="312" t="s">
        <v>1278</v>
      </c>
      <c r="AF26" s="312"/>
      <c r="AG26" s="312"/>
      <c r="AH26" s="312"/>
      <c r="AI26" s="312"/>
      <c r="AJ26" s="141">
        <f>SUM(AJ18:AJ25)</f>
        <v>2000000000</v>
      </c>
      <c r="AK26" s="119"/>
      <c r="AL26" s="119"/>
      <c r="AM26" s="119"/>
      <c r="AN26" s="126"/>
      <c r="AO26" s="122"/>
      <c r="AP26" s="129">
        <f>+AP18</f>
        <v>1174749250</v>
      </c>
      <c r="AQ26" s="130">
        <f>+AQ18</f>
        <v>0.58737462500000004</v>
      </c>
      <c r="AR26" s="129">
        <f>+AR18</f>
        <v>184841830</v>
      </c>
      <c r="AS26" s="130">
        <f>+AS18</f>
        <v>9.2420915000000006E-2</v>
      </c>
      <c r="AT26" s="142"/>
      <c r="AU26" s="142"/>
      <c r="AV26" s="142"/>
      <c r="AW26" s="142"/>
      <c r="AX26" s="142"/>
      <c r="AY26" s="142"/>
      <c r="AZ26" s="142"/>
      <c r="BA26" s="142"/>
      <c r="BB26" s="142"/>
      <c r="BC26" s="142"/>
      <c r="BD26" s="142"/>
      <c r="BE26" s="142"/>
      <c r="BF26" s="122"/>
    </row>
    <row r="27" spans="1:58" s="123" customFormat="1" ht="54">
      <c r="A27" s="306"/>
      <c r="B27" s="306"/>
      <c r="C27" s="332"/>
      <c r="D27" s="335" t="s">
        <v>297</v>
      </c>
      <c r="E27" s="335" t="s">
        <v>763</v>
      </c>
      <c r="F27" s="336">
        <v>2024130010199</v>
      </c>
      <c r="G27" s="335" t="s">
        <v>764</v>
      </c>
      <c r="H27" s="335" t="s">
        <v>765</v>
      </c>
      <c r="I27" s="335" t="s">
        <v>729</v>
      </c>
      <c r="J27" s="97"/>
      <c r="K27" s="143" t="s">
        <v>766</v>
      </c>
      <c r="L27" s="143" t="s">
        <v>692</v>
      </c>
      <c r="M27" s="143" t="s">
        <v>767</v>
      </c>
      <c r="N27" s="143" t="s">
        <v>270</v>
      </c>
      <c r="O27" s="118" t="s">
        <v>308</v>
      </c>
      <c r="P27" s="119"/>
      <c r="Q27" s="119"/>
      <c r="R27" s="119"/>
      <c r="S27" s="118" t="s">
        <v>308</v>
      </c>
      <c r="T27" s="120" t="s">
        <v>308</v>
      </c>
      <c r="U27" s="143" t="s">
        <v>270</v>
      </c>
      <c r="V27" s="143" t="s">
        <v>270</v>
      </c>
      <c r="W27" s="143" t="s">
        <v>270</v>
      </c>
      <c r="X27" s="143"/>
      <c r="Y27" s="143" t="s">
        <v>308</v>
      </c>
      <c r="Z27" s="335" t="s">
        <v>768</v>
      </c>
      <c r="AA27" s="143" t="s">
        <v>769</v>
      </c>
      <c r="AB27" s="143" t="s">
        <v>769</v>
      </c>
      <c r="AC27" s="335" t="s">
        <v>734</v>
      </c>
      <c r="AD27" s="335" t="s">
        <v>735</v>
      </c>
      <c r="AE27" s="307">
        <v>325000000</v>
      </c>
      <c r="AF27" s="307" t="s">
        <v>75</v>
      </c>
      <c r="AG27" s="307" t="s">
        <v>52</v>
      </c>
      <c r="AH27" s="307"/>
      <c r="AI27" s="217">
        <v>0</v>
      </c>
      <c r="AJ27" s="303">
        <v>325000000</v>
      </c>
      <c r="AK27" s="119"/>
      <c r="AL27" s="119"/>
      <c r="AM27" s="119"/>
      <c r="AN27" s="143" t="s">
        <v>770</v>
      </c>
      <c r="AO27" s="335" t="s">
        <v>771</v>
      </c>
      <c r="AP27" s="303">
        <v>254405700</v>
      </c>
      <c r="AQ27" s="305">
        <f>+AP27/AJ27</f>
        <v>0.78278676923076929</v>
      </c>
      <c r="AR27" s="303">
        <v>37309000</v>
      </c>
      <c r="AS27" s="305">
        <f>+AR27/AJ27</f>
        <v>0.11479692307692307</v>
      </c>
      <c r="AT27" s="119"/>
      <c r="AU27" s="119"/>
      <c r="AV27" s="119"/>
      <c r="AW27" s="119"/>
      <c r="AX27" s="119"/>
      <c r="AY27" s="119"/>
      <c r="AZ27" s="119"/>
      <c r="BA27" s="119"/>
      <c r="BB27" s="119"/>
      <c r="BC27" s="119"/>
      <c r="BD27" s="119"/>
      <c r="BE27" s="119"/>
      <c r="BF27" s="362"/>
    </row>
    <row r="28" spans="1:58" s="123" customFormat="1" ht="288">
      <c r="A28" s="306"/>
      <c r="B28" s="306"/>
      <c r="C28" s="332"/>
      <c r="D28" s="335"/>
      <c r="E28" s="335"/>
      <c r="F28" s="336"/>
      <c r="G28" s="335"/>
      <c r="H28" s="335"/>
      <c r="I28" s="335"/>
      <c r="J28" s="97"/>
      <c r="K28" s="143" t="s">
        <v>772</v>
      </c>
      <c r="L28" s="143" t="s">
        <v>692</v>
      </c>
      <c r="M28" s="143" t="s">
        <v>773</v>
      </c>
      <c r="N28" s="143">
        <v>0.3</v>
      </c>
      <c r="O28" s="118">
        <v>4.0000000000000001E-3</v>
      </c>
      <c r="P28" s="119"/>
      <c r="Q28" s="119"/>
      <c r="R28" s="119"/>
      <c r="S28" s="118">
        <f t="shared" si="0"/>
        <v>4.0000000000000001E-3</v>
      </c>
      <c r="T28" s="120">
        <f t="shared" si="1"/>
        <v>1.3333333333333334E-2</v>
      </c>
      <c r="U28" s="143" t="s">
        <v>774</v>
      </c>
      <c r="V28" s="143" t="s">
        <v>775</v>
      </c>
      <c r="W28" s="143">
        <v>180</v>
      </c>
      <c r="X28" s="143"/>
      <c r="Y28" s="143" t="s">
        <v>776</v>
      </c>
      <c r="Z28" s="335"/>
      <c r="AA28" s="143" t="s">
        <v>777</v>
      </c>
      <c r="AB28" s="143" t="s">
        <v>754</v>
      </c>
      <c r="AC28" s="335"/>
      <c r="AD28" s="335"/>
      <c r="AE28" s="307"/>
      <c r="AF28" s="307"/>
      <c r="AG28" s="307"/>
      <c r="AH28" s="307"/>
      <c r="AI28" s="144">
        <v>121000000</v>
      </c>
      <c r="AJ28" s="303"/>
      <c r="AK28" s="119"/>
      <c r="AL28" s="119"/>
      <c r="AM28" s="119"/>
      <c r="AN28" s="143" t="s">
        <v>770</v>
      </c>
      <c r="AO28" s="335"/>
      <c r="AP28" s="303"/>
      <c r="AQ28" s="305"/>
      <c r="AR28" s="303"/>
      <c r="AS28" s="305"/>
      <c r="AT28" s="119"/>
      <c r="AU28" s="119"/>
      <c r="AV28" s="119"/>
      <c r="AW28" s="119"/>
      <c r="AX28" s="119"/>
      <c r="AY28" s="119"/>
      <c r="AZ28" s="119"/>
      <c r="BA28" s="119"/>
      <c r="BB28" s="119"/>
      <c r="BC28" s="119"/>
      <c r="BD28" s="119"/>
      <c r="BE28" s="119"/>
      <c r="BF28" s="363"/>
    </row>
    <row r="29" spans="1:58" s="123" customFormat="1" ht="54">
      <c r="A29" s="306"/>
      <c r="B29" s="306"/>
      <c r="C29" s="332"/>
      <c r="D29" s="335"/>
      <c r="E29" s="335"/>
      <c r="F29" s="336"/>
      <c r="G29" s="335"/>
      <c r="H29" s="335"/>
      <c r="I29" s="335"/>
      <c r="J29" s="97"/>
      <c r="K29" s="143" t="s">
        <v>778</v>
      </c>
      <c r="L29" s="143" t="s">
        <v>692</v>
      </c>
      <c r="M29" s="143" t="s">
        <v>773</v>
      </c>
      <c r="N29" s="143" t="s">
        <v>270</v>
      </c>
      <c r="O29" s="118" t="s">
        <v>308</v>
      </c>
      <c r="P29" s="119"/>
      <c r="Q29" s="119"/>
      <c r="R29" s="119"/>
      <c r="S29" s="118" t="s">
        <v>308</v>
      </c>
      <c r="T29" s="120" t="s">
        <v>308</v>
      </c>
      <c r="U29" s="143" t="s">
        <v>270</v>
      </c>
      <c r="V29" s="143" t="s">
        <v>270</v>
      </c>
      <c r="W29" s="143" t="s">
        <v>270</v>
      </c>
      <c r="X29" s="143"/>
      <c r="Y29" s="143" t="s">
        <v>308</v>
      </c>
      <c r="Z29" s="335"/>
      <c r="AA29" s="143"/>
      <c r="AB29" s="143"/>
      <c r="AC29" s="335"/>
      <c r="AD29" s="335"/>
      <c r="AE29" s="307"/>
      <c r="AF29" s="307"/>
      <c r="AG29" s="307"/>
      <c r="AH29" s="307"/>
      <c r="AI29" s="144">
        <v>0</v>
      </c>
      <c r="AJ29" s="303"/>
      <c r="AK29" s="119"/>
      <c r="AL29" s="119"/>
      <c r="AM29" s="119"/>
      <c r="AN29" s="143" t="s">
        <v>770</v>
      </c>
      <c r="AO29" s="335"/>
      <c r="AP29" s="303"/>
      <c r="AQ29" s="305"/>
      <c r="AR29" s="303"/>
      <c r="AS29" s="305"/>
      <c r="AT29" s="119"/>
      <c r="AU29" s="119"/>
      <c r="AV29" s="119"/>
      <c r="AW29" s="119"/>
      <c r="AX29" s="119"/>
      <c r="AY29" s="119"/>
      <c r="AZ29" s="119"/>
      <c r="BA29" s="119"/>
      <c r="BB29" s="119"/>
      <c r="BC29" s="119"/>
      <c r="BD29" s="119"/>
      <c r="BE29" s="119"/>
      <c r="BF29" s="363"/>
    </row>
    <row r="30" spans="1:58" s="123" customFormat="1" ht="288">
      <c r="A30" s="306"/>
      <c r="B30" s="306"/>
      <c r="C30" s="332"/>
      <c r="D30" s="335"/>
      <c r="E30" s="335"/>
      <c r="F30" s="336"/>
      <c r="G30" s="335"/>
      <c r="H30" s="335"/>
      <c r="I30" s="335"/>
      <c r="J30" s="97"/>
      <c r="K30" s="143" t="s">
        <v>779</v>
      </c>
      <c r="L30" s="143" t="s">
        <v>692</v>
      </c>
      <c r="M30" s="143" t="s">
        <v>780</v>
      </c>
      <c r="N30" s="143" t="s">
        <v>270</v>
      </c>
      <c r="O30" s="118" t="s">
        <v>308</v>
      </c>
      <c r="P30" s="119"/>
      <c r="Q30" s="119"/>
      <c r="R30" s="119"/>
      <c r="S30" s="118" t="s">
        <v>308</v>
      </c>
      <c r="T30" s="120" t="s">
        <v>308</v>
      </c>
      <c r="U30" s="143" t="s">
        <v>774</v>
      </c>
      <c r="V30" s="143" t="s">
        <v>775</v>
      </c>
      <c r="W30" s="143">
        <v>180</v>
      </c>
      <c r="X30" s="143"/>
      <c r="Y30" s="143" t="s">
        <v>776</v>
      </c>
      <c r="Z30" s="335"/>
      <c r="AA30" s="143" t="s">
        <v>777</v>
      </c>
      <c r="AB30" s="143" t="s">
        <v>754</v>
      </c>
      <c r="AC30" s="335"/>
      <c r="AD30" s="335"/>
      <c r="AE30" s="307"/>
      <c r="AF30" s="307"/>
      <c r="AG30" s="307"/>
      <c r="AH30" s="307"/>
      <c r="AI30" s="144">
        <v>181500000</v>
      </c>
      <c r="AJ30" s="303"/>
      <c r="AK30" s="119"/>
      <c r="AL30" s="119"/>
      <c r="AM30" s="119"/>
      <c r="AN30" s="143" t="s">
        <v>770</v>
      </c>
      <c r="AO30" s="335"/>
      <c r="AP30" s="303"/>
      <c r="AQ30" s="305"/>
      <c r="AR30" s="303"/>
      <c r="AS30" s="305"/>
      <c r="AT30" s="119"/>
      <c r="AU30" s="119"/>
      <c r="AV30" s="119"/>
      <c r="AW30" s="119"/>
      <c r="AX30" s="119"/>
      <c r="AY30" s="119"/>
      <c r="AZ30" s="119"/>
      <c r="BA30" s="119"/>
      <c r="BB30" s="119"/>
      <c r="BC30" s="119"/>
      <c r="BD30" s="119"/>
      <c r="BE30" s="119"/>
      <c r="BF30" s="363"/>
    </row>
    <row r="31" spans="1:58" s="123" customFormat="1" ht="288">
      <c r="A31" s="306"/>
      <c r="B31" s="306"/>
      <c r="C31" s="332"/>
      <c r="D31" s="335"/>
      <c r="E31" s="335"/>
      <c r="F31" s="336"/>
      <c r="G31" s="335"/>
      <c r="H31" s="335"/>
      <c r="I31" s="335"/>
      <c r="J31" s="97"/>
      <c r="K31" s="143" t="s">
        <v>781</v>
      </c>
      <c r="L31" s="143" t="s">
        <v>692</v>
      </c>
      <c r="M31" s="143" t="s">
        <v>782</v>
      </c>
      <c r="N31" s="143" t="s">
        <v>270</v>
      </c>
      <c r="O31" s="118" t="s">
        <v>308</v>
      </c>
      <c r="P31" s="119"/>
      <c r="Q31" s="119"/>
      <c r="R31" s="119"/>
      <c r="S31" s="118" t="s">
        <v>308</v>
      </c>
      <c r="T31" s="120" t="s">
        <v>308</v>
      </c>
      <c r="U31" s="143" t="s">
        <v>270</v>
      </c>
      <c r="V31" s="143" t="s">
        <v>270</v>
      </c>
      <c r="W31" s="143" t="s">
        <v>270</v>
      </c>
      <c r="X31" s="143"/>
      <c r="Y31" s="143" t="s">
        <v>308</v>
      </c>
      <c r="Z31" s="335"/>
      <c r="AA31" s="143" t="s">
        <v>777</v>
      </c>
      <c r="AB31" s="143" t="s">
        <v>754</v>
      </c>
      <c r="AC31" s="335"/>
      <c r="AD31" s="335"/>
      <c r="AE31" s="307"/>
      <c r="AF31" s="307"/>
      <c r="AG31" s="307"/>
      <c r="AH31" s="307"/>
      <c r="AI31" s="144">
        <v>0</v>
      </c>
      <c r="AJ31" s="303"/>
      <c r="AK31" s="119"/>
      <c r="AL31" s="119"/>
      <c r="AM31" s="119"/>
      <c r="AN31" s="143" t="s">
        <v>770</v>
      </c>
      <c r="AO31" s="335"/>
      <c r="AP31" s="303"/>
      <c r="AQ31" s="305"/>
      <c r="AR31" s="303"/>
      <c r="AS31" s="305"/>
      <c r="AT31" s="119"/>
      <c r="AU31" s="119"/>
      <c r="AV31" s="119"/>
      <c r="AW31" s="119"/>
      <c r="AX31" s="119"/>
      <c r="AY31" s="119"/>
      <c r="AZ31" s="119"/>
      <c r="BA31" s="119"/>
      <c r="BB31" s="119"/>
      <c r="BC31" s="119"/>
      <c r="BD31" s="119"/>
      <c r="BE31" s="119"/>
      <c r="BF31" s="363"/>
    </row>
    <row r="32" spans="1:58" s="123" customFormat="1" ht="288">
      <c r="A32" s="306"/>
      <c r="B32" s="306"/>
      <c r="C32" s="332"/>
      <c r="D32" s="335"/>
      <c r="E32" s="335"/>
      <c r="F32" s="336"/>
      <c r="G32" s="335"/>
      <c r="H32" s="335"/>
      <c r="I32" s="335"/>
      <c r="J32" s="97"/>
      <c r="K32" s="143" t="s">
        <v>783</v>
      </c>
      <c r="L32" s="143" t="s">
        <v>692</v>
      </c>
      <c r="M32" s="143" t="s">
        <v>784</v>
      </c>
      <c r="N32" s="143">
        <v>0.5</v>
      </c>
      <c r="O32" s="118">
        <v>5.0000000000000001E-3</v>
      </c>
      <c r="P32" s="119"/>
      <c r="Q32" s="119"/>
      <c r="R32" s="119"/>
      <c r="S32" s="118">
        <f t="shared" si="0"/>
        <v>5.0000000000000001E-3</v>
      </c>
      <c r="T32" s="120">
        <f t="shared" si="1"/>
        <v>0.01</v>
      </c>
      <c r="U32" s="143" t="s">
        <v>775</v>
      </c>
      <c r="V32" s="143" t="s">
        <v>785</v>
      </c>
      <c r="W32" s="143">
        <v>210</v>
      </c>
      <c r="X32" s="143"/>
      <c r="Y32" s="143" t="s">
        <v>776</v>
      </c>
      <c r="Z32" s="335"/>
      <c r="AA32" s="143" t="s">
        <v>777</v>
      </c>
      <c r="AB32" s="143" t="s">
        <v>754</v>
      </c>
      <c r="AC32" s="335"/>
      <c r="AD32" s="335"/>
      <c r="AE32" s="307"/>
      <c r="AF32" s="307"/>
      <c r="AG32" s="307"/>
      <c r="AH32" s="307"/>
      <c r="AI32" s="144">
        <v>8400000</v>
      </c>
      <c r="AJ32" s="303"/>
      <c r="AK32" s="119"/>
      <c r="AL32" s="119"/>
      <c r="AM32" s="119"/>
      <c r="AN32" s="143" t="s">
        <v>770</v>
      </c>
      <c r="AO32" s="335"/>
      <c r="AP32" s="303"/>
      <c r="AQ32" s="305"/>
      <c r="AR32" s="303"/>
      <c r="AS32" s="305"/>
      <c r="AT32" s="119"/>
      <c r="AU32" s="119"/>
      <c r="AV32" s="119"/>
      <c r="AW32" s="119"/>
      <c r="AX32" s="119"/>
      <c r="AY32" s="119"/>
      <c r="AZ32" s="119"/>
      <c r="BA32" s="119"/>
      <c r="BB32" s="119"/>
      <c r="BC32" s="119"/>
      <c r="BD32" s="119"/>
      <c r="BE32" s="119"/>
      <c r="BF32" s="363"/>
    </row>
    <row r="33" spans="1:61" s="123" customFormat="1" ht="288">
      <c r="A33" s="306"/>
      <c r="B33" s="306"/>
      <c r="C33" s="332"/>
      <c r="D33" s="335"/>
      <c r="E33" s="335"/>
      <c r="F33" s="336"/>
      <c r="G33" s="335"/>
      <c r="H33" s="335"/>
      <c r="I33" s="335"/>
      <c r="J33" s="97"/>
      <c r="K33" s="143" t="s">
        <v>786</v>
      </c>
      <c r="L33" s="143" t="s">
        <v>692</v>
      </c>
      <c r="M33" s="143" t="s">
        <v>787</v>
      </c>
      <c r="N33" s="143" t="s">
        <v>270</v>
      </c>
      <c r="O33" s="118" t="s">
        <v>308</v>
      </c>
      <c r="P33" s="119"/>
      <c r="Q33" s="119"/>
      <c r="R33" s="119"/>
      <c r="S33" s="118" t="s">
        <v>308</v>
      </c>
      <c r="T33" s="120" t="s">
        <v>308</v>
      </c>
      <c r="U33" s="143" t="s">
        <v>774</v>
      </c>
      <c r="V33" s="143" t="s">
        <v>785</v>
      </c>
      <c r="W33" s="143">
        <f>30*12</f>
        <v>360</v>
      </c>
      <c r="X33" s="143"/>
      <c r="Y33" s="143" t="s">
        <v>776</v>
      </c>
      <c r="Z33" s="335"/>
      <c r="AA33" s="143" t="s">
        <v>777</v>
      </c>
      <c r="AB33" s="143" t="s">
        <v>754</v>
      </c>
      <c r="AC33" s="335"/>
      <c r="AD33" s="335"/>
      <c r="AE33" s="307"/>
      <c r="AF33" s="307"/>
      <c r="AG33" s="307"/>
      <c r="AH33" s="307"/>
      <c r="AI33" s="144">
        <v>14100000</v>
      </c>
      <c r="AJ33" s="303"/>
      <c r="AK33" s="119"/>
      <c r="AL33" s="119"/>
      <c r="AM33" s="119"/>
      <c r="AN33" s="143" t="s">
        <v>770</v>
      </c>
      <c r="AO33" s="335"/>
      <c r="AP33" s="303"/>
      <c r="AQ33" s="305"/>
      <c r="AR33" s="303"/>
      <c r="AS33" s="305"/>
      <c r="AT33" s="119"/>
      <c r="AU33" s="119"/>
      <c r="AV33" s="119"/>
      <c r="AW33" s="119"/>
      <c r="AX33" s="119"/>
      <c r="AY33" s="119"/>
      <c r="AZ33" s="119"/>
      <c r="BA33" s="119"/>
      <c r="BB33" s="119"/>
      <c r="BC33" s="119"/>
      <c r="BD33" s="119"/>
      <c r="BE33" s="119"/>
      <c r="BF33" s="363"/>
    </row>
    <row r="34" spans="1:61" s="123" customFormat="1" ht="216">
      <c r="A34" s="306"/>
      <c r="B34" s="306"/>
      <c r="C34" s="332"/>
      <c r="D34" s="335"/>
      <c r="E34" s="335"/>
      <c r="F34" s="336"/>
      <c r="G34" s="335"/>
      <c r="H34" s="335"/>
      <c r="I34" s="335"/>
      <c r="J34" s="97"/>
      <c r="K34" s="143" t="s">
        <v>788</v>
      </c>
      <c r="L34" s="143" t="s">
        <v>692</v>
      </c>
      <c r="M34" s="143" t="s">
        <v>789</v>
      </c>
      <c r="N34" s="143">
        <v>0.2</v>
      </c>
      <c r="O34" s="118" t="s">
        <v>308</v>
      </c>
      <c r="P34" s="119"/>
      <c r="Q34" s="119"/>
      <c r="R34" s="119"/>
      <c r="S34" s="118" t="s">
        <v>308</v>
      </c>
      <c r="T34" s="120" t="s">
        <v>308</v>
      </c>
      <c r="U34" s="143" t="s">
        <v>1279</v>
      </c>
      <c r="V34" s="143" t="s">
        <v>785</v>
      </c>
      <c r="W34" s="143">
        <v>120</v>
      </c>
      <c r="X34" s="143"/>
      <c r="Y34" s="143" t="s">
        <v>308</v>
      </c>
      <c r="Z34" s="335"/>
      <c r="AA34" s="143" t="s">
        <v>790</v>
      </c>
      <c r="AB34" s="143" t="s">
        <v>791</v>
      </c>
      <c r="AC34" s="335"/>
      <c r="AD34" s="335"/>
      <c r="AE34" s="307"/>
      <c r="AF34" s="307"/>
      <c r="AG34" s="307"/>
      <c r="AH34" s="307"/>
      <c r="AI34" s="144">
        <v>0</v>
      </c>
      <c r="AJ34" s="303"/>
      <c r="AK34" s="119"/>
      <c r="AL34" s="119"/>
      <c r="AM34" s="119"/>
      <c r="AN34" s="143" t="s">
        <v>770</v>
      </c>
      <c r="AO34" s="335"/>
      <c r="AP34" s="303"/>
      <c r="AQ34" s="305"/>
      <c r="AR34" s="303"/>
      <c r="AS34" s="305"/>
      <c r="AT34" s="119"/>
      <c r="AU34" s="119"/>
      <c r="AV34" s="119"/>
      <c r="AW34" s="119"/>
      <c r="AX34" s="119"/>
      <c r="AY34" s="119"/>
      <c r="AZ34" s="119"/>
      <c r="BA34" s="119"/>
      <c r="BB34" s="119"/>
      <c r="BC34" s="119"/>
      <c r="BD34" s="119"/>
      <c r="BE34" s="119"/>
      <c r="BF34" s="363"/>
    </row>
    <row r="35" spans="1:61" s="123" customFormat="1" ht="132.75" customHeight="1">
      <c r="A35" s="306"/>
      <c r="B35" s="306"/>
      <c r="C35" s="332"/>
      <c r="D35" s="335"/>
      <c r="E35" s="335"/>
      <c r="F35" s="336"/>
      <c r="G35" s="335"/>
      <c r="H35" s="335"/>
      <c r="I35" s="335"/>
      <c r="J35" s="97"/>
      <c r="K35" s="143" t="s">
        <v>792</v>
      </c>
      <c r="L35" s="143" t="s">
        <v>692</v>
      </c>
      <c r="M35" s="143" t="s">
        <v>793</v>
      </c>
      <c r="N35" s="143">
        <v>0.5</v>
      </c>
      <c r="O35" s="118">
        <v>0.01</v>
      </c>
      <c r="P35" s="119"/>
      <c r="Q35" s="119"/>
      <c r="R35" s="119"/>
      <c r="S35" s="118">
        <f t="shared" si="0"/>
        <v>0.01</v>
      </c>
      <c r="T35" s="120">
        <f t="shared" si="1"/>
        <v>0.02</v>
      </c>
      <c r="U35" s="143" t="s">
        <v>774</v>
      </c>
      <c r="V35" s="143" t="s">
        <v>785</v>
      </c>
      <c r="W35" s="143">
        <f>30*12</f>
        <v>360</v>
      </c>
      <c r="X35" s="143"/>
      <c r="Y35" s="143" t="s">
        <v>776</v>
      </c>
      <c r="Z35" s="143"/>
      <c r="AA35" s="143"/>
      <c r="AB35" s="143"/>
      <c r="AC35" s="143"/>
      <c r="AD35" s="143"/>
      <c r="AE35" s="104"/>
      <c r="AF35" s="104"/>
      <c r="AG35" s="104"/>
      <c r="AH35" s="104"/>
      <c r="AI35" s="144"/>
      <c r="AJ35" s="303"/>
      <c r="AK35" s="119"/>
      <c r="AL35" s="119"/>
      <c r="AM35" s="119"/>
      <c r="AN35" s="143"/>
      <c r="AO35" s="143"/>
      <c r="AP35" s="303"/>
      <c r="AQ35" s="305"/>
      <c r="AR35" s="303"/>
      <c r="AS35" s="305"/>
      <c r="AT35" s="119"/>
      <c r="AU35" s="119"/>
      <c r="AV35" s="119"/>
      <c r="AW35" s="119"/>
      <c r="AX35" s="119"/>
      <c r="AY35" s="119"/>
      <c r="AZ35" s="119"/>
      <c r="BA35" s="119"/>
      <c r="BB35" s="119"/>
      <c r="BC35" s="119"/>
      <c r="BD35" s="119"/>
      <c r="BE35" s="119"/>
      <c r="BF35" s="364"/>
    </row>
    <row r="36" spans="1:61" s="123" customFormat="1" ht="97.5" customHeight="1">
      <c r="A36" s="306"/>
      <c r="B36" s="306"/>
      <c r="C36" s="332"/>
      <c r="D36" s="122"/>
      <c r="E36" s="122"/>
      <c r="F36" s="124"/>
      <c r="G36" s="122"/>
      <c r="H36" s="122"/>
      <c r="I36" s="122"/>
      <c r="J36" s="95"/>
      <c r="K36" s="302" t="s">
        <v>1280</v>
      </c>
      <c r="L36" s="302"/>
      <c r="M36" s="302"/>
      <c r="N36" s="302"/>
      <c r="O36" s="302"/>
      <c r="P36" s="302"/>
      <c r="Q36" s="302"/>
      <c r="R36" s="302"/>
      <c r="S36" s="302"/>
      <c r="T36" s="140">
        <f>AVERAGE(T28:T35)</f>
        <v>1.4444444444444446E-2</v>
      </c>
      <c r="U36" s="126"/>
      <c r="V36" s="126"/>
      <c r="W36" s="122"/>
      <c r="X36" s="122"/>
      <c r="Y36" s="122"/>
      <c r="Z36" s="122"/>
      <c r="AA36" s="122"/>
      <c r="AB36" s="122"/>
      <c r="AC36" s="126"/>
      <c r="AD36" s="126"/>
      <c r="AE36" s="312" t="s">
        <v>1281</v>
      </c>
      <c r="AF36" s="312"/>
      <c r="AG36" s="312"/>
      <c r="AH36" s="312"/>
      <c r="AI36" s="312"/>
      <c r="AJ36" s="141">
        <f>+AJ27</f>
        <v>325000000</v>
      </c>
      <c r="AK36" s="119"/>
      <c r="AL36" s="119"/>
      <c r="AM36" s="119"/>
      <c r="AN36" s="126"/>
      <c r="AO36" s="122"/>
      <c r="AP36" s="129">
        <f>+AP27</f>
        <v>254405700</v>
      </c>
      <c r="AQ36" s="140">
        <f t="shared" ref="AQ36:BE36" si="4">+AQ27</f>
        <v>0.78278676923076929</v>
      </c>
      <c r="AR36" s="129">
        <f t="shared" si="4"/>
        <v>37309000</v>
      </c>
      <c r="AS36" s="140">
        <f t="shared" si="4"/>
        <v>0.11479692307692307</v>
      </c>
      <c r="AT36" s="129">
        <f t="shared" si="4"/>
        <v>0</v>
      </c>
      <c r="AU36" s="129">
        <f t="shared" si="4"/>
        <v>0</v>
      </c>
      <c r="AV36" s="129">
        <f t="shared" si="4"/>
        <v>0</v>
      </c>
      <c r="AW36" s="129">
        <f t="shared" si="4"/>
        <v>0</v>
      </c>
      <c r="AX36" s="129">
        <f t="shared" si="4"/>
        <v>0</v>
      </c>
      <c r="AY36" s="129">
        <f t="shared" si="4"/>
        <v>0</v>
      </c>
      <c r="AZ36" s="129">
        <f t="shared" si="4"/>
        <v>0</v>
      </c>
      <c r="BA36" s="129">
        <f t="shared" si="4"/>
        <v>0</v>
      </c>
      <c r="BB36" s="129">
        <f t="shared" si="4"/>
        <v>0</v>
      </c>
      <c r="BC36" s="129">
        <f t="shared" si="4"/>
        <v>0</v>
      </c>
      <c r="BD36" s="129">
        <f t="shared" si="4"/>
        <v>0</v>
      </c>
      <c r="BE36" s="129">
        <f t="shared" si="4"/>
        <v>0</v>
      </c>
      <c r="BF36" s="122"/>
    </row>
    <row r="37" spans="1:61" s="123" customFormat="1" ht="90">
      <c r="A37" s="306"/>
      <c r="B37" s="306"/>
      <c r="C37" s="332"/>
      <c r="D37" s="306" t="s">
        <v>794</v>
      </c>
      <c r="E37" s="306" t="s">
        <v>1282</v>
      </c>
      <c r="F37" s="324">
        <v>202500000042303</v>
      </c>
      <c r="G37" s="310" t="s">
        <v>795</v>
      </c>
      <c r="H37" s="306" t="s">
        <v>796</v>
      </c>
      <c r="I37" s="306" t="s">
        <v>729</v>
      </c>
      <c r="J37" s="95"/>
      <c r="K37" s="122" t="s">
        <v>797</v>
      </c>
      <c r="L37" s="122" t="s">
        <v>692</v>
      </c>
      <c r="M37" s="122" t="s">
        <v>798</v>
      </c>
      <c r="N37" s="122">
        <v>0.1</v>
      </c>
      <c r="O37" s="118">
        <v>0.1</v>
      </c>
      <c r="P37" s="119"/>
      <c r="Q37" s="119"/>
      <c r="R37" s="119"/>
      <c r="S37" s="118">
        <f t="shared" si="0"/>
        <v>0.1</v>
      </c>
      <c r="T37" s="120">
        <f t="shared" si="1"/>
        <v>1</v>
      </c>
      <c r="U37" s="122" t="s">
        <v>799</v>
      </c>
      <c r="V37" s="122" t="s">
        <v>775</v>
      </c>
      <c r="W37" s="122">
        <f>30*5</f>
        <v>150</v>
      </c>
      <c r="X37" s="122" t="s">
        <v>800</v>
      </c>
      <c r="Y37" s="122" t="s">
        <v>801</v>
      </c>
      <c r="Z37" s="306" t="s">
        <v>694</v>
      </c>
      <c r="AA37" s="122" t="s">
        <v>746</v>
      </c>
      <c r="AB37" s="122" t="s">
        <v>747</v>
      </c>
      <c r="AC37" s="122" t="s">
        <v>802</v>
      </c>
      <c r="AD37" s="330" t="s">
        <v>803</v>
      </c>
      <c r="AE37" s="98">
        <v>100000000</v>
      </c>
      <c r="AF37" s="98" t="s">
        <v>804</v>
      </c>
      <c r="AG37" s="98" t="s">
        <v>805</v>
      </c>
      <c r="AH37" s="122" t="s">
        <v>799</v>
      </c>
      <c r="AI37" s="98">
        <v>100000000</v>
      </c>
      <c r="AJ37" s="303">
        <v>500000000</v>
      </c>
      <c r="AK37" s="119"/>
      <c r="AL37" s="119"/>
      <c r="AM37" s="119"/>
      <c r="AN37" s="306" t="s">
        <v>806</v>
      </c>
      <c r="AO37" s="306" t="s">
        <v>807</v>
      </c>
      <c r="AP37" s="303">
        <v>378229197</v>
      </c>
      <c r="AQ37" s="305">
        <f>+AP37/AJ37</f>
        <v>0.75645839400000003</v>
      </c>
      <c r="AR37" s="303">
        <v>56400000</v>
      </c>
      <c r="AS37" s="305">
        <f>+AR37/AJ37</f>
        <v>0.1128</v>
      </c>
      <c r="AT37" s="119"/>
      <c r="AU37" s="119"/>
      <c r="AV37" s="119"/>
      <c r="AW37" s="119"/>
      <c r="AX37" s="119"/>
      <c r="AY37" s="119"/>
      <c r="AZ37" s="119"/>
      <c r="BA37" s="119"/>
      <c r="BB37" s="119"/>
      <c r="BC37" s="119"/>
      <c r="BD37" s="119"/>
      <c r="BE37" s="119"/>
      <c r="BF37" s="362"/>
    </row>
    <row r="38" spans="1:61" s="123" customFormat="1" ht="90">
      <c r="A38" s="306"/>
      <c r="B38" s="306"/>
      <c r="C38" s="332"/>
      <c r="D38" s="306"/>
      <c r="E38" s="306"/>
      <c r="F38" s="324"/>
      <c r="G38" s="310"/>
      <c r="H38" s="306"/>
      <c r="I38" s="306"/>
      <c r="J38" s="95"/>
      <c r="K38" s="122" t="s">
        <v>808</v>
      </c>
      <c r="L38" s="122" t="s">
        <v>692</v>
      </c>
      <c r="M38" s="122" t="s">
        <v>809</v>
      </c>
      <c r="N38" s="122">
        <v>0.3</v>
      </c>
      <c r="O38" s="118">
        <v>2.7799999999999998E-2</v>
      </c>
      <c r="P38" s="119"/>
      <c r="Q38" s="119"/>
      <c r="R38" s="119"/>
      <c r="S38" s="118">
        <f t="shared" si="0"/>
        <v>2.7799999999999998E-2</v>
      </c>
      <c r="T38" s="120">
        <f t="shared" si="1"/>
        <v>9.2666666666666661E-2</v>
      </c>
      <c r="U38" s="122" t="s">
        <v>799</v>
      </c>
      <c r="V38" s="122" t="s">
        <v>785</v>
      </c>
      <c r="W38" s="122">
        <f>30*11</f>
        <v>330</v>
      </c>
      <c r="X38" s="122" t="s">
        <v>800</v>
      </c>
      <c r="Y38" s="122" t="s">
        <v>801</v>
      </c>
      <c r="Z38" s="306"/>
      <c r="AA38" s="122" t="s">
        <v>746</v>
      </c>
      <c r="AB38" s="122" t="s">
        <v>747</v>
      </c>
      <c r="AC38" s="122" t="s">
        <v>802</v>
      </c>
      <c r="AD38" s="330"/>
      <c r="AE38" s="98">
        <v>400000000</v>
      </c>
      <c r="AF38" s="98" t="s">
        <v>804</v>
      </c>
      <c r="AG38" s="98" t="s">
        <v>805</v>
      </c>
      <c r="AH38" s="122" t="s">
        <v>799</v>
      </c>
      <c r="AI38" s="98">
        <v>400000000</v>
      </c>
      <c r="AJ38" s="303"/>
      <c r="AK38" s="119"/>
      <c r="AL38" s="119"/>
      <c r="AM38" s="119"/>
      <c r="AN38" s="306"/>
      <c r="AO38" s="306"/>
      <c r="AP38" s="303"/>
      <c r="AQ38" s="305"/>
      <c r="AR38" s="303"/>
      <c r="AS38" s="305"/>
      <c r="AT38" s="119"/>
      <c r="AU38" s="119"/>
      <c r="AV38" s="119"/>
      <c r="AW38" s="119"/>
      <c r="AX38" s="119"/>
      <c r="AY38" s="119"/>
      <c r="AZ38" s="119"/>
      <c r="BA38" s="119"/>
      <c r="BB38" s="119"/>
      <c r="BC38" s="119"/>
      <c r="BD38" s="119"/>
      <c r="BE38" s="119"/>
      <c r="BF38" s="363"/>
    </row>
    <row r="39" spans="1:61" s="123" customFormat="1" ht="72">
      <c r="A39" s="306"/>
      <c r="B39" s="306"/>
      <c r="C39" s="332"/>
      <c r="D39" s="306"/>
      <c r="E39" s="306"/>
      <c r="F39" s="324"/>
      <c r="G39" s="310"/>
      <c r="H39" s="306"/>
      <c r="I39" s="306"/>
      <c r="J39" s="95"/>
      <c r="K39" s="122" t="s">
        <v>810</v>
      </c>
      <c r="L39" s="122" t="s">
        <v>692</v>
      </c>
      <c r="M39" s="122" t="s">
        <v>811</v>
      </c>
      <c r="N39" s="122" t="s">
        <v>270</v>
      </c>
      <c r="O39" s="118" t="s">
        <v>308</v>
      </c>
      <c r="P39" s="119"/>
      <c r="Q39" s="119"/>
      <c r="R39" s="119"/>
      <c r="S39" s="118" t="s">
        <v>308</v>
      </c>
      <c r="T39" s="120" t="s">
        <v>308</v>
      </c>
      <c r="U39" s="122" t="s">
        <v>308</v>
      </c>
      <c r="V39" s="122" t="s">
        <v>308</v>
      </c>
      <c r="W39" s="122" t="s">
        <v>308</v>
      </c>
      <c r="X39" s="122" t="s">
        <v>308</v>
      </c>
      <c r="Y39" s="122" t="s">
        <v>308</v>
      </c>
      <c r="Z39" s="122" t="s">
        <v>308</v>
      </c>
      <c r="AA39" s="122" t="s">
        <v>308</v>
      </c>
      <c r="AB39" s="122" t="s">
        <v>308</v>
      </c>
      <c r="AC39" s="122" t="s">
        <v>308</v>
      </c>
      <c r="AD39" s="122" t="s">
        <v>308</v>
      </c>
      <c r="AE39" s="122" t="s">
        <v>308</v>
      </c>
      <c r="AF39" s="122" t="s">
        <v>308</v>
      </c>
      <c r="AG39" s="122" t="s">
        <v>308</v>
      </c>
      <c r="AH39" s="122" t="s">
        <v>308</v>
      </c>
      <c r="AI39" s="122" t="s">
        <v>308</v>
      </c>
      <c r="AJ39" s="303"/>
      <c r="AK39" s="119"/>
      <c r="AL39" s="119"/>
      <c r="AM39" s="119"/>
      <c r="AN39" s="122" t="s">
        <v>308</v>
      </c>
      <c r="AO39" s="122" t="s">
        <v>308</v>
      </c>
      <c r="AP39" s="303"/>
      <c r="AQ39" s="305"/>
      <c r="AR39" s="303"/>
      <c r="AS39" s="305"/>
      <c r="AT39" s="119"/>
      <c r="AU39" s="119"/>
      <c r="AV39" s="119"/>
      <c r="AW39" s="119"/>
      <c r="AX39" s="119"/>
      <c r="AY39" s="119"/>
      <c r="AZ39" s="119"/>
      <c r="BA39" s="119"/>
      <c r="BB39" s="119"/>
      <c r="BC39" s="119"/>
      <c r="BD39" s="119"/>
      <c r="BE39" s="119"/>
      <c r="BF39" s="363"/>
    </row>
    <row r="40" spans="1:61" s="123" customFormat="1" ht="72">
      <c r="A40" s="306"/>
      <c r="B40" s="306"/>
      <c r="C40" s="332"/>
      <c r="D40" s="306"/>
      <c r="E40" s="306"/>
      <c r="F40" s="324"/>
      <c r="G40" s="310"/>
      <c r="H40" s="306"/>
      <c r="I40" s="306"/>
      <c r="J40" s="95"/>
      <c r="K40" s="122" t="s">
        <v>812</v>
      </c>
      <c r="L40" s="122" t="s">
        <v>692</v>
      </c>
      <c r="M40" s="122" t="s">
        <v>813</v>
      </c>
      <c r="N40" s="122" t="s">
        <v>270</v>
      </c>
      <c r="O40" s="118" t="s">
        <v>308</v>
      </c>
      <c r="P40" s="119"/>
      <c r="Q40" s="119"/>
      <c r="R40" s="119"/>
      <c r="S40" s="118" t="s">
        <v>308</v>
      </c>
      <c r="T40" s="120" t="s">
        <v>308</v>
      </c>
      <c r="U40" s="122" t="s">
        <v>308</v>
      </c>
      <c r="V40" s="122" t="s">
        <v>308</v>
      </c>
      <c r="W40" s="122" t="s">
        <v>308</v>
      </c>
      <c r="X40" s="122" t="s">
        <v>308</v>
      </c>
      <c r="Y40" s="122" t="s">
        <v>308</v>
      </c>
      <c r="Z40" s="122" t="s">
        <v>308</v>
      </c>
      <c r="AA40" s="122" t="s">
        <v>308</v>
      </c>
      <c r="AB40" s="122" t="s">
        <v>308</v>
      </c>
      <c r="AC40" s="122" t="s">
        <v>308</v>
      </c>
      <c r="AD40" s="122" t="s">
        <v>308</v>
      </c>
      <c r="AE40" s="122" t="s">
        <v>308</v>
      </c>
      <c r="AF40" s="122" t="s">
        <v>308</v>
      </c>
      <c r="AG40" s="122" t="s">
        <v>308</v>
      </c>
      <c r="AH40" s="122" t="s">
        <v>308</v>
      </c>
      <c r="AI40" s="122" t="s">
        <v>308</v>
      </c>
      <c r="AJ40" s="303"/>
      <c r="AK40" s="119"/>
      <c r="AL40" s="119"/>
      <c r="AM40" s="119"/>
      <c r="AN40" s="122" t="s">
        <v>308</v>
      </c>
      <c r="AO40" s="122" t="s">
        <v>308</v>
      </c>
      <c r="AP40" s="303"/>
      <c r="AQ40" s="305"/>
      <c r="AR40" s="303"/>
      <c r="AS40" s="305"/>
      <c r="AT40" s="119"/>
      <c r="AU40" s="119"/>
      <c r="AV40" s="119"/>
      <c r="AW40" s="119"/>
      <c r="AX40" s="119"/>
      <c r="AY40" s="119"/>
      <c r="AZ40" s="119"/>
      <c r="BA40" s="119"/>
      <c r="BB40" s="119"/>
      <c r="BC40" s="119"/>
      <c r="BD40" s="119"/>
      <c r="BE40" s="119"/>
      <c r="BF40" s="363"/>
    </row>
    <row r="41" spans="1:61" s="123" customFormat="1" ht="72">
      <c r="A41" s="306"/>
      <c r="B41" s="306"/>
      <c r="C41" s="332"/>
      <c r="D41" s="306"/>
      <c r="E41" s="306"/>
      <c r="F41" s="324"/>
      <c r="G41" s="310"/>
      <c r="H41" s="306"/>
      <c r="I41" s="306"/>
      <c r="J41" s="95"/>
      <c r="K41" s="122" t="s">
        <v>814</v>
      </c>
      <c r="L41" s="122" t="s">
        <v>692</v>
      </c>
      <c r="M41" s="122" t="s">
        <v>815</v>
      </c>
      <c r="N41" s="122" t="s">
        <v>270</v>
      </c>
      <c r="O41" s="118" t="s">
        <v>308</v>
      </c>
      <c r="P41" s="119"/>
      <c r="Q41" s="119"/>
      <c r="R41" s="119"/>
      <c r="S41" s="118" t="s">
        <v>308</v>
      </c>
      <c r="T41" s="120" t="s">
        <v>308</v>
      </c>
      <c r="U41" s="122" t="s">
        <v>308</v>
      </c>
      <c r="V41" s="122" t="s">
        <v>308</v>
      </c>
      <c r="W41" s="122" t="s">
        <v>308</v>
      </c>
      <c r="X41" s="122" t="s">
        <v>308</v>
      </c>
      <c r="Y41" s="122" t="s">
        <v>308</v>
      </c>
      <c r="Z41" s="122" t="s">
        <v>308</v>
      </c>
      <c r="AA41" s="122" t="s">
        <v>308</v>
      </c>
      <c r="AB41" s="122" t="s">
        <v>308</v>
      </c>
      <c r="AC41" s="122" t="s">
        <v>308</v>
      </c>
      <c r="AD41" s="122" t="s">
        <v>308</v>
      </c>
      <c r="AE41" s="122" t="s">
        <v>308</v>
      </c>
      <c r="AF41" s="122" t="s">
        <v>308</v>
      </c>
      <c r="AG41" s="122" t="s">
        <v>308</v>
      </c>
      <c r="AH41" s="122" t="s">
        <v>308</v>
      </c>
      <c r="AI41" s="122" t="s">
        <v>308</v>
      </c>
      <c r="AJ41" s="303"/>
      <c r="AK41" s="119"/>
      <c r="AL41" s="119"/>
      <c r="AM41" s="119"/>
      <c r="AN41" s="122" t="s">
        <v>308</v>
      </c>
      <c r="AO41" s="122" t="s">
        <v>308</v>
      </c>
      <c r="AP41" s="303"/>
      <c r="AQ41" s="305"/>
      <c r="AR41" s="303"/>
      <c r="AS41" s="305"/>
      <c r="AT41" s="119"/>
      <c r="AU41" s="119"/>
      <c r="AV41" s="119"/>
      <c r="AW41" s="119"/>
      <c r="AX41" s="119"/>
      <c r="AY41" s="119"/>
      <c r="AZ41" s="119"/>
      <c r="BA41" s="119"/>
      <c r="BB41" s="119"/>
      <c r="BC41" s="119"/>
      <c r="BD41" s="119"/>
      <c r="BE41" s="119"/>
      <c r="BF41" s="364"/>
    </row>
    <row r="42" spans="1:61" s="123" customFormat="1" ht="62.25" customHeight="1">
      <c r="A42" s="306"/>
      <c r="B42" s="306"/>
      <c r="C42" s="332"/>
      <c r="D42" s="172"/>
      <c r="E42" s="172"/>
      <c r="F42" s="218"/>
      <c r="G42" s="188"/>
      <c r="H42" s="172"/>
      <c r="I42" s="172"/>
      <c r="J42" s="219"/>
      <c r="K42" s="302" t="s">
        <v>1283</v>
      </c>
      <c r="L42" s="302"/>
      <c r="M42" s="302"/>
      <c r="N42" s="302"/>
      <c r="O42" s="302"/>
      <c r="P42" s="302"/>
      <c r="Q42" s="302"/>
      <c r="R42" s="302"/>
      <c r="S42" s="302"/>
      <c r="T42" s="140">
        <f>AVERAGE(T37:T41)</f>
        <v>0.54633333333333334</v>
      </c>
      <c r="U42" s="172"/>
      <c r="V42" s="172"/>
      <c r="W42" s="172"/>
      <c r="X42" s="172"/>
      <c r="Y42" s="172"/>
      <c r="Z42" s="172"/>
      <c r="AA42" s="172"/>
      <c r="AB42" s="172"/>
      <c r="AC42" s="172"/>
      <c r="AD42" s="172"/>
      <c r="AE42" s="312" t="s">
        <v>1284</v>
      </c>
      <c r="AF42" s="312"/>
      <c r="AG42" s="312"/>
      <c r="AH42" s="312"/>
      <c r="AI42" s="312"/>
      <c r="AJ42" s="129">
        <f>AJ37</f>
        <v>500000000</v>
      </c>
      <c r="AK42" s="171"/>
      <c r="AL42" s="171"/>
      <c r="AM42" s="171"/>
      <c r="AN42" s="172"/>
      <c r="AO42" s="172"/>
      <c r="AP42" s="129">
        <f>AP37</f>
        <v>378229197</v>
      </c>
      <c r="AQ42" s="140">
        <f t="shared" ref="AQ42:AS42" si="5">AQ37</f>
        <v>0.75645839400000003</v>
      </c>
      <c r="AR42" s="129">
        <f t="shared" si="5"/>
        <v>56400000</v>
      </c>
      <c r="AS42" s="140">
        <f t="shared" si="5"/>
        <v>0.1128</v>
      </c>
      <c r="AT42" s="171"/>
      <c r="AU42" s="171"/>
      <c r="AV42" s="171"/>
      <c r="AW42" s="171"/>
      <c r="AX42" s="171"/>
      <c r="AY42" s="171"/>
      <c r="AZ42" s="171"/>
      <c r="BA42" s="171"/>
      <c r="BB42" s="171"/>
      <c r="BC42" s="171"/>
      <c r="BD42" s="171"/>
      <c r="BE42" s="171"/>
      <c r="BF42" s="220"/>
    </row>
    <row r="43" spans="1:61" s="123" customFormat="1" ht="90">
      <c r="A43" s="306"/>
      <c r="B43" s="306"/>
      <c r="C43" s="332"/>
      <c r="D43" s="330" t="s">
        <v>311</v>
      </c>
      <c r="E43" s="330" t="s">
        <v>816</v>
      </c>
      <c r="F43" s="333">
        <v>2024130010214</v>
      </c>
      <c r="G43" s="330" t="s">
        <v>817</v>
      </c>
      <c r="H43" s="330" t="s">
        <v>818</v>
      </c>
      <c r="I43" s="330" t="s">
        <v>729</v>
      </c>
      <c r="J43" s="95"/>
      <c r="K43" s="146" t="s">
        <v>819</v>
      </c>
      <c r="L43" s="330" t="s">
        <v>692</v>
      </c>
      <c r="M43" s="126" t="s">
        <v>798</v>
      </c>
      <c r="N43" s="126" t="s">
        <v>270</v>
      </c>
      <c r="O43" s="118" t="s">
        <v>308</v>
      </c>
      <c r="P43" s="119"/>
      <c r="Q43" s="119"/>
      <c r="R43" s="119"/>
      <c r="S43" s="118" t="s">
        <v>308</v>
      </c>
      <c r="T43" s="120" t="s">
        <v>308</v>
      </c>
      <c r="U43" s="126" t="s">
        <v>270</v>
      </c>
      <c r="V43" s="126" t="s">
        <v>270</v>
      </c>
      <c r="W43" s="126" t="s">
        <v>270</v>
      </c>
      <c r="X43" s="126" t="s">
        <v>800</v>
      </c>
      <c r="Y43" s="126"/>
      <c r="Z43" s="330" t="s">
        <v>1288</v>
      </c>
      <c r="AA43" s="330" t="s">
        <v>746</v>
      </c>
      <c r="AB43" s="330" t="s">
        <v>747</v>
      </c>
      <c r="AC43" s="330" t="s">
        <v>734</v>
      </c>
      <c r="AD43" s="330" t="s">
        <v>803</v>
      </c>
      <c r="AE43" s="147"/>
      <c r="AF43" s="340" t="s">
        <v>75</v>
      </c>
      <c r="AG43" s="340" t="s">
        <v>60</v>
      </c>
      <c r="AH43" s="341">
        <v>45658</v>
      </c>
      <c r="AI43" s="148"/>
      <c r="AJ43" s="338">
        <v>2500000000</v>
      </c>
      <c r="AK43" s="149"/>
      <c r="AL43" s="149"/>
      <c r="AM43" s="149"/>
      <c r="AN43" s="340" t="s">
        <v>820</v>
      </c>
      <c r="AO43" s="337" t="s">
        <v>821</v>
      </c>
      <c r="AP43" s="338">
        <v>1912212047</v>
      </c>
      <c r="AQ43" s="339">
        <f>+AP43/AJ43</f>
        <v>0.76488481880000003</v>
      </c>
      <c r="AR43" s="338">
        <v>276996420</v>
      </c>
      <c r="AS43" s="339">
        <f>+AR43/AJ43</f>
        <v>0.110798568</v>
      </c>
      <c r="AT43" s="119"/>
      <c r="AU43" s="119"/>
      <c r="AV43" s="119"/>
      <c r="AW43" s="119"/>
      <c r="AX43" s="119"/>
      <c r="AY43" s="119"/>
      <c r="AZ43" s="119"/>
      <c r="BA43" s="119"/>
      <c r="BB43" s="119"/>
      <c r="BC43" s="119"/>
      <c r="BD43" s="119"/>
      <c r="BE43" s="119"/>
      <c r="BF43" s="362"/>
      <c r="BG43" s="119"/>
      <c r="BH43" s="119"/>
      <c r="BI43" s="151"/>
    </row>
    <row r="44" spans="1:61" s="123" customFormat="1" ht="54">
      <c r="A44" s="306"/>
      <c r="B44" s="306"/>
      <c r="C44" s="332"/>
      <c r="D44" s="330"/>
      <c r="E44" s="330"/>
      <c r="F44" s="333"/>
      <c r="G44" s="330"/>
      <c r="H44" s="330"/>
      <c r="I44" s="330"/>
      <c r="J44" s="95"/>
      <c r="K44" s="232" t="s">
        <v>822</v>
      </c>
      <c r="L44" s="330"/>
      <c r="M44" s="126" t="s">
        <v>809</v>
      </c>
      <c r="N44" s="126">
        <v>0.5</v>
      </c>
      <c r="O44" s="152">
        <f>0+O49+O76</f>
        <v>2.642857142857143E-2</v>
      </c>
      <c r="P44" s="119"/>
      <c r="Q44" s="119"/>
      <c r="R44" s="119"/>
      <c r="S44" s="233">
        <f t="shared" si="0"/>
        <v>2.642857142857143E-2</v>
      </c>
      <c r="T44" s="234">
        <f t="shared" si="1"/>
        <v>5.2857142857142859E-2</v>
      </c>
      <c r="U44" s="121">
        <v>46054</v>
      </c>
      <c r="V44" s="121">
        <v>46357</v>
      </c>
      <c r="W44" s="126">
        <f>11*30</f>
        <v>330</v>
      </c>
      <c r="X44" s="126" t="s">
        <v>800</v>
      </c>
      <c r="Y44" s="126"/>
      <c r="Z44" s="330"/>
      <c r="AA44" s="330"/>
      <c r="AB44" s="330"/>
      <c r="AC44" s="330"/>
      <c r="AD44" s="330"/>
      <c r="AE44" s="148">
        <v>38016000</v>
      </c>
      <c r="AF44" s="340"/>
      <c r="AG44" s="340"/>
      <c r="AH44" s="340"/>
      <c r="AI44" s="148">
        <v>38016000</v>
      </c>
      <c r="AJ44" s="338"/>
      <c r="AK44" s="149"/>
      <c r="AL44" s="149"/>
      <c r="AM44" s="149"/>
      <c r="AN44" s="340"/>
      <c r="AO44" s="337"/>
      <c r="AP44" s="338"/>
      <c r="AQ44" s="339"/>
      <c r="AR44" s="338"/>
      <c r="AS44" s="339"/>
      <c r="AT44" s="119"/>
      <c r="AU44" s="119"/>
      <c r="AV44" s="119"/>
      <c r="AW44" s="119"/>
      <c r="AX44" s="119"/>
      <c r="AY44" s="119"/>
      <c r="AZ44" s="119"/>
      <c r="BA44" s="119"/>
      <c r="BB44" s="119"/>
      <c r="BC44" s="119"/>
      <c r="BD44" s="119"/>
      <c r="BE44" s="119"/>
      <c r="BF44" s="363"/>
      <c r="BG44" s="119"/>
      <c r="BH44" s="119"/>
      <c r="BI44" s="151"/>
    </row>
    <row r="45" spans="1:61" s="123" customFormat="1" ht="54">
      <c r="A45" s="306"/>
      <c r="B45" s="306"/>
      <c r="C45" s="332"/>
      <c r="D45" s="330"/>
      <c r="E45" s="330"/>
      <c r="F45" s="333"/>
      <c r="G45" s="330"/>
      <c r="H45" s="330"/>
      <c r="I45" s="330"/>
      <c r="J45" s="95"/>
      <c r="K45" s="146" t="s">
        <v>823</v>
      </c>
      <c r="L45" s="330"/>
      <c r="M45" s="126" t="s">
        <v>811</v>
      </c>
      <c r="N45" s="126" t="s">
        <v>270</v>
      </c>
      <c r="O45" s="118" t="s">
        <v>308</v>
      </c>
      <c r="P45" s="119"/>
      <c r="Q45" s="119"/>
      <c r="R45" s="119"/>
      <c r="S45" s="118" t="s">
        <v>308</v>
      </c>
      <c r="T45" s="120" t="s">
        <v>308</v>
      </c>
      <c r="U45" s="126" t="s">
        <v>270</v>
      </c>
      <c r="V45" s="126" t="s">
        <v>270</v>
      </c>
      <c r="W45" s="126" t="s">
        <v>270</v>
      </c>
      <c r="X45" s="126" t="s">
        <v>270</v>
      </c>
      <c r="Y45" s="126"/>
      <c r="Z45" s="330"/>
      <c r="AA45" s="330"/>
      <c r="AB45" s="330"/>
      <c r="AC45" s="330"/>
      <c r="AD45" s="330"/>
      <c r="AE45" s="342"/>
      <c r="AF45" s="340"/>
      <c r="AG45" s="340"/>
      <c r="AH45" s="340"/>
      <c r="AI45" s="337"/>
      <c r="AJ45" s="338"/>
      <c r="AK45" s="149"/>
      <c r="AL45" s="149"/>
      <c r="AM45" s="149"/>
      <c r="AN45" s="340"/>
      <c r="AO45" s="337"/>
      <c r="AP45" s="338"/>
      <c r="AQ45" s="339"/>
      <c r="AR45" s="338"/>
      <c r="AS45" s="339"/>
      <c r="AT45" s="119"/>
      <c r="AU45" s="119"/>
      <c r="AV45" s="119"/>
      <c r="AW45" s="119"/>
      <c r="AX45" s="119"/>
      <c r="AY45" s="119"/>
      <c r="AZ45" s="119"/>
      <c r="BA45" s="119"/>
      <c r="BB45" s="119"/>
      <c r="BC45" s="119"/>
      <c r="BD45" s="119"/>
      <c r="BE45" s="119"/>
      <c r="BF45" s="363"/>
      <c r="BG45" s="119"/>
      <c r="BH45" s="119"/>
      <c r="BI45" s="151"/>
    </row>
    <row r="46" spans="1:61" s="123" customFormat="1" ht="54">
      <c r="A46" s="306"/>
      <c r="B46" s="306"/>
      <c r="C46" s="332"/>
      <c r="D46" s="330"/>
      <c r="E46" s="330"/>
      <c r="F46" s="333"/>
      <c r="G46" s="330"/>
      <c r="H46" s="330"/>
      <c r="I46" s="330"/>
      <c r="J46" s="95"/>
      <c r="K46" s="146" t="s">
        <v>824</v>
      </c>
      <c r="L46" s="330"/>
      <c r="M46" s="126" t="s">
        <v>813</v>
      </c>
      <c r="N46" s="126" t="s">
        <v>270</v>
      </c>
      <c r="O46" s="118" t="s">
        <v>308</v>
      </c>
      <c r="P46" s="119"/>
      <c r="Q46" s="119"/>
      <c r="R46" s="119"/>
      <c r="S46" s="118" t="s">
        <v>308</v>
      </c>
      <c r="T46" s="120" t="s">
        <v>308</v>
      </c>
      <c r="U46" s="126" t="s">
        <v>270</v>
      </c>
      <c r="V46" s="126" t="s">
        <v>270</v>
      </c>
      <c r="W46" s="126" t="s">
        <v>270</v>
      </c>
      <c r="X46" s="126" t="s">
        <v>270</v>
      </c>
      <c r="Y46" s="126"/>
      <c r="Z46" s="330"/>
      <c r="AA46" s="330"/>
      <c r="AB46" s="330"/>
      <c r="AC46" s="330"/>
      <c r="AD46" s="330"/>
      <c r="AE46" s="342"/>
      <c r="AF46" s="340"/>
      <c r="AG46" s="340"/>
      <c r="AH46" s="340"/>
      <c r="AI46" s="337"/>
      <c r="AJ46" s="338"/>
      <c r="AK46" s="149"/>
      <c r="AL46" s="149"/>
      <c r="AM46" s="149"/>
      <c r="AN46" s="340"/>
      <c r="AO46" s="337"/>
      <c r="AP46" s="338"/>
      <c r="AQ46" s="339"/>
      <c r="AR46" s="338"/>
      <c r="AS46" s="339"/>
      <c r="AT46" s="119"/>
      <c r="AU46" s="119"/>
      <c r="AV46" s="119"/>
      <c r="AW46" s="119"/>
      <c r="AX46" s="119"/>
      <c r="AY46" s="119"/>
      <c r="AZ46" s="119"/>
      <c r="BA46" s="119"/>
      <c r="BB46" s="119"/>
      <c r="BC46" s="119"/>
      <c r="BD46" s="119"/>
      <c r="BE46" s="119"/>
      <c r="BF46" s="363"/>
      <c r="BG46" s="119"/>
      <c r="BH46" s="119"/>
      <c r="BI46" s="151"/>
    </row>
    <row r="47" spans="1:61" s="123" customFormat="1" ht="72">
      <c r="A47" s="306"/>
      <c r="B47" s="306"/>
      <c r="C47" s="332"/>
      <c r="D47" s="330"/>
      <c r="E47" s="330"/>
      <c r="F47" s="333"/>
      <c r="G47" s="330"/>
      <c r="H47" s="330"/>
      <c r="I47" s="330"/>
      <c r="J47" s="95"/>
      <c r="K47" s="146" t="s">
        <v>705</v>
      </c>
      <c r="L47" s="330"/>
      <c r="M47" s="126" t="s">
        <v>815</v>
      </c>
      <c r="N47" s="126" t="s">
        <v>270</v>
      </c>
      <c r="O47" s="118" t="s">
        <v>308</v>
      </c>
      <c r="P47" s="119"/>
      <c r="Q47" s="119"/>
      <c r="R47" s="119"/>
      <c r="S47" s="118" t="s">
        <v>308</v>
      </c>
      <c r="T47" s="120" t="s">
        <v>308</v>
      </c>
      <c r="U47" s="126" t="s">
        <v>270</v>
      </c>
      <c r="V47" s="126" t="s">
        <v>270</v>
      </c>
      <c r="W47" s="126" t="s">
        <v>270</v>
      </c>
      <c r="X47" s="126" t="s">
        <v>270</v>
      </c>
      <c r="Y47" s="126"/>
      <c r="Z47" s="330"/>
      <c r="AA47" s="330"/>
      <c r="AB47" s="330"/>
      <c r="AC47" s="330"/>
      <c r="AD47" s="330"/>
      <c r="AE47" s="342"/>
      <c r="AF47" s="340"/>
      <c r="AG47" s="340"/>
      <c r="AH47" s="340"/>
      <c r="AI47" s="337"/>
      <c r="AJ47" s="338"/>
      <c r="AK47" s="149"/>
      <c r="AL47" s="149"/>
      <c r="AM47" s="149"/>
      <c r="AN47" s="340"/>
      <c r="AO47" s="337"/>
      <c r="AP47" s="338"/>
      <c r="AQ47" s="339"/>
      <c r="AR47" s="338"/>
      <c r="AS47" s="339"/>
      <c r="AT47" s="119"/>
      <c r="AU47" s="119"/>
      <c r="AV47" s="119"/>
      <c r="AW47" s="119"/>
      <c r="AX47" s="119"/>
      <c r="AY47" s="119"/>
      <c r="AZ47" s="119"/>
      <c r="BA47" s="119"/>
      <c r="BB47" s="119"/>
      <c r="BC47" s="119"/>
      <c r="BD47" s="119"/>
      <c r="BE47" s="119"/>
      <c r="BF47" s="363"/>
      <c r="BG47" s="119"/>
      <c r="BH47" s="119"/>
      <c r="BI47" s="151"/>
    </row>
    <row r="48" spans="1:61" s="123" customFormat="1" ht="90">
      <c r="A48" s="306"/>
      <c r="B48" s="306"/>
      <c r="C48" s="332"/>
      <c r="D48" s="330" t="s">
        <v>825</v>
      </c>
      <c r="E48" s="330" t="s">
        <v>816</v>
      </c>
      <c r="F48" s="333">
        <v>2024130010214</v>
      </c>
      <c r="G48" s="330" t="s">
        <v>817</v>
      </c>
      <c r="H48" s="330" t="s">
        <v>818</v>
      </c>
      <c r="I48" s="330" t="s">
        <v>729</v>
      </c>
      <c r="J48" s="95"/>
      <c r="K48" s="126" t="s">
        <v>797</v>
      </c>
      <c r="L48" s="330" t="s">
        <v>692</v>
      </c>
      <c r="M48" s="126" t="s">
        <v>798</v>
      </c>
      <c r="N48" s="126" t="s">
        <v>270</v>
      </c>
      <c r="O48" s="118" t="s">
        <v>308</v>
      </c>
      <c r="P48" s="119"/>
      <c r="Q48" s="119"/>
      <c r="R48" s="119"/>
      <c r="S48" s="118" t="s">
        <v>308</v>
      </c>
      <c r="T48" s="120" t="s">
        <v>308</v>
      </c>
      <c r="U48" s="126" t="s">
        <v>270</v>
      </c>
      <c r="V48" s="126" t="s">
        <v>270</v>
      </c>
      <c r="W48" s="126" t="s">
        <v>270</v>
      </c>
      <c r="X48" s="330" t="s">
        <v>722</v>
      </c>
      <c r="Y48" s="330">
        <v>10</v>
      </c>
      <c r="Z48" s="330" t="s">
        <v>1288</v>
      </c>
      <c r="AA48" s="330" t="s">
        <v>746</v>
      </c>
      <c r="AB48" s="330" t="s">
        <v>747</v>
      </c>
      <c r="AC48" s="330" t="s">
        <v>734</v>
      </c>
      <c r="AD48" s="330" t="s">
        <v>803</v>
      </c>
      <c r="AE48" s="148"/>
      <c r="AF48" s="340" t="s">
        <v>75</v>
      </c>
      <c r="AG48" s="340" t="s">
        <v>60</v>
      </c>
      <c r="AH48" s="341">
        <v>45658</v>
      </c>
      <c r="AI48" s="148"/>
      <c r="AJ48" s="338"/>
      <c r="AK48" s="149"/>
      <c r="AL48" s="149"/>
      <c r="AM48" s="149"/>
      <c r="AN48" s="340" t="s">
        <v>820</v>
      </c>
      <c r="AO48" s="337" t="s">
        <v>821</v>
      </c>
      <c r="AP48" s="338"/>
      <c r="AQ48" s="339"/>
      <c r="AR48" s="338"/>
      <c r="AS48" s="339"/>
      <c r="AT48" s="119"/>
      <c r="AU48" s="119"/>
      <c r="AV48" s="119"/>
      <c r="AW48" s="119"/>
      <c r="AX48" s="119"/>
      <c r="AY48" s="119"/>
      <c r="AZ48" s="119"/>
      <c r="BA48" s="119"/>
      <c r="BB48" s="119"/>
      <c r="BC48" s="119"/>
      <c r="BD48" s="119"/>
      <c r="BE48" s="119"/>
      <c r="BF48" s="363"/>
      <c r="BG48" s="119"/>
      <c r="BH48" s="119"/>
      <c r="BI48" s="151"/>
    </row>
    <row r="49" spans="1:61" s="123" customFormat="1" ht="54">
      <c r="A49" s="306"/>
      <c r="B49" s="306"/>
      <c r="C49" s="332"/>
      <c r="D49" s="330"/>
      <c r="E49" s="330"/>
      <c r="F49" s="333"/>
      <c r="G49" s="330"/>
      <c r="H49" s="330"/>
      <c r="I49" s="330"/>
      <c r="J49" s="95"/>
      <c r="K49" s="235" t="s">
        <v>808</v>
      </c>
      <c r="L49" s="330"/>
      <c r="M49" s="126" t="s">
        <v>809</v>
      </c>
      <c r="N49" s="126">
        <v>0.20300000000000001</v>
      </c>
      <c r="O49" s="118">
        <v>0.02</v>
      </c>
      <c r="P49" s="119"/>
      <c r="Q49" s="119"/>
      <c r="R49" s="119"/>
      <c r="S49" s="233">
        <f t="shared" si="0"/>
        <v>0.02</v>
      </c>
      <c r="T49" s="234">
        <f t="shared" si="1"/>
        <v>9.852216748768472E-2</v>
      </c>
      <c r="U49" s="153">
        <v>46082</v>
      </c>
      <c r="V49" s="121">
        <v>46357</v>
      </c>
      <c r="W49" s="126">
        <f>10*30</f>
        <v>300</v>
      </c>
      <c r="X49" s="330"/>
      <c r="Y49" s="330"/>
      <c r="Z49" s="330"/>
      <c r="AA49" s="330"/>
      <c r="AB49" s="330"/>
      <c r="AC49" s="330"/>
      <c r="AD49" s="330"/>
      <c r="AE49" s="148">
        <v>326535914.48000002</v>
      </c>
      <c r="AF49" s="340"/>
      <c r="AG49" s="340"/>
      <c r="AH49" s="340"/>
      <c r="AI49" s="148">
        <v>326535914.48000002</v>
      </c>
      <c r="AJ49" s="338"/>
      <c r="AK49" s="149"/>
      <c r="AL49" s="149"/>
      <c r="AM49" s="149"/>
      <c r="AN49" s="340"/>
      <c r="AO49" s="337"/>
      <c r="AP49" s="338"/>
      <c r="AQ49" s="339"/>
      <c r="AR49" s="338"/>
      <c r="AS49" s="339"/>
      <c r="AT49" s="119"/>
      <c r="AU49" s="119"/>
      <c r="AV49" s="119"/>
      <c r="AW49" s="119"/>
      <c r="AX49" s="119"/>
      <c r="AY49" s="119"/>
      <c r="AZ49" s="119"/>
      <c r="BA49" s="119"/>
      <c r="BB49" s="119"/>
      <c r="BC49" s="119"/>
      <c r="BD49" s="119"/>
      <c r="BE49" s="119"/>
      <c r="BF49" s="363"/>
      <c r="BG49" s="119"/>
      <c r="BH49" s="119"/>
      <c r="BI49" s="151"/>
    </row>
    <row r="50" spans="1:61" s="123" customFormat="1" ht="72">
      <c r="A50" s="306"/>
      <c r="B50" s="306"/>
      <c r="C50" s="332"/>
      <c r="D50" s="330"/>
      <c r="E50" s="330"/>
      <c r="F50" s="333"/>
      <c r="G50" s="330"/>
      <c r="H50" s="330"/>
      <c r="I50" s="330"/>
      <c r="J50" s="95"/>
      <c r="K50" s="126" t="s">
        <v>810</v>
      </c>
      <c r="L50" s="330"/>
      <c r="M50" s="126" t="s">
        <v>811</v>
      </c>
      <c r="N50" s="126" t="s">
        <v>270</v>
      </c>
      <c r="O50" s="118" t="s">
        <v>308</v>
      </c>
      <c r="P50" s="119"/>
      <c r="Q50" s="119"/>
      <c r="R50" s="119"/>
      <c r="S50" s="118" t="s">
        <v>308</v>
      </c>
      <c r="T50" s="120" t="s">
        <v>308</v>
      </c>
      <c r="U50" s="126" t="s">
        <v>270</v>
      </c>
      <c r="V50" s="126" t="s">
        <v>270</v>
      </c>
      <c r="W50" s="126" t="s">
        <v>270</v>
      </c>
      <c r="X50" s="330"/>
      <c r="Y50" s="330"/>
      <c r="Z50" s="330"/>
      <c r="AA50" s="330"/>
      <c r="AB50" s="330"/>
      <c r="AC50" s="330"/>
      <c r="AD50" s="330"/>
      <c r="AE50" s="148"/>
      <c r="AF50" s="340"/>
      <c r="AG50" s="340"/>
      <c r="AH50" s="340"/>
      <c r="AI50" s="148"/>
      <c r="AJ50" s="338"/>
      <c r="AK50" s="149"/>
      <c r="AL50" s="149"/>
      <c r="AM50" s="149"/>
      <c r="AN50" s="340"/>
      <c r="AO50" s="337"/>
      <c r="AP50" s="338"/>
      <c r="AQ50" s="339"/>
      <c r="AR50" s="338"/>
      <c r="AS50" s="339"/>
      <c r="AT50" s="119"/>
      <c r="AU50" s="119"/>
      <c r="AV50" s="119"/>
      <c r="AW50" s="119"/>
      <c r="AX50" s="119"/>
      <c r="AY50" s="119"/>
      <c r="AZ50" s="119"/>
      <c r="BA50" s="119"/>
      <c r="BB50" s="119"/>
      <c r="BC50" s="119"/>
      <c r="BD50" s="119"/>
      <c r="BE50" s="119"/>
      <c r="BF50" s="363"/>
      <c r="BG50" s="119"/>
      <c r="BH50" s="119"/>
      <c r="BI50" s="151"/>
    </row>
    <row r="51" spans="1:61" s="123" customFormat="1" ht="72">
      <c r="A51" s="306"/>
      <c r="B51" s="306"/>
      <c r="C51" s="332"/>
      <c r="D51" s="330"/>
      <c r="E51" s="330"/>
      <c r="F51" s="333"/>
      <c r="G51" s="330"/>
      <c r="H51" s="330"/>
      <c r="I51" s="330"/>
      <c r="J51" s="95"/>
      <c r="K51" s="126" t="s">
        <v>812</v>
      </c>
      <c r="L51" s="330"/>
      <c r="M51" s="126" t="s">
        <v>813</v>
      </c>
      <c r="N51" s="126" t="s">
        <v>270</v>
      </c>
      <c r="O51" s="118" t="s">
        <v>308</v>
      </c>
      <c r="P51" s="119"/>
      <c r="Q51" s="119"/>
      <c r="R51" s="119"/>
      <c r="S51" s="118" t="s">
        <v>308</v>
      </c>
      <c r="T51" s="120" t="s">
        <v>308</v>
      </c>
      <c r="U51" s="126" t="s">
        <v>270</v>
      </c>
      <c r="V51" s="126" t="s">
        <v>270</v>
      </c>
      <c r="W51" s="126" t="s">
        <v>270</v>
      </c>
      <c r="X51" s="330"/>
      <c r="Y51" s="330"/>
      <c r="Z51" s="330"/>
      <c r="AA51" s="330"/>
      <c r="AB51" s="330"/>
      <c r="AC51" s="330"/>
      <c r="AD51" s="330"/>
      <c r="AE51" s="148"/>
      <c r="AF51" s="340"/>
      <c r="AG51" s="340"/>
      <c r="AH51" s="340"/>
      <c r="AI51" s="148"/>
      <c r="AJ51" s="338"/>
      <c r="AK51" s="149"/>
      <c r="AL51" s="149"/>
      <c r="AM51" s="149"/>
      <c r="AN51" s="340"/>
      <c r="AO51" s="337"/>
      <c r="AP51" s="338"/>
      <c r="AQ51" s="339"/>
      <c r="AR51" s="338"/>
      <c r="AS51" s="339"/>
      <c r="AT51" s="119"/>
      <c r="AU51" s="119"/>
      <c r="AV51" s="119"/>
      <c r="AW51" s="119"/>
      <c r="AX51" s="119"/>
      <c r="AY51" s="119"/>
      <c r="AZ51" s="119"/>
      <c r="BA51" s="119"/>
      <c r="BB51" s="119"/>
      <c r="BC51" s="119"/>
      <c r="BD51" s="119"/>
      <c r="BE51" s="119"/>
      <c r="BF51" s="363"/>
      <c r="BG51" s="119"/>
      <c r="BH51" s="119"/>
      <c r="BI51" s="151"/>
    </row>
    <row r="52" spans="1:61" s="123" customFormat="1" ht="72">
      <c r="A52" s="306"/>
      <c r="B52" s="306"/>
      <c r="C52" s="332"/>
      <c r="D52" s="330"/>
      <c r="E52" s="330"/>
      <c r="F52" s="333"/>
      <c r="G52" s="330"/>
      <c r="H52" s="330"/>
      <c r="I52" s="330"/>
      <c r="J52" s="95"/>
      <c r="K52" s="126" t="s">
        <v>814</v>
      </c>
      <c r="L52" s="330"/>
      <c r="M52" s="126" t="s">
        <v>815</v>
      </c>
      <c r="N52" s="126" t="s">
        <v>270</v>
      </c>
      <c r="O52" s="118" t="s">
        <v>308</v>
      </c>
      <c r="P52" s="119"/>
      <c r="Q52" s="119"/>
      <c r="R52" s="119"/>
      <c r="S52" s="118" t="s">
        <v>308</v>
      </c>
      <c r="T52" s="120" t="s">
        <v>308</v>
      </c>
      <c r="U52" s="126" t="s">
        <v>270</v>
      </c>
      <c r="V52" s="126" t="s">
        <v>270</v>
      </c>
      <c r="W52" s="126" t="s">
        <v>270</v>
      </c>
      <c r="X52" s="330"/>
      <c r="Y52" s="330"/>
      <c r="Z52" s="330"/>
      <c r="AA52" s="330"/>
      <c r="AB52" s="330"/>
      <c r="AC52" s="330"/>
      <c r="AD52" s="330"/>
      <c r="AE52" s="148"/>
      <c r="AF52" s="340"/>
      <c r="AG52" s="340"/>
      <c r="AH52" s="340"/>
      <c r="AI52" s="148"/>
      <c r="AJ52" s="338"/>
      <c r="AK52" s="149"/>
      <c r="AL52" s="149"/>
      <c r="AM52" s="149"/>
      <c r="AN52" s="340"/>
      <c r="AO52" s="337"/>
      <c r="AP52" s="338"/>
      <c r="AQ52" s="339"/>
      <c r="AR52" s="338"/>
      <c r="AS52" s="339"/>
      <c r="AT52" s="119"/>
      <c r="AU52" s="119"/>
      <c r="AV52" s="119"/>
      <c r="AW52" s="119"/>
      <c r="AX52" s="119"/>
      <c r="AY52" s="119"/>
      <c r="AZ52" s="119"/>
      <c r="BA52" s="119"/>
      <c r="BB52" s="119"/>
      <c r="BC52" s="119"/>
      <c r="BD52" s="119"/>
      <c r="BE52" s="119"/>
      <c r="BF52" s="363"/>
      <c r="BG52" s="119"/>
      <c r="BH52" s="119"/>
      <c r="BI52" s="151"/>
    </row>
    <row r="53" spans="1:61" s="123" customFormat="1" ht="90">
      <c r="A53" s="306"/>
      <c r="B53" s="306"/>
      <c r="C53" s="332"/>
      <c r="D53" s="330" t="s">
        <v>317</v>
      </c>
      <c r="E53" s="330" t="s">
        <v>816</v>
      </c>
      <c r="F53" s="333">
        <v>2024130010214</v>
      </c>
      <c r="G53" s="330" t="s">
        <v>817</v>
      </c>
      <c r="H53" s="330" t="s">
        <v>818</v>
      </c>
      <c r="I53" s="330" t="s">
        <v>729</v>
      </c>
      <c r="J53" s="95"/>
      <c r="K53" s="126" t="s">
        <v>797</v>
      </c>
      <c r="L53" s="330" t="s">
        <v>692</v>
      </c>
      <c r="M53" s="126" t="s">
        <v>798</v>
      </c>
      <c r="N53" s="126" t="s">
        <v>270</v>
      </c>
      <c r="O53" s="118" t="s">
        <v>308</v>
      </c>
      <c r="P53" s="119"/>
      <c r="Q53" s="119"/>
      <c r="R53" s="119"/>
      <c r="S53" s="118" t="s">
        <v>308</v>
      </c>
      <c r="T53" s="120" t="s">
        <v>308</v>
      </c>
      <c r="U53" s="126" t="s">
        <v>270</v>
      </c>
      <c r="V53" s="126" t="s">
        <v>270</v>
      </c>
      <c r="W53" s="126" t="s">
        <v>270</v>
      </c>
      <c r="X53" s="126"/>
      <c r="Y53" s="126"/>
      <c r="Z53" s="330" t="s">
        <v>1288</v>
      </c>
      <c r="AA53" s="330" t="s">
        <v>746</v>
      </c>
      <c r="AB53" s="330" t="s">
        <v>747</v>
      </c>
      <c r="AC53" s="330" t="s">
        <v>734</v>
      </c>
      <c r="AD53" s="330" t="s">
        <v>803</v>
      </c>
      <c r="AE53" s="148"/>
      <c r="AF53" s="340" t="s">
        <v>75</v>
      </c>
      <c r="AG53" s="341" t="s">
        <v>826</v>
      </c>
      <c r="AH53" s="341">
        <v>46023</v>
      </c>
      <c r="AI53" s="148"/>
      <c r="AJ53" s="338"/>
      <c r="AK53" s="149"/>
      <c r="AL53" s="149"/>
      <c r="AM53" s="149"/>
      <c r="AN53" s="340" t="s">
        <v>820</v>
      </c>
      <c r="AO53" s="337" t="s">
        <v>821</v>
      </c>
      <c r="AP53" s="338"/>
      <c r="AQ53" s="339"/>
      <c r="AR53" s="338"/>
      <c r="AS53" s="339"/>
      <c r="AT53" s="119"/>
      <c r="AU53" s="119"/>
      <c r="AV53" s="119"/>
      <c r="AW53" s="119"/>
      <c r="AX53" s="119"/>
      <c r="AY53" s="119"/>
      <c r="AZ53" s="119"/>
      <c r="BA53" s="119"/>
      <c r="BB53" s="119"/>
      <c r="BC53" s="119"/>
      <c r="BD53" s="119"/>
      <c r="BE53" s="119"/>
      <c r="BF53" s="363"/>
      <c r="BG53" s="119"/>
      <c r="BH53" s="119"/>
      <c r="BI53" s="151"/>
    </row>
    <row r="54" spans="1:61" s="123" customFormat="1" ht="54">
      <c r="A54" s="306"/>
      <c r="B54" s="306"/>
      <c r="C54" s="332"/>
      <c r="D54" s="330"/>
      <c r="E54" s="330"/>
      <c r="F54" s="333"/>
      <c r="G54" s="330"/>
      <c r="H54" s="330"/>
      <c r="I54" s="330"/>
      <c r="J54" s="95"/>
      <c r="K54" s="235" t="s">
        <v>808</v>
      </c>
      <c r="L54" s="330"/>
      <c r="M54" s="126" t="s">
        <v>809</v>
      </c>
      <c r="N54" s="126">
        <v>0.06</v>
      </c>
      <c r="O54" s="118" t="s">
        <v>308</v>
      </c>
      <c r="P54" s="119"/>
      <c r="Q54" s="119"/>
      <c r="R54" s="119"/>
      <c r="S54" s="118" t="s">
        <v>308</v>
      </c>
      <c r="T54" s="234" t="s">
        <v>308</v>
      </c>
      <c r="U54" s="153">
        <v>46204</v>
      </c>
      <c r="V54" s="121">
        <v>46357</v>
      </c>
      <c r="W54" s="126">
        <f>6*30</f>
        <v>180</v>
      </c>
      <c r="X54" s="126" t="s">
        <v>800</v>
      </c>
      <c r="Y54" s="155"/>
      <c r="Z54" s="330"/>
      <c r="AA54" s="330"/>
      <c r="AB54" s="330"/>
      <c r="AC54" s="330"/>
      <c r="AD54" s="330"/>
      <c r="AE54" s="148">
        <f>75596744+316700160-38016000-40000000-18000000-18000000</f>
        <v>278280904</v>
      </c>
      <c r="AF54" s="340"/>
      <c r="AG54" s="340"/>
      <c r="AH54" s="340"/>
      <c r="AI54" s="148">
        <f>75596744+316700160-38016000-40000000-18000000-18000000</f>
        <v>278280904</v>
      </c>
      <c r="AJ54" s="338"/>
      <c r="AK54" s="149"/>
      <c r="AL54" s="149"/>
      <c r="AM54" s="149"/>
      <c r="AN54" s="340"/>
      <c r="AO54" s="337"/>
      <c r="AP54" s="338"/>
      <c r="AQ54" s="339"/>
      <c r="AR54" s="338"/>
      <c r="AS54" s="339"/>
      <c r="AT54" s="119"/>
      <c r="AU54" s="119"/>
      <c r="AV54" s="119"/>
      <c r="AW54" s="119"/>
      <c r="AX54" s="119"/>
      <c r="AY54" s="119"/>
      <c r="AZ54" s="119"/>
      <c r="BA54" s="119"/>
      <c r="BB54" s="119"/>
      <c r="BC54" s="119"/>
      <c r="BD54" s="119"/>
      <c r="BE54" s="119"/>
      <c r="BF54" s="363"/>
      <c r="BG54" s="119"/>
      <c r="BH54" s="119"/>
      <c r="BI54" s="151"/>
    </row>
    <row r="55" spans="1:61" s="123" customFormat="1" ht="72">
      <c r="A55" s="306"/>
      <c r="B55" s="306"/>
      <c r="C55" s="332"/>
      <c r="D55" s="330"/>
      <c r="E55" s="330"/>
      <c r="F55" s="333"/>
      <c r="G55" s="330"/>
      <c r="H55" s="330"/>
      <c r="I55" s="330"/>
      <c r="J55" s="95"/>
      <c r="K55" s="126" t="s">
        <v>810</v>
      </c>
      <c r="L55" s="330"/>
      <c r="M55" s="126" t="s">
        <v>811</v>
      </c>
      <c r="N55" s="126" t="s">
        <v>270</v>
      </c>
      <c r="O55" s="118" t="s">
        <v>308</v>
      </c>
      <c r="P55" s="119"/>
      <c r="Q55" s="119"/>
      <c r="R55" s="119"/>
      <c r="S55" s="118" t="s">
        <v>308</v>
      </c>
      <c r="T55" s="120" t="s">
        <v>308</v>
      </c>
      <c r="U55" s="126" t="s">
        <v>270</v>
      </c>
      <c r="V55" s="126" t="s">
        <v>270</v>
      </c>
      <c r="W55" s="126" t="s">
        <v>270</v>
      </c>
      <c r="X55" s="126" t="s">
        <v>800</v>
      </c>
      <c r="Y55" s="155"/>
      <c r="Z55" s="330"/>
      <c r="AA55" s="330"/>
      <c r="AB55" s="330"/>
      <c r="AC55" s="330"/>
      <c r="AD55" s="330"/>
      <c r="AE55" s="148">
        <v>390933299.92000002</v>
      </c>
      <c r="AF55" s="340"/>
      <c r="AG55" s="340"/>
      <c r="AH55" s="340"/>
      <c r="AI55" s="148">
        <v>390933299.92000002</v>
      </c>
      <c r="AJ55" s="338"/>
      <c r="AK55" s="149"/>
      <c r="AL55" s="149"/>
      <c r="AM55" s="149"/>
      <c r="AN55" s="340"/>
      <c r="AO55" s="337"/>
      <c r="AP55" s="338"/>
      <c r="AQ55" s="339"/>
      <c r="AR55" s="338"/>
      <c r="AS55" s="339"/>
      <c r="AT55" s="119"/>
      <c r="AU55" s="119"/>
      <c r="AV55" s="119"/>
      <c r="AW55" s="119"/>
      <c r="AX55" s="119"/>
      <c r="AY55" s="119"/>
      <c r="AZ55" s="119"/>
      <c r="BA55" s="119"/>
      <c r="BB55" s="119"/>
      <c r="BC55" s="119"/>
      <c r="BD55" s="119"/>
      <c r="BE55" s="119"/>
      <c r="BF55" s="363"/>
      <c r="BG55" s="119"/>
      <c r="BH55" s="119"/>
      <c r="BI55" s="151"/>
    </row>
    <row r="56" spans="1:61" s="123" customFormat="1" ht="72">
      <c r="A56" s="306"/>
      <c r="B56" s="306"/>
      <c r="C56" s="332"/>
      <c r="D56" s="330"/>
      <c r="E56" s="330"/>
      <c r="F56" s="333"/>
      <c r="G56" s="330"/>
      <c r="H56" s="330"/>
      <c r="I56" s="330"/>
      <c r="J56" s="95"/>
      <c r="K56" s="126" t="s">
        <v>812</v>
      </c>
      <c r="L56" s="330"/>
      <c r="M56" s="126" t="s">
        <v>813</v>
      </c>
      <c r="N56" s="126" t="s">
        <v>270</v>
      </c>
      <c r="O56" s="118" t="s">
        <v>308</v>
      </c>
      <c r="P56" s="119"/>
      <c r="Q56" s="119"/>
      <c r="R56" s="119"/>
      <c r="S56" s="118" t="s">
        <v>308</v>
      </c>
      <c r="T56" s="120" t="s">
        <v>308</v>
      </c>
      <c r="U56" s="126" t="s">
        <v>270</v>
      </c>
      <c r="V56" s="126" t="s">
        <v>270</v>
      </c>
      <c r="W56" s="126" t="s">
        <v>270</v>
      </c>
      <c r="X56" s="126"/>
      <c r="Y56" s="126"/>
      <c r="Z56" s="330"/>
      <c r="AA56" s="330"/>
      <c r="AB56" s="330"/>
      <c r="AC56" s="330"/>
      <c r="AD56" s="330"/>
      <c r="AE56" s="148"/>
      <c r="AF56" s="340"/>
      <c r="AG56" s="340"/>
      <c r="AH56" s="340"/>
      <c r="AI56" s="148"/>
      <c r="AJ56" s="338"/>
      <c r="AK56" s="149"/>
      <c r="AL56" s="149"/>
      <c r="AM56" s="149"/>
      <c r="AN56" s="340"/>
      <c r="AO56" s="337"/>
      <c r="AP56" s="338"/>
      <c r="AQ56" s="339"/>
      <c r="AR56" s="338"/>
      <c r="AS56" s="339"/>
      <c r="AT56" s="119"/>
      <c r="AU56" s="119"/>
      <c r="AV56" s="119"/>
      <c r="AW56" s="119"/>
      <c r="AX56" s="119"/>
      <c r="AY56" s="119"/>
      <c r="AZ56" s="119"/>
      <c r="BA56" s="119"/>
      <c r="BB56" s="119"/>
      <c r="BC56" s="119"/>
      <c r="BD56" s="119"/>
      <c r="BE56" s="119"/>
      <c r="BF56" s="363"/>
      <c r="BG56" s="119"/>
      <c r="BH56" s="119"/>
      <c r="BI56" s="151"/>
    </row>
    <row r="57" spans="1:61" s="123" customFormat="1" ht="72">
      <c r="A57" s="306"/>
      <c r="B57" s="306"/>
      <c r="C57" s="332"/>
      <c r="D57" s="330"/>
      <c r="E57" s="330"/>
      <c r="F57" s="333"/>
      <c r="G57" s="330"/>
      <c r="H57" s="330"/>
      <c r="I57" s="330"/>
      <c r="J57" s="95"/>
      <c r="K57" s="126" t="s">
        <v>814</v>
      </c>
      <c r="L57" s="330"/>
      <c r="M57" s="126" t="s">
        <v>815</v>
      </c>
      <c r="N57" s="126" t="s">
        <v>270</v>
      </c>
      <c r="O57" s="118" t="s">
        <v>308</v>
      </c>
      <c r="P57" s="119"/>
      <c r="Q57" s="119"/>
      <c r="R57" s="119"/>
      <c r="S57" s="118" t="s">
        <v>308</v>
      </c>
      <c r="T57" s="120" t="s">
        <v>308</v>
      </c>
      <c r="U57" s="126" t="s">
        <v>270</v>
      </c>
      <c r="V57" s="126" t="s">
        <v>270</v>
      </c>
      <c r="W57" s="126" t="s">
        <v>270</v>
      </c>
      <c r="X57" s="126"/>
      <c r="Y57" s="126"/>
      <c r="Z57" s="330"/>
      <c r="AA57" s="330"/>
      <c r="AB57" s="330"/>
      <c r="AC57" s="330"/>
      <c r="AD57" s="330"/>
      <c r="AE57" s="148">
        <v>163456972.79999998</v>
      </c>
      <c r="AF57" s="340"/>
      <c r="AG57" s="340"/>
      <c r="AH57" s="340"/>
      <c r="AI57" s="148">
        <v>163456972.79999998</v>
      </c>
      <c r="AJ57" s="338"/>
      <c r="AK57" s="149"/>
      <c r="AL57" s="149"/>
      <c r="AM57" s="149"/>
      <c r="AN57" s="340"/>
      <c r="AO57" s="337"/>
      <c r="AP57" s="338"/>
      <c r="AQ57" s="339"/>
      <c r="AR57" s="338"/>
      <c r="AS57" s="339"/>
      <c r="AT57" s="119"/>
      <c r="AU57" s="119"/>
      <c r="AV57" s="119"/>
      <c r="AW57" s="119"/>
      <c r="AX57" s="119"/>
      <c r="AY57" s="119"/>
      <c r="AZ57" s="119"/>
      <c r="BA57" s="119"/>
      <c r="BB57" s="119"/>
      <c r="BC57" s="119"/>
      <c r="BD57" s="119"/>
      <c r="BE57" s="119"/>
      <c r="BF57" s="363"/>
      <c r="BG57" s="119"/>
      <c r="BH57" s="119"/>
      <c r="BI57" s="151"/>
    </row>
    <row r="58" spans="1:61" s="123" customFormat="1" ht="90">
      <c r="A58" s="306"/>
      <c r="B58" s="306"/>
      <c r="C58" s="332"/>
      <c r="D58" s="330" t="s">
        <v>322</v>
      </c>
      <c r="E58" s="330" t="s">
        <v>816</v>
      </c>
      <c r="F58" s="333">
        <v>2024130010214</v>
      </c>
      <c r="G58" s="330" t="s">
        <v>817</v>
      </c>
      <c r="H58" s="330" t="s">
        <v>818</v>
      </c>
      <c r="I58" s="330" t="s">
        <v>729</v>
      </c>
      <c r="J58" s="95"/>
      <c r="K58" s="126" t="s">
        <v>797</v>
      </c>
      <c r="L58" s="330" t="s">
        <v>692</v>
      </c>
      <c r="M58" s="126" t="s">
        <v>798</v>
      </c>
      <c r="N58" s="126" t="s">
        <v>270</v>
      </c>
      <c r="O58" s="118" t="s">
        <v>308</v>
      </c>
      <c r="P58" s="119"/>
      <c r="Q58" s="119"/>
      <c r="R58" s="119"/>
      <c r="S58" s="118" t="s">
        <v>308</v>
      </c>
      <c r="T58" s="120" t="s">
        <v>308</v>
      </c>
      <c r="U58" s="126" t="s">
        <v>270</v>
      </c>
      <c r="V58" s="126" t="s">
        <v>270</v>
      </c>
      <c r="W58" s="126" t="s">
        <v>270</v>
      </c>
      <c r="X58" s="126" t="s">
        <v>800</v>
      </c>
      <c r="Y58" s="126"/>
      <c r="Z58" s="330" t="s">
        <v>1288</v>
      </c>
      <c r="AA58" s="330" t="s">
        <v>746</v>
      </c>
      <c r="AB58" s="330" t="s">
        <v>747</v>
      </c>
      <c r="AC58" s="330" t="s">
        <v>734</v>
      </c>
      <c r="AD58" s="330" t="s">
        <v>803</v>
      </c>
      <c r="AE58" s="150"/>
      <c r="AF58" s="342" t="s">
        <v>75</v>
      </c>
      <c r="AG58" s="341" t="s">
        <v>826</v>
      </c>
      <c r="AH58" s="341">
        <v>46024</v>
      </c>
      <c r="AI58" s="150"/>
      <c r="AJ58" s="338"/>
      <c r="AK58" s="149"/>
      <c r="AL58" s="149"/>
      <c r="AM58" s="149"/>
      <c r="AN58" s="340" t="s">
        <v>820</v>
      </c>
      <c r="AO58" s="337" t="s">
        <v>821</v>
      </c>
      <c r="AP58" s="338"/>
      <c r="AQ58" s="339"/>
      <c r="AR58" s="338"/>
      <c r="AS58" s="339"/>
      <c r="AT58" s="119"/>
      <c r="AU58" s="119"/>
      <c r="AV58" s="119"/>
      <c r="AW58" s="119"/>
      <c r="AX58" s="119"/>
      <c r="AY58" s="119"/>
      <c r="AZ58" s="119"/>
      <c r="BA58" s="119"/>
      <c r="BB58" s="119"/>
      <c r="BC58" s="119"/>
      <c r="BD58" s="119"/>
      <c r="BE58" s="119"/>
      <c r="BF58" s="363"/>
      <c r="BG58" s="119"/>
      <c r="BH58" s="119"/>
      <c r="BI58" s="151"/>
    </row>
    <row r="59" spans="1:61" s="123" customFormat="1" ht="54">
      <c r="A59" s="306"/>
      <c r="B59" s="306"/>
      <c r="C59" s="332"/>
      <c r="D59" s="330"/>
      <c r="E59" s="330"/>
      <c r="F59" s="333"/>
      <c r="G59" s="330"/>
      <c r="H59" s="330"/>
      <c r="I59" s="330"/>
      <c r="J59" s="95"/>
      <c r="K59" s="235" t="s">
        <v>808</v>
      </c>
      <c r="L59" s="330"/>
      <c r="M59" s="126" t="s">
        <v>809</v>
      </c>
      <c r="N59" s="126">
        <v>0.06</v>
      </c>
      <c r="O59" s="118" t="s">
        <v>308</v>
      </c>
      <c r="P59" s="119"/>
      <c r="Q59" s="119"/>
      <c r="R59" s="119"/>
      <c r="S59" s="233" t="s">
        <v>308</v>
      </c>
      <c r="T59" s="234" t="s">
        <v>308</v>
      </c>
      <c r="U59" s="153">
        <v>46204</v>
      </c>
      <c r="V59" s="121">
        <v>46357</v>
      </c>
      <c r="W59" s="126">
        <f>6*30</f>
        <v>180</v>
      </c>
      <c r="X59" s="126"/>
      <c r="Y59" s="126"/>
      <c r="Z59" s="330"/>
      <c r="AA59" s="330"/>
      <c r="AB59" s="330"/>
      <c r="AC59" s="330"/>
      <c r="AD59" s="330"/>
      <c r="AE59" s="150">
        <v>18000000</v>
      </c>
      <c r="AF59" s="342"/>
      <c r="AG59" s="340"/>
      <c r="AH59" s="340"/>
      <c r="AI59" s="150">
        <v>18000000</v>
      </c>
      <c r="AJ59" s="338"/>
      <c r="AK59" s="149"/>
      <c r="AL59" s="149"/>
      <c r="AM59" s="149"/>
      <c r="AN59" s="340"/>
      <c r="AO59" s="337"/>
      <c r="AP59" s="338"/>
      <c r="AQ59" s="339"/>
      <c r="AR59" s="338"/>
      <c r="AS59" s="339"/>
      <c r="AT59" s="119"/>
      <c r="AU59" s="119"/>
      <c r="AV59" s="119"/>
      <c r="AW59" s="119"/>
      <c r="AX59" s="119"/>
      <c r="AY59" s="119"/>
      <c r="AZ59" s="119"/>
      <c r="BA59" s="119"/>
      <c r="BB59" s="119"/>
      <c r="BC59" s="119"/>
      <c r="BD59" s="119"/>
      <c r="BE59" s="119"/>
      <c r="BF59" s="363"/>
      <c r="BG59" s="119"/>
      <c r="BH59" s="119"/>
      <c r="BI59" s="151"/>
    </row>
    <row r="60" spans="1:61" s="123" customFormat="1" ht="72">
      <c r="A60" s="306"/>
      <c r="B60" s="306"/>
      <c r="C60" s="332"/>
      <c r="D60" s="330"/>
      <c r="E60" s="330"/>
      <c r="F60" s="333"/>
      <c r="G60" s="330"/>
      <c r="H60" s="330"/>
      <c r="I60" s="330"/>
      <c r="J60" s="95"/>
      <c r="K60" s="126" t="s">
        <v>810</v>
      </c>
      <c r="L60" s="330"/>
      <c r="M60" s="126" t="s">
        <v>811</v>
      </c>
      <c r="N60" s="126" t="s">
        <v>308</v>
      </c>
      <c r="O60" s="118" t="s">
        <v>308</v>
      </c>
      <c r="P60" s="119"/>
      <c r="Q60" s="119"/>
      <c r="R60" s="119"/>
      <c r="S60" s="118" t="s">
        <v>308</v>
      </c>
      <c r="T60" s="120" t="s">
        <v>308</v>
      </c>
      <c r="U60" s="126" t="s">
        <v>308</v>
      </c>
      <c r="V60" s="126" t="s">
        <v>308</v>
      </c>
      <c r="W60" s="126" t="s">
        <v>308</v>
      </c>
      <c r="X60" s="126"/>
      <c r="Y60" s="126"/>
      <c r="Z60" s="330"/>
      <c r="AA60" s="330"/>
      <c r="AB60" s="330"/>
      <c r="AC60" s="330"/>
      <c r="AD60" s="330"/>
      <c r="AE60" s="150"/>
      <c r="AF60" s="342"/>
      <c r="AG60" s="340"/>
      <c r="AH60" s="340"/>
      <c r="AI60" s="150"/>
      <c r="AJ60" s="338"/>
      <c r="AK60" s="149"/>
      <c r="AL60" s="149"/>
      <c r="AM60" s="149"/>
      <c r="AN60" s="340"/>
      <c r="AO60" s="337"/>
      <c r="AP60" s="338"/>
      <c r="AQ60" s="339"/>
      <c r="AR60" s="338"/>
      <c r="AS60" s="339"/>
      <c r="AT60" s="119"/>
      <c r="AU60" s="119"/>
      <c r="AV60" s="119"/>
      <c r="AW60" s="119"/>
      <c r="AX60" s="119"/>
      <c r="AY60" s="119"/>
      <c r="AZ60" s="119"/>
      <c r="BA60" s="119"/>
      <c r="BB60" s="119"/>
      <c r="BC60" s="119"/>
      <c r="BD60" s="119"/>
      <c r="BE60" s="119"/>
      <c r="BF60" s="363"/>
      <c r="BG60" s="119"/>
      <c r="BH60" s="119"/>
      <c r="BI60" s="151"/>
    </row>
    <row r="61" spans="1:61" s="123" customFormat="1" ht="72">
      <c r="A61" s="306"/>
      <c r="B61" s="306"/>
      <c r="C61" s="332"/>
      <c r="D61" s="330"/>
      <c r="E61" s="330"/>
      <c r="F61" s="333"/>
      <c r="G61" s="330"/>
      <c r="H61" s="330"/>
      <c r="I61" s="330"/>
      <c r="J61" s="95"/>
      <c r="K61" s="126" t="s">
        <v>812</v>
      </c>
      <c r="L61" s="330"/>
      <c r="M61" s="126" t="s">
        <v>813</v>
      </c>
      <c r="N61" s="126" t="s">
        <v>308</v>
      </c>
      <c r="O61" s="118" t="s">
        <v>308</v>
      </c>
      <c r="P61" s="119"/>
      <c r="Q61" s="119"/>
      <c r="R61" s="119"/>
      <c r="S61" s="118" t="s">
        <v>308</v>
      </c>
      <c r="T61" s="120" t="s">
        <v>308</v>
      </c>
      <c r="U61" s="126" t="s">
        <v>308</v>
      </c>
      <c r="V61" s="126" t="s">
        <v>308</v>
      </c>
      <c r="W61" s="126" t="s">
        <v>308</v>
      </c>
      <c r="X61" s="126"/>
      <c r="Y61" s="126"/>
      <c r="Z61" s="330"/>
      <c r="AA61" s="330"/>
      <c r="AB61" s="330"/>
      <c r="AC61" s="330"/>
      <c r="AD61" s="330"/>
      <c r="AE61" s="150"/>
      <c r="AF61" s="342"/>
      <c r="AG61" s="340"/>
      <c r="AH61" s="340"/>
      <c r="AI61" s="150"/>
      <c r="AJ61" s="338"/>
      <c r="AK61" s="149"/>
      <c r="AL61" s="149"/>
      <c r="AM61" s="149"/>
      <c r="AN61" s="340"/>
      <c r="AO61" s="337"/>
      <c r="AP61" s="338"/>
      <c r="AQ61" s="339"/>
      <c r="AR61" s="338"/>
      <c r="AS61" s="339"/>
      <c r="AT61" s="119"/>
      <c r="AU61" s="119"/>
      <c r="AV61" s="119"/>
      <c r="AW61" s="119"/>
      <c r="AX61" s="119"/>
      <c r="AY61" s="119"/>
      <c r="AZ61" s="119"/>
      <c r="BA61" s="119"/>
      <c r="BB61" s="119"/>
      <c r="BC61" s="119"/>
      <c r="BD61" s="119"/>
      <c r="BE61" s="119"/>
      <c r="BF61" s="363"/>
      <c r="BG61" s="119"/>
      <c r="BH61" s="119"/>
      <c r="BI61" s="151"/>
    </row>
    <row r="62" spans="1:61" s="123" customFormat="1" ht="72">
      <c r="A62" s="306"/>
      <c r="B62" s="306"/>
      <c r="C62" s="332"/>
      <c r="D62" s="330"/>
      <c r="E62" s="330"/>
      <c r="F62" s="333"/>
      <c r="G62" s="330"/>
      <c r="H62" s="330"/>
      <c r="I62" s="330"/>
      <c r="J62" s="95"/>
      <c r="K62" s="126" t="s">
        <v>814</v>
      </c>
      <c r="L62" s="330"/>
      <c r="M62" s="126" t="s">
        <v>815</v>
      </c>
      <c r="N62" s="126" t="s">
        <v>308</v>
      </c>
      <c r="O62" s="118" t="s">
        <v>308</v>
      </c>
      <c r="P62" s="119"/>
      <c r="Q62" s="119"/>
      <c r="R62" s="119"/>
      <c r="S62" s="118" t="s">
        <v>308</v>
      </c>
      <c r="T62" s="120" t="s">
        <v>308</v>
      </c>
      <c r="U62" s="126" t="s">
        <v>308</v>
      </c>
      <c r="V62" s="126" t="s">
        <v>308</v>
      </c>
      <c r="W62" s="126" t="s">
        <v>308</v>
      </c>
      <c r="X62" s="126"/>
      <c r="Y62" s="126"/>
      <c r="Z62" s="330"/>
      <c r="AA62" s="330"/>
      <c r="AB62" s="330"/>
      <c r="AC62" s="330"/>
      <c r="AD62" s="330"/>
      <c r="AE62" s="150"/>
      <c r="AF62" s="342"/>
      <c r="AG62" s="340"/>
      <c r="AH62" s="340"/>
      <c r="AI62" s="150"/>
      <c r="AJ62" s="338"/>
      <c r="AK62" s="149"/>
      <c r="AL62" s="149"/>
      <c r="AM62" s="149"/>
      <c r="AN62" s="340"/>
      <c r="AO62" s="337"/>
      <c r="AP62" s="338"/>
      <c r="AQ62" s="339"/>
      <c r="AR62" s="338"/>
      <c r="AS62" s="339"/>
      <c r="AT62" s="119"/>
      <c r="AU62" s="119"/>
      <c r="AV62" s="119"/>
      <c r="AW62" s="119"/>
      <c r="AX62" s="119"/>
      <c r="AY62" s="119"/>
      <c r="AZ62" s="119"/>
      <c r="BA62" s="119"/>
      <c r="BB62" s="119"/>
      <c r="BC62" s="119"/>
      <c r="BD62" s="119"/>
      <c r="BE62" s="119"/>
      <c r="BF62" s="363"/>
      <c r="BG62" s="119"/>
      <c r="BH62" s="119"/>
      <c r="BI62" s="151"/>
    </row>
    <row r="63" spans="1:61" s="123" customFormat="1" ht="90">
      <c r="A63" s="306"/>
      <c r="B63" s="306"/>
      <c r="C63" s="332"/>
      <c r="D63" s="330" t="s">
        <v>324</v>
      </c>
      <c r="E63" s="330" t="s">
        <v>816</v>
      </c>
      <c r="F63" s="333">
        <v>2024130010214</v>
      </c>
      <c r="G63" s="330" t="s">
        <v>817</v>
      </c>
      <c r="H63" s="330" t="s">
        <v>818</v>
      </c>
      <c r="I63" s="330" t="s">
        <v>729</v>
      </c>
      <c r="J63" s="95"/>
      <c r="K63" s="126" t="s">
        <v>797</v>
      </c>
      <c r="L63" s="330" t="s">
        <v>692</v>
      </c>
      <c r="M63" s="126" t="s">
        <v>798</v>
      </c>
      <c r="N63" s="126" t="s">
        <v>270</v>
      </c>
      <c r="O63" s="118" t="s">
        <v>308</v>
      </c>
      <c r="P63" s="119"/>
      <c r="Q63" s="119"/>
      <c r="R63" s="119"/>
      <c r="S63" s="118" t="s">
        <v>308</v>
      </c>
      <c r="T63" s="120" t="s">
        <v>308</v>
      </c>
      <c r="U63" s="126" t="s">
        <v>270</v>
      </c>
      <c r="V63" s="126" t="s">
        <v>270</v>
      </c>
      <c r="W63" s="126" t="s">
        <v>270</v>
      </c>
      <c r="X63" s="126" t="s">
        <v>800</v>
      </c>
      <c r="Y63" s="126"/>
      <c r="Z63" s="330" t="s">
        <v>1288</v>
      </c>
      <c r="AA63" s="330" t="s">
        <v>746</v>
      </c>
      <c r="AB63" s="330" t="s">
        <v>747</v>
      </c>
      <c r="AC63" s="330" t="s">
        <v>734</v>
      </c>
      <c r="AD63" s="330" t="s">
        <v>803</v>
      </c>
      <c r="AE63" s="150"/>
      <c r="AF63" s="342" t="s">
        <v>75</v>
      </c>
      <c r="AG63" s="341" t="s">
        <v>826</v>
      </c>
      <c r="AH63" s="341">
        <v>46024</v>
      </c>
      <c r="AI63" s="150"/>
      <c r="AJ63" s="338"/>
      <c r="AK63" s="149"/>
      <c r="AL63" s="149"/>
      <c r="AM63" s="149"/>
      <c r="AN63" s="340" t="s">
        <v>820</v>
      </c>
      <c r="AO63" s="337" t="s">
        <v>821</v>
      </c>
      <c r="AP63" s="338"/>
      <c r="AQ63" s="339"/>
      <c r="AR63" s="338"/>
      <c r="AS63" s="339"/>
      <c r="AT63" s="119"/>
      <c r="AU63" s="119"/>
      <c r="AV63" s="119"/>
      <c r="AW63" s="119"/>
      <c r="AX63" s="119"/>
      <c r="AY63" s="119"/>
      <c r="AZ63" s="119"/>
      <c r="BA63" s="119"/>
      <c r="BB63" s="119"/>
      <c r="BC63" s="119"/>
      <c r="BD63" s="119"/>
      <c r="BE63" s="119"/>
      <c r="BF63" s="363"/>
      <c r="BG63" s="119"/>
      <c r="BH63" s="119"/>
      <c r="BI63" s="151"/>
    </row>
    <row r="64" spans="1:61" s="123" customFormat="1" ht="54">
      <c r="A64" s="306"/>
      <c r="B64" s="306"/>
      <c r="C64" s="332"/>
      <c r="D64" s="330"/>
      <c r="E64" s="330"/>
      <c r="F64" s="333"/>
      <c r="G64" s="330"/>
      <c r="H64" s="330"/>
      <c r="I64" s="330"/>
      <c r="J64" s="95"/>
      <c r="K64" s="235" t="s">
        <v>808</v>
      </c>
      <c r="L64" s="330"/>
      <c r="M64" s="126" t="s">
        <v>809</v>
      </c>
      <c r="N64" s="126">
        <v>0.06</v>
      </c>
      <c r="O64" s="118" t="s">
        <v>308</v>
      </c>
      <c r="P64" s="119"/>
      <c r="Q64" s="119"/>
      <c r="R64" s="119"/>
      <c r="S64" s="233" t="s">
        <v>308</v>
      </c>
      <c r="T64" s="234" t="s">
        <v>308</v>
      </c>
      <c r="U64" s="153">
        <v>46204</v>
      </c>
      <c r="V64" s="121">
        <v>46357</v>
      </c>
      <c r="W64" s="126">
        <f>6*30</f>
        <v>180</v>
      </c>
      <c r="X64" s="126"/>
      <c r="Y64" s="126"/>
      <c r="Z64" s="330"/>
      <c r="AA64" s="330"/>
      <c r="AB64" s="330"/>
      <c r="AC64" s="330"/>
      <c r="AD64" s="330"/>
      <c r="AE64" s="150">
        <v>18000000</v>
      </c>
      <c r="AF64" s="342"/>
      <c r="AG64" s="340"/>
      <c r="AH64" s="340"/>
      <c r="AI64" s="150">
        <v>18000000</v>
      </c>
      <c r="AJ64" s="338"/>
      <c r="AK64" s="149"/>
      <c r="AL64" s="149"/>
      <c r="AM64" s="149"/>
      <c r="AN64" s="340"/>
      <c r="AO64" s="337"/>
      <c r="AP64" s="338"/>
      <c r="AQ64" s="339"/>
      <c r="AR64" s="338"/>
      <c r="AS64" s="339"/>
      <c r="AT64" s="119"/>
      <c r="AU64" s="119"/>
      <c r="AV64" s="119"/>
      <c r="AW64" s="119"/>
      <c r="AX64" s="119"/>
      <c r="AY64" s="119"/>
      <c r="AZ64" s="119"/>
      <c r="BA64" s="119"/>
      <c r="BB64" s="119"/>
      <c r="BC64" s="119"/>
      <c r="BD64" s="119"/>
      <c r="BE64" s="119"/>
      <c r="BF64" s="363"/>
      <c r="BG64" s="119"/>
      <c r="BH64" s="119"/>
      <c r="BI64" s="151"/>
    </row>
    <row r="65" spans="1:61" s="123" customFormat="1" ht="72">
      <c r="A65" s="306"/>
      <c r="B65" s="306"/>
      <c r="C65" s="332"/>
      <c r="D65" s="330"/>
      <c r="E65" s="330"/>
      <c r="F65" s="333"/>
      <c r="G65" s="330"/>
      <c r="H65" s="330"/>
      <c r="I65" s="330"/>
      <c r="J65" s="95"/>
      <c r="K65" s="126" t="s">
        <v>810</v>
      </c>
      <c r="L65" s="330"/>
      <c r="M65" s="126" t="s">
        <v>811</v>
      </c>
      <c r="N65" s="126" t="s">
        <v>308</v>
      </c>
      <c r="O65" s="118" t="s">
        <v>308</v>
      </c>
      <c r="P65" s="119"/>
      <c r="Q65" s="119"/>
      <c r="R65" s="119"/>
      <c r="S65" s="118" t="s">
        <v>308</v>
      </c>
      <c r="T65" s="120" t="s">
        <v>308</v>
      </c>
      <c r="U65" s="126" t="s">
        <v>308</v>
      </c>
      <c r="V65" s="126" t="s">
        <v>308</v>
      </c>
      <c r="W65" s="126" t="s">
        <v>308</v>
      </c>
      <c r="X65" s="126"/>
      <c r="Y65" s="126"/>
      <c r="Z65" s="330"/>
      <c r="AA65" s="330"/>
      <c r="AB65" s="330"/>
      <c r="AC65" s="330"/>
      <c r="AD65" s="330"/>
      <c r="AE65" s="150"/>
      <c r="AF65" s="342"/>
      <c r="AG65" s="340"/>
      <c r="AH65" s="340"/>
      <c r="AI65" s="150"/>
      <c r="AJ65" s="338"/>
      <c r="AK65" s="149"/>
      <c r="AL65" s="149"/>
      <c r="AM65" s="149"/>
      <c r="AN65" s="340"/>
      <c r="AO65" s="337"/>
      <c r="AP65" s="338"/>
      <c r="AQ65" s="339"/>
      <c r="AR65" s="338"/>
      <c r="AS65" s="339"/>
      <c r="AT65" s="119"/>
      <c r="AU65" s="119"/>
      <c r="AV65" s="119"/>
      <c r="AW65" s="119"/>
      <c r="AX65" s="119"/>
      <c r="AY65" s="119"/>
      <c r="AZ65" s="119"/>
      <c r="BA65" s="119"/>
      <c r="BB65" s="119"/>
      <c r="BC65" s="119"/>
      <c r="BD65" s="119"/>
      <c r="BE65" s="119"/>
      <c r="BF65" s="363"/>
      <c r="BG65" s="119"/>
      <c r="BH65" s="119"/>
      <c r="BI65" s="151"/>
    </row>
    <row r="66" spans="1:61" s="123" customFormat="1" ht="72">
      <c r="A66" s="306"/>
      <c r="B66" s="306"/>
      <c r="C66" s="332"/>
      <c r="D66" s="330"/>
      <c r="E66" s="330"/>
      <c r="F66" s="333"/>
      <c r="G66" s="330"/>
      <c r="H66" s="330"/>
      <c r="I66" s="330"/>
      <c r="J66" s="95"/>
      <c r="K66" s="126" t="s">
        <v>812</v>
      </c>
      <c r="L66" s="330"/>
      <c r="M66" s="126" t="s">
        <v>813</v>
      </c>
      <c r="N66" s="126" t="s">
        <v>308</v>
      </c>
      <c r="O66" s="118" t="s">
        <v>308</v>
      </c>
      <c r="P66" s="119"/>
      <c r="Q66" s="119"/>
      <c r="R66" s="119"/>
      <c r="S66" s="118" t="s">
        <v>308</v>
      </c>
      <c r="T66" s="120" t="s">
        <v>308</v>
      </c>
      <c r="U66" s="126" t="s">
        <v>308</v>
      </c>
      <c r="V66" s="126" t="s">
        <v>308</v>
      </c>
      <c r="W66" s="126" t="s">
        <v>308</v>
      </c>
      <c r="X66" s="126"/>
      <c r="Y66" s="126"/>
      <c r="Z66" s="330"/>
      <c r="AA66" s="330"/>
      <c r="AB66" s="330"/>
      <c r="AC66" s="330"/>
      <c r="AD66" s="330"/>
      <c r="AE66" s="150"/>
      <c r="AF66" s="342"/>
      <c r="AG66" s="340"/>
      <c r="AH66" s="340"/>
      <c r="AI66" s="150"/>
      <c r="AJ66" s="338"/>
      <c r="AK66" s="149"/>
      <c r="AL66" s="149"/>
      <c r="AM66" s="149"/>
      <c r="AN66" s="340"/>
      <c r="AO66" s="337"/>
      <c r="AP66" s="338"/>
      <c r="AQ66" s="339"/>
      <c r="AR66" s="338"/>
      <c r="AS66" s="339"/>
      <c r="AT66" s="119"/>
      <c r="AU66" s="119"/>
      <c r="AV66" s="119"/>
      <c r="AW66" s="119"/>
      <c r="AX66" s="119"/>
      <c r="AY66" s="119"/>
      <c r="AZ66" s="119"/>
      <c r="BA66" s="119"/>
      <c r="BB66" s="119"/>
      <c r="BC66" s="119"/>
      <c r="BD66" s="119"/>
      <c r="BE66" s="119"/>
      <c r="BF66" s="363"/>
      <c r="BG66" s="119"/>
      <c r="BH66" s="119"/>
      <c r="BI66" s="151"/>
    </row>
    <row r="67" spans="1:61" s="123" customFormat="1" ht="72">
      <c r="A67" s="306"/>
      <c r="B67" s="306"/>
      <c r="C67" s="332"/>
      <c r="D67" s="330"/>
      <c r="E67" s="330"/>
      <c r="F67" s="333"/>
      <c r="G67" s="330"/>
      <c r="H67" s="330"/>
      <c r="I67" s="330"/>
      <c r="J67" s="95"/>
      <c r="K67" s="126" t="s">
        <v>814</v>
      </c>
      <c r="L67" s="330"/>
      <c r="M67" s="126" t="s">
        <v>815</v>
      </c>
      <c r="N67" s="126" t="s">
        <v>308</v>
      </c>
      <c r="O67" s="118" t="s">
        <v>308</v>
      </c>
      <c r="P67" s="119"/>
      <c r="Q67" s="119"/>
      <c r="R67" s="119"/>
      <c r="S67" s="118" t="s">
        <v>308</v>
      </c>
      <c r="T67" s="120" t="s">
        <v>308</v>
      </c>
      <c r="U67" s="126" t="s">
        <v>308</v>
      </c>
      <c r="V67" s="126" t="s">
        <v>308</v>
      </c>
      <c r="W67" s="126" t="s">
        <v>308</v>
      </c>
      <c r="X67" s="126"/>
      <c r="Y67" s="126"/>
      <c r="Z67" s="330"/>
      <c r="AA67" s="330"/>
      <c r="AB67" s="330"/>
      <c r="AC67" s="330"/>
      <c r="AD67" s="330"/>
      <c r="AE67" s="150"/>
      <c r="AF67" s="342"/>
      <c r="AG67" s="340"/>
      <c r="AH67" s="340"/>
      <c r="AI67" s="150"/>
      <c r="AJ67" s="338"/>
      <c r="AK67" s="149"/>
      <c r="AL67" s="149"/>
      <c r="AM67" s="149"/>
      <c r="AN67" s="340"/>
      <c r="AO67" s="337"/>
      <c r="AP67" s="338"/>
      <c r="AQ67" s="339"/>
      <c r="AR67" s="338"/>
      <c r="AS67" s="339"/>
      <c r="AT67" s="119"/>
      <c r="AU67" s="119"/>
      <c r="AV67" s="119"/>
      <c r="AW67" s="119"/>
      <c r="AX67" s="119"/>
      <c r="AY67" s="119"/>
      <c r="AZ67" s="119"/>
      <c r="BA67" s="119"/>
      <c r="BB67" s="119"/>
      <c r="BC67" s="119"/>
      <c r="BD67" s="119"/>
      <c r="BE67" s="119"/>
      <c r="BF67" s="363"/>
      <c r="BG67" s="119"/>
      <c r="BH67" s="119"/>
      <c r="BI67" s="151"/>
    </row>
    <row r="68" spans="1:61" s="123" customFormat="1" ht="36">
      <c r="A68" s="306"/>
      <c r="B68" s="306"/>
      <c r="C68" s="332"/>
      <c r="D68" s="330" t="s">
        <v>327</v>
      </c>
      <c r="E68" s="330" t="s">
        <v>816</v>
      </c>
      <c r="F68" s="333">
        <v>2024130010214</v>
      </c>
      <c r="G68" s="330" t="s">
        <v>817</v>
      </c>
      <c r="H68" s="330" t="s">
        <v>818</v>
      </c>
      <c r="I68" s="330" t="s">
        <v>729</v>
      </c>
      <c r="J68" s="95"/>
      <c r="K68" s="235" t="s">
        <v>827</v>
      </c>
      <c r="L68" s="330" t="s">
        <v>692</v>
      </c>
      <c r="M68" s="126" t="s">
        <v>729</v>
      </c>
      <c r="N68" s="126">
        <v>0.25</v>
      </c>
      <c r="O68" s="156">
        <v>6.249999999999999E-4</v>
      </c>
      <c r="P68" s="119"/>
      <c r="Q68" s="119"/>
      <c r="R68" s="119"/>
      <c r="S68" s="233">
        <f t="shared" si="0"/>
        <v>6.249999999999999E-4</v>
      </c>
      <c r="T68" s="234">
        <f t="shared" si="1"/>
        <v>2.4999999999999996E-3</v>
      </c>
      <c r="U68" s="121">
        <v>46054</v>
      </c>
      <c r="V68" s="121">
        <v>46357</v>
      </c>
      <c r="W68" s="126">
        <v>360</v>
      </c>
      <c r="X68" s="330" t="s">
        <v>800</v>
      </c>
      <c r="Y68" s="330"/>
      <c r="Z68" s="330" t="s">
        <v>1288</v>
      </c>
      <c r="AA68" s="330" t="s">
        <v>746</v>
      </c>
      <c r="AB68" s="330"/>
      <c r="AC68" s="330" t="s">
        <v>802</v>
      </c>
      <c r="AD68" s="330" t="s">
        <v>803</v>
      </c>
      <c r="AE68" s="157">
        <v>484724275.19999999</v>
      </c>
      <c r="AF68" s="340" t="s">
        <v>75</v>
      </c>
      <c r="AG68" s="340" t="s">
        <v>826</v>
      </c>
      <c r="AH68" s="341">
        <v>46023</v>
      </c>
      <c r="AI68" s="157">
        <v>484724275.19999999</v>
      </c>
      <c r="AJ68" s="338"/>
      <c r="AK68" s="149"/>
      <c r="AL68" s="149"/>
      <c r="AM68" s="149"/>
      <c r="AN68" s="340" t="s">
        <v>828</v>
      </c>
      <c r="AO68" s="337" t="s">
        <v>821</v>
      </c>
      <c r="AP68" s="338"/>
      <c r="AQ68" s="339"/>
      <c r="AR68" s="338"/>
      <c r="AS68" s="339"/>
      <c r="AT68" s="119"/>
      <c r="AU68" s="119"/>
      <c r="AV68" s="119"/>
      <c r="AW68" s="119"/>
      <c r="AX68" s="119"/>
      <c r="AY68" s="119"/>
      <c r="AZ68" s="119"/>
      <c r="BA68" s="119"/>
      <c r="BB68" s="119"/>
      <c r="BC68" s="119"/>
      <c r="BD68" s="119"/>
      <c r="BE68" s="119"/>
      <c r="BF68" s="363"/>
      <c r="BG68" s="119"/>
      <c r="BH68" s="119"/>
      <c r="BI68" s="151"/>
    </row>
    <row r="69" spans="1:61" s="123" customFormat="1" ht="36">
      <c r="A69" s="306"/>
      <c r="B69" s="306"/>
      <c r="C69" s="332"/>
      <c r="D69" s="330"/>
      <c r="E69" s="330"/>
      <c r="F69" s="333"/>
      <c r="G69" s="330"/>
      <c r="H69" s="330"/>
      <c r="I69" s="330"/>
      <c r="J69" s="95"/>
      <c r="K69" s="235" t="s">
        <v>829</v>
      </c>
      <c r="L69" s="330"/>
      <c r="M69" s="126" t="s">
        <v>729</v>
      </c>
      <c r="N69" s="126">
        <v>0.25</v>
      </c>
      <c r="O69" s="156">
        <v>6.249999999999999E-4</v>
      </c>
      <c r="P69" s="119"/>
      <c r="Q69" s="119"/>
      <c r="R69" s="119"/>
      <c r="S69" s="233">
        <f t="shared" si="0"/>
        <v>6.249999999999999E-4</v>
      </c>
      <c r="T69" s="234">
        <f t="shared" si="1"/>
        <v>2.4999999999999996E-3</v>
      </c>
      <c r="U69" s="121">
        <v>46054</v>
      </c>
      <c r="V69" s="121">
        <v>46357</v>
      </c>
      <c r="W69" s="126">
        <v>360</v>
      </c>
      <c r="X69" s="330"/>
      <c r="Y69" s="330"/>
      <c r="Z69" s="330"/>
      <c r="AA69" s="330"/>
      <c r="AB69" s="330"/>
      <c r="AC69" s="330"/>
      <c r="AD69" s="330"/>
      <c r="AE69" s="157">
        <v>470052633.60000002</v>
      </c>
      <c r="AF69" s="340"/>
      <c r="AG69" s="340"/>
      <c r="AH69" s="340"/>
      <c r="AI69" s="157">
        <v>470052633.60000002</v>
      </c>
      <c r="AJ69" s="338"/>
      <c r="AK69" s="149"/>
      <c r="AL69" s="149"/>
      <c r="AM69" s="149"/>
      <c r="AN69" s="340"/>
      <c r="AO69" s="337"/>
      <c r="AP69" s="338"/>
      <c r="AQ69" s="339"/>
      <c r="AR69" s="338"/>
      <c r="AS69" s="339"/>
      <c r="AT69" s="119"/>
      <c r="AU69" s="119"/>
      <c r="AV69" s="119"/>
      <c r="AW69" s="119"/>
      <c r="AX69" s="119"/>
      <c r="AY69" s="119"/>
      <c r="AZ69" s="119"/>
      <c r="BA69" s="119"/>
      <c r="BB69" s="119"/>
      <c r="BC69" s="119"/>
      <c r="BD69" s="119"/>
      <c r="BE69" s="119"/>
      <c r="BF69" s="363"/>
      <c r="BG69" s="119"/>
      <c r="BH69" s="119"/>
      <c r="BI69" s="151"/>
    </row>
    <row r="70" spans="1:61" s="123" customFormat="1" ht="90">
      <c r="A70" s="306"/>
      <c r="B70" s="306"/>
      <c r="C70" s="332"/>
      <c r="D70" s="330" t="s">
        <v>329</v>
      </c>
      <c r="E70" s="330" t="s">
        <v>816</v>
      </c>
      <c r="F70" s="330" t="s">
        <v>830</v>
      </c>
      <c r="G70" s="330" t="s">
        <v>817</v>
      </c>
      <c r="H70" s="330" t="s">
        <v>818</v>
      </c>
      <c r="I70" s="330" t="s">
        <v>729</v>
      </c>
      <c r="J70" s="95"/>
      <c r="K70" s="126" t="s">
        <v>797</v>
      </c>
      <c r="L70" s="330" t="s">
        <v>692</v>
      </c>
      <c r="M70" s="126" t="s">
        <v>798</v>
      </c>
      <c r="N70" s="126" t="s">
        <v>270</v>
      </c>
      <c r="O70" s="118" t="s">
        <v>308</v>
      </c>
      <c r="P70" s="119"/>
      <c r="Q70" s="119"/>
      <c r="R70" s="119"/>
      <c r="S70" s="118" t="s">
        <v>308</v>
      </c>
      <c r="T70" s="120" t="s">
        <v>308</v>
      </c>
      <c r="U70" s="126" t="s">
        <v>270</v>
      </c>
      <c r="V70" s="126" t="s">
        <v>270</v>
      </c>
      <c r="W70" s="126" t="s">
        <v>270</v>
      </c>
      <c r="X70" s="330" t="s">
        <v>800</v>
      </c>
      <c r="Y70" s="330"/>
      <c r="Z70" s="330" t="s">
        <v>1288</v>
      </c>
      <c r="AA70" s="330" t="s">
        <v>746</v>
      </c>
      <c r="AB70" s="330" t="s">
        <v>747</v>
      </c>
      <c r="AC70" s="330" t="s">
        <v>734</v>
      </c>
      <c r="AD70" s="330" t="s">
        <v>803</v>
      </c>
      <c r="AE70" s="158">
        <f>+AI70</f>
        <v>0</v>
      </c>
      <c r="AF70" s="340" t="s">
        <v>75</v>
      </c>
      <c r="AG70" s="340" t="s">
        <v>826</v>
      </c>
      <c r="AH70" s="341">
        <v>46023</v>
      </c>
      <c r="AI70" s="159"/>
      <c r="AJ70" s="338"/>
      <c r="AK70" s="149"/>
      <c r="AL70" s="149"/>
      <c r="AM70" s="149"/>
      <c r="AN70" s="340" t="s">
        <v>828</v>
      </c>
      <c r="AO70" s="337" t="s">
        <v>821</v>
      </c>
      <c r="AP70" s="338"/>
      <c r="AQ70" s="339"/>
      <c r="AR70" s="338"/>
      <c r="AS70" s="339"/>
      <c r="AT70" s="119"/>
      <c r="AU70" s="119"/>
      <c r="AV70" s="119"/>
      <c r="AW70" s="119"/>
      <c r="AX70" s="119"/>
      <c r="AY70" s="119"/>
      <c r="AZ70" s="119"/>
      <c r="BA70" s="119"/>
      <c r="BB70" s="119"/>
      <c r="BC70" s="119"/>
      <c r="BD70" s="119"/>
      <c r="BE70" s="119"/>
      <c r="BF70" s="363"/>
      <c r="BG70" s="119"/>
      <c r="BH70" s="119"/>
      <c r="BI70" s="151"/>
    </row>
    <row r="71" spans="1:61" s="123" customFormat="1" ht="54">
      <c r="A71" s="306"/>
      <c r="B71" s="306"/>
      <c r="C71" s="332"/>
      <c r="D71" s="330"/>
      <c r="E71" s="330"/>
      <c r="F71" s="330"/>
      <c r="G71" s="330"/>
      <c r="H71" s="330"/>
      <c r="I71" s="330"/>
      <c r="J71" s="95"/>
      <c r="K71" s="235" t="s">
        <v>808</v>
      </c>
      <c r="L71" s="330"/>
      <c r="M71" s="126" t="s">
        <v>809</v>
      </c>
      <c r="N71" s="126">
        <v>0.3</v>
      </c>
      <c r="O71" s="118" t="s">
        <v>308</v>
      </c>
      <c r="P71" s="119"/>
      <c r="Q71" s="119"/>
      <c r="R71" s="119"/>
      <c r="S71" s="233" t="s">
        <v>308</v>
      </c>
      <c r="T71" s="234" t="s">
        <v>308</v>
      </c>
      <c r="U71" s="121">
        <v>46204</v>
      </c>
      <c r="V71" s="121">
        <v>46357</v>
      </c>
      <c r="W71" s="126">
        <v>180</v>
      </c>
      <c r="X71" s="330"/>
      <c r="Y71" s="330"/>
      <c r="Z71" s="330"/>
      <c r="AA71" s="330"/>
      <c r="AB71" s="330"/>
      <c r="AC71" s="330"/>
      <c r="AD71" s="330"/>
      <c r="AE71" s="158"/>
      <c r="AF71" s="340"/>
      <c r="AG71" s="340"/>
      <c r="AH71" s="340"/>
      <c r="AI71" s="159"/>
      <c r="AJ71" s="338"/>
      <c r="AK71" s="149"/>
      <c r="AL71" s="149"/>
      <c r="AM71" s="149"/>
      <c r="AN71" s="340"/>
      <c r="AO71" s="337"/>
      <c r="AP71" s="338"/>
      <c r="AQ71" s="339"/>
      <c r="AR71" s="338"/>
      <c r="AS71" s="339"/>
      <c r="AT71" s="119"/>
      <c r="AU71" s="119"/>
      <c r="AV71" s="119"/>
      <c r="AW71" s="119"/>
      <c r="AX71" s="119"/>
      <c r="AY71" s="119"/>
      <c r="AZ71" s="119"/>
      <c r="BA71" s="119"/>
      <c r="BB71" s="119"/>
      <c r="BC71" s="119"/>
      <c r="BD71" s="119"/>
      <c r="BE71" s="119"/>
      <c r="BF71" s="363"/>
      <c r="BG71" s="119"/>
      <c r="BH71" s="119"/>
      <c r="BI71" s="151"/>
    </row>
    <row r="72" spans="1:61" s="123" customFormat="1" ht="72">
      <c r="A72" s="306"/>
      <c r="B72" s="306"/>
      <c r="C72" s="332"/>
      <c r="D72" s="330"/>
      <c r="E72" s="330"/>
      <c r="F72" s="330"/>
      <c r="G72" s="330"/>
      <c r="H72" s="330"/>
      <c r="I72" s="330"/>
      <c r="J72" s="95"/>
      <c r="K72" s="126" t="s">
        <v>810</v>
      </c>
      <c r="L72" s="330"/>
      <c r="M72" s="126" t="s">
        <v>811</v>
      </c>
      <c r="N72" s="126" t="s">
        <v>270</v>
      </c>
      <c r="O72" s="118" t="s">
        <v>308</v>
      </c>
      <c r="P72" s="119"/>
      <c r="Q72" s="119"/>
      <c r="R72" s="119"/>
      <c r="S72" s="118" t="s">
        <v>308</v>
      </c>
      <c r="T72" s="120" t="s">
        <v>308</v>
      </c>
      <c r="U72" s="126" t="s">
        <v>270</v>
      </c>
      <c r="V72" s="126" t="s">
        <v>270</v>
      </c>
      <c r="W72" s="126" t="s">
        <v>270</v>
      </c>
      <c r="X72" s="330"/>
      <c r="Y72" s="330"/>
      <c r="Z72" s="330"/>
      <c r="AA72" s="330"/>
      <c r="AB72" s="330"/>
      <c r="AC72" s="330"/>
      <c r="AD72" s="330"/>
      <c r="AE72" s="158">
        <v>272000000</v>
      </c>
      <c r="AF72" s="340"/>
      <c r="AG72" s="340"/>
      <c r="AH72" s="340"/>
      <c r="AI72" s="159">
        <v>272000000</v>
      </c>
      <c r="AJ72" s="338"/>
      <c r="AK72" s="149"/>
      <c r="AL72" s="149"/>
      <c r="AM72" s="149"/>
      <c r="AN72" s="340"/>
      <c r="AO72" s="337"/>
      <c r="AP72" s="338"/>
      <c r="AQ72" s="339"/>
      <c r="AR72" s="338"/>
      <c r="AS72" s="339"/>
      <c r="AT72" s="119"/>
      <c r="AU72" s="119"/>
      <c r="AV72" s="119"/>
      <c r="AW72" s="119"/>
      <c r="AX72" s="119"/>
      <c r="AY72" s="119"/>
      <c r="AZ72" s="119"/>
      <c r="BA72" s="119"/>
      <c r="BB72" s="119"/>
      <c r="BC72" s="119"/>
      <c r="BD72" s="119"/>
      <c r="BE72" s="119"/>
      <c r="BF72" s="363"/>
      <c r="BG72" s="119"/>
      <c r="BH72" s="119"/>
      <c r="BI72" s="151"/>
    </row>
    <row r="73" spans="1:61" s="123" customFormat="1" ht="72">
      <c r="A73" s="306"/>
      <c r="B73" s="306"/>
      <c r="C73" s="332"/>
      <c r="D73" s="330"/>
      <c r="E73" s="330"/>
      <c r="F73" s="330"/>
      <c r="G73" s="330"/>
      <c r="H73" s="330"/>
      <c r="I73" s="330"/>
      <c r="J73" s="95"/>
      <c r="K73" s="126" t="s">
        <v>812</v>
      </c>
      <c r="L73" s="330"/>
      <c r="M73" s="126" t="s">
        <v>813</v>
      </c>
      <c r="N73" s="126" t="s">
        <v>270</v>
      </c>
      <c r="O73" s="118" t="s">
        <v>308</v>
      </c>
      <c r="P73" s="119"/>
      <c r="Q73" s="119"/>
      <c r="R73" s="119"/>
      <c r="S73" s="118" t="s">
        <v>308</v>
      </c>
      <c r="T73" s="120" t="s">
        <v>308</v>
      </c>
      <c r="U73" s="126" t="s">
        <v>270</v>
      </c>
      <c r="V73" s="126" t="s">
        <v>270</v>
      </c>
      <c r="W73" s="126" t="s">
        <v>270</v>
      </c>
      <c r="X73" s="330"/>
      <c r="Y73" s="330"/>
      <c r="Z73" s="330"/>
      <c r="AA73" s="330"/>
      <c r="AB73" s="330"/>
      <c r="AC73" s="330"/>
      <c r="AD73" s="330"/>
      <c r="AE73" s="158"/>
      <c r="AF73" s="340"/>
      <c r="AG73" s="340"/>
      <c r="AH73" s="340"/>
      <c r="AI73" s="159"/>
      <c r="AJ73" s="338"/>
      <c r="AK73" s="149"/>
      <c r="AL73" s="149"/>
      <c r="AM73" s="149"/>
      <c r="AN73" s="340"/>
      <c r="AO73" s="337"/>
      <c r="AP73" s="338"/>
      <c r="AQ73" s="339"/>
      <c r="AR73" s="338"/>
      <c r="AS73" s="339"/>
      <c r="AT73" s="119"/>
      <c r="AU73" s="119"/>
      <c r="AV73" s="119"/>
      <c r="AW73" s="119"/>
      <c r="AX73" s="119"/>
      <c r="AY73" s="119"/>
      <c r="AZ73" s="119"/>
      <c r="BA73" s="119"/>
      <c r="BB73" s="119"/>
      <c r="BC73" s="119"/>
      <c r="BD73" s="119"/>
      <c r="BE73" s="119"/>
      <c r="BF73" s="363"/>
      <c r="BG73" s="119"/>
      <c r="BH73" s="119"/>
      <c r="BI73" s="151"/>
    </row>
    <row r="74" spans="1:61" s="123" customFormat="1" ht="72">
      <c r="A74" s="306"/>
      <c r="B74" s="306"/>
      <c r="C74" s="332"/>
      <c r="D74" s="330"/>
      <c r="E74" s="330"/>
      <c r="F74" s="330"/>
      <c r="G74" s="330"/>
      <c r="H74" s="330"/>
      <c r="I74" s="330"/>
      <c r="J74" s="95"/>
      <c r="K74" s="126" t="s">
        <v>814</v>
      </c>
      <c r="L74" s="330"/>
      <c r="M74" s="126" t="s">
        <v>815</v>
      </c>
      <c r="N74" s="126" t="s">
        <v>270</v>
      </c>
      <c r="O74" s="118" t="s">
        <v>308</v>
      </c>
      <c r="P74" s="119"/>
      <c r="Q74" s="119"/>
      <c r="R74" s="119"/>
      <c r="S74" s="118" t="s">
        <v>308</v>
      </c>
      <c r="T74" s="120" t="s">
        <v>308</v>
      </c>
      <c r="U74" s="126" t="s">
        <v>270</v>
      </c>
      <c r="V74" s="126" t="s">
        <v>270</v>
      </c>
      <c r="W74" s="126">
        <v>360</v>
      </c>
      <c r="X74" s="330"/>
      <c r="Y74" s="330"/>
      <c r="Z74" s="330"/>
      <c r="AA74" s="330"/>
      <c r="AB74" s="330"/>
      <c r="AC74" s="330"/>
      <c r="AD74" s="330"/>
      <c r="AE74" s="158"/>
      <c r="AF74" s="340"/>
      <c r="AG74" s="340"/>
      <c r="AH74" s="340"/>
      <c r="AI74" s="159"/>
      <c r="AJ74" s="338"/>
      <c r="AK74" s="149"/>
      <c r="AL74" s="149"/>
      <c r="AM74" s="149"/>
      <c r="AN74" s="340"/>
      <c r="AO74" s="337"/>
      <c r="AP74" s="338"/>
      <c r="AQ74" s="339"/>
      <c r="AR74" s="338"/>
      <c r="AS74" s="339"/>
      <c r="AT74" s="119"/>
      <c r="AU74" s="119"/>
      <c r="AV74" s="119"/>
      <c r="AW74" s="119"/>
      <c r="AX74" s="119"/>
      <c r="AY74" s="119"/>
      <c r="AZ74" s="119"/>
      <c r="BA74" s="119"/>
      <c r="BB74" s="119"/>
      <c r="BC74" s="119"/>
      <c r="BD74" s="119"/>
      <c r="BE74" s="119"/>
      <c r="BF74" s="363"/>
      <c r="BG74" s="119"/>
      <c r="BH74" s="119"/>
      <c r="BI74" s="151"/>
    </row>
    <row r="75" spans="1:61" s="123" customFormat="1" ht="90">
      <c r="A75" s="306"/>
      <c r="B75" s="306"/>
      <c r="C75" s="332"/>
      <c r="D75" s="330" t="s">
        <v>331</v>
      </c>
      <c r="E75" s="330" t="s">
        <v>816</v>
      </c>
      <c r="F75" s="333">
        <v>2024130010214</v>
      </c>
      <c r="G75" s="330" t="s">
        <v>817</v>
      </c>
      <c r="H75" s="330" t="s">
        <v>818</v>
      </c>
      <c r="I75" s="330" t="s">
        <v>729</v>
      </c>
      <c r="J75" s="95"/>
      <c r="K75" s="126" t="s">
        <v>797</v>
      </c>
      <c r="L75" s="330" t="s">
        <v>692</v>
      </c>
      <c r="M75" s="126" t="s">
        <v>798</v>
      </c>
      <c r="N75" s="160" t="s">
        <v>270</v>
      </c>
      <c r="O75" s="118" t="s">
        <v>308</v>
      </c>
      <c r="P75" s="119"/>
      <c r="Q75" s="119"/>
      <c r="R75" s="119"/>
      <c r="S75" s="118" t="s">
        <v>308</v>
      </c>
      <c r="T75" s="120" t="s">
        <v>308</v>
      </c>
      <c r="U75" s="126" t="s">
        <v>270</v>
      </c>
      <c r="V75" s="121">
        <v>46357</v>
      </c>
      <c r="W75" s="126">
        <v>360</v>
      </c>
      <c r="X75" s="126" t="s">
        <v>800</v>
      </c>
      <c r="Y75" s="126"/>
      <c r="Z75" s="330" t="s">
        <v>1288</v>
      </c>
      <c r="AA75" s="330" t="s">
        <v>746</v>
      </c>
      <c r="AB75" s="330" t="s">
        <v>747</v>
      </c>
      <c r="AC75" s="330" t="s">
        <v>734</v>
      </c>
      <c r="AD75" s="330" t="s">
        <v>803</v>
      </c>
      <c r="AE75" s="150"/>
      <c r="AF75" s="342" t="s">
        <v>75</v>
      </c>
      <c r="AG75" s="341" t="s">
        <v>826</v>
      </c>
      <c r="AH75" s="341">
        <v>46024</v>
      </c>
      <c r="AI75" s="150"/>
      <c r="AJ75" s="338"/>
      <c r="AK75" s="149"/>
      <c r="AL75" s="149"/>
      <c r="AM75" s="149"/>
      <c r="AN75" s="340" t="s">
        <v>820</v>
      </c>
      <c r="AO75" s="337" t="s">
        <v>821</v>
      </c>
      <c r="AP75" s="338"/>
      <c r="AQ75" s="339"/>
      <c r="AR75" s="338"/>
      <c r="AS75" s="339"/>
      <c r="AT75" s="119"/>
      <c r="AU75" s="119"/>
      <c r="AV75" s="119"/>
      <c r="AW75" s="119"/>
      <c r="AX75" s="119"/>
      <c r="AY75" s="119"/>
      <c r="AZ75" s="119"/>
      <c r="BA75" s="119"/>
      <c r="BB75" s="119"/>
      <c r="BC75" s="119"/>
      <c r="BD75" s="119"/>
      <c r="BE75" s="119"/>
      <c r="BF75" s="363"/>
      <c r="BG75" s="119"/>
      <c r="BH75" s="119"/>
      <c r="BI75" s="151"/>
    </row>
    <row r="76" spans="1:61" s="123" customFormat="1" ht="54">
      <c r="A76" s="306"/>
      <c r="B76" s="306"/>
      <c r="C76" s="332"/>
      <c r="D76" s="330"/>
      <c r="E76" s="330"/>
      <c r="F76" s="333"/>
      <c r="G76" s="330"/>
      <c r="H76" s="330"/>
      <c r="I76" s="330"/>
      <c r="J76" s="95"/>
      <c r="K76" s="235" t="s">
        <v>808</v>
      </c>
      <c r="L76" s="330"/>
      <c r="M76" s="126" t="s">
        <v>809</v>
      </c>
      <c r="N76" s="236">
        <v>0.20285714285714287</v>
      </c>
      <c r="O76" s="233">
        <v>6.4285714285714302E-3</v>
      </c>
      <c r="P76" s="237"/>
      <c r="Q76" s="237"/>
      <c r="R76" s="237"/>
      <c r="S76" s="233">
        <f t="shared" si="0"/>
        <v>6.4285714285714302E-3</v>
      </c>
      <c r="T76" s="234">
        <f t="shared" si="1"/>
        <v>3.1690140845070429E-2</v>
      </c>
      <c r="U76" s="121">
        <v>46054</v>
      </c>
      <c r="V76" s="121">
        <v>46357</v>
      </c>
      <c r="W76" s="126">
        <v>360</v>
      </c>
      <c r="X76" s="126" t="s">
        <v>800</v>
      </c>
      <c r="Y76" s="126"/>
      <c r="Z76" s="330"/>
      <c r="AA76" s="330"/>
      <c r="AB76" s="330"/>
      <c r="AC76" s="330"/>
      <c r="AD76" s="330"/>
      <c r="AE76" s="150">
        <v>40000000</v>
      </c>
      <c r="AF76" s="342"/>
      <c r="AG76" s="340"/>
      <c r="AH76" s="340"/>
      <c r="AI76" s="150">
        <v>40000000</v>
      </c>
      <c r="AJ76" s="338"/>
      <c r="AK76" s="149"/>
      <c r="AL76" s="149"/>
      <c r="AM76" s="149"/>
      <c r="AN76" s="340"/>
      <c r="AO76" s="337"/>
      <c r="AP76" s="338"/>
      <c r="AQ76" s="339"/>
      <c r="AR76" s="338"/>
      <c r="AS76" s="339"/>
      <c r="AT76" s="119"/>
      <c r="AU76" s="119"/>
      <c r="AV76" s="119"/>
      <c r="AW76" s="119"/>
      <c r="AX76" s="119"/>
      <c r="AY76" s="119"/>
      <c r="AZ76" s="119"/>
      <c r="BA76" s="119"/>
      <c r="BB76" s="119"/>
      <c r="BC76" s="119"/>
      <c r="BD76" s="119"/>
      <c r="BE76" s="119"/>
      <c r="BF76" s="363"/>
      <c r="BG76" s="119"/>
      <c r="BH76" s="119"/>
      <c r="BI76" s="151"/>
    </row>
    <row r="77" spans="1:61" s="123" customFormat="1" ht="72">
      <c r="A77" s="306"/>
      <c r="B77" s="306"/>
      <c r="C77" s="332"/>
      <c r="D77" s="330"/>
      <c r="E77" s="330"/>
      <c r="F77" s="333"/>
      <c r="G77" s="330"/>
      <c r="H77" s="330"/>
      <c r="I77" s="330"/>
      <c r="J77" s="95"/>
      <c r="K77" s="126" t="s">
        <v>810</v>
      </c>
      <c r="L77" s="330"/>
      <c r="M77" s="126" t="s">
        <v>811</v>
      </c>
      <c r="N77" s="160" t="s">
        <v>270</v>
      </c>
      <c r="O77" s="118" t="s">
        <v>308</v>
      </c>
      <c r="P77" s="119"/>
      <c r="Q77" s="119"/>
      <c r="R77" s="119"/>
      <c r="S77" s="118" t="s">
        <v>308</v>
      </c>
      <c r="T77" s="120" t="s">
        <v>308</v>
      </c>
      <c r="U77" s="126" t="s">
        <v>270</v>
      </c>
      <c r="V77" s="126" t="s">
        <v>270</v>
      </c>
      <c r="W77" s="126" t="s">
        <v>270</v>
      </c>
      <c r="X77" s="126" t="s">
        <v>270</v>
      </c>
      <c r="Y77" s="126"/>
      <c r="Z77" s="330"/>
      <c r="AA77" s="330"/>
      <c r="AB77" s="330"/>
      <c r="AC77" s="330"/>
      <c r="AD77" s="330"/>
      <c r="AE77" s="150"/>
      <c r="AF77" s="342"/>
      <c r="AG77" s="340"/>
      <c r="AH77" s="340"/>
      <c r="AI77" s="150"/>
      <c r="AJ77" s="338"/>
      <c r="AK77" s="149"/>
      <c r="AL77" s="149"/>
      <c r="AM77" s="149"/>
      <c r="AN77" s="340"/>
      <c r="AO77" s="337"/>
      <c r="AP77" s="338"/>
      <c r="AQ77" s="339"/>
      <c r="AR77" s="338"/>
      <c r="AS77" s="339"/>
      <c r="AT77" s="119"/>
      <c r="AU77" s="119"/>
      <c r="AV77" s="119"/>
      <c r="AW77" s="119"/>
      <c r="AX77" s="119"/>
      <c r="AY77" s="119"/>
      <c r="AZ77" s="119"/>
      <c r="BA77" s="119"/>
      <c r="BB77" s="119"/>
      <c r="BC77" s="119"/>
      <c r="BD77" s="119"/>
      <c r="BE77" s="119"/>
      <c r="BF77" s="363"/>
      <c r="BG77" s="119"/>
      <c r="BH77" s="119"/>
      <c r="BI77" s="151"/>
    </row>
    <row r="78" spans="1:61" s="123" customFormat="1" ht="72">
      <c r="A78" s="306"/>
      <c r="B78" s="306"/>
      <c r="C78" s="332"/>
      <c r="D78" s="330"/>
      <c r="E78" s="330"/>
      <c r="F78" s="333"/>
      <c r="G78" s="330"/>
      <c r="H78" s="330"/>
      <c r="I78" s="330"/>
      <c r="J78" s="95"/>
      <c r="K78" s="126" t="s">
        <v>812</v>
      </c>
      <c r="L78" s="330"/>
      <c r="M78" s="126" t="s">
        <v>813</v>
      </c>
      <c r="N78" s="160" t="s">
        <v>270</v>
      </c>
      <c r="O78" s="118" t="s">
        <v>308</v>
      </c>
      <c r="P78" s="119"/>
      <c r="Q78" s="119"/>
      <c r="R78" s="119"/>
      <c r="S78" s="118" t="s">
        <v>308</v>
      </c>
      <c r="T78" s="120" t="s">
        <v>308</v>
      </c>
      <c r="U78" s="126" t="s">
        <v>270</v>
      </c>
      <c r="V78" s="126" t="s">
        <v>270</v>
      </c>
      <c r="W78" s="126" t="s">
        <v>270</v>
      </c>
      <c r="X78" s="126" t="s">
        <v>270</v>
      </c>
      <c r="Y78" s="126"/>
      <c r="Z78" s="330"/>
      <c r="AA78" s="330"/>
      <c r="AB78" s="330"/>
      <c r="AC78" s="330"/>
      <c r="AD78" s="330"/>
      <c r="AE78" s="150"/>
      <c r="AF78" s="342"/>
      <c r="AG78" s="340"/>
      <c r="AH78" s="340"/>
      <c r="AI78" s="150"/>
      <c r="AJ78" s="338"/>
      <c r="AK78" s="149"/>
      <c r="AL78" s="149"/>
      <c r="AM78" s="149"/>
      <c r="AN78" s="340"/>
      <c r="AO78" s="337"/>
      <c r="AP78" s="338"/>
      <c r="AQ78" s="339"/>
      <c r="AR78" s="338"/>
      <c r="AS78" s="339"/>
      <c r="AT78" s="119"/>
      <c r="AU78" s="119"/>
      <c r="AV78" s="119"/>
      <c r="AW78" s="119"/>
      <c r="AX78" s="119"/>
      <c r="AY78" s="119"/>
      <c r="AZ78" s="119"/>
      <c r="BA78" s="119"/>
      <c r="BB78" s="119"/>
      <c r="BC78" s="119"/>
      <c r="BD78" s="119"/>
      <c r="BE78" s="119"/>
      <c r="BF78" s="363"/>
      <c r="BG78" s="119"/>
      <c r="BH78" s="119"/>
      <c r="BI78" s="151"/>
    </row>
    <row r="79" spans="1:61" s="123" customFormat="1" ht="72">
      <c r="A79" s="306"/>
      <c r="B79" s="306"/>
      <c r="C79" s="332"/>
      <c r="D79" s="330"/>
      <c r="E79" s="330"/>
      <c r="F79" s="333"/>
      <c r="G79" s="330"/>
      <c r="H79" s="330"/>
      <c r="I79" s="330"/>
      <c r="J79" s="95"/>
      <c r="K79" s="126" t="s">
        <v>814</v>
      </c>
      <c r="L79" s="330"/>
      <c r="M79" s="126" t="s">
        <v>815</v>
      </c>
      <c r="N79" s="160" t="s">
        <v>270</v>
      </c>
      <c r="O79" s="118" t="s">
        <v>308</v>
      </c>
      <c r="P79" s="119"/>
      <c r="Q79" s="119"/>
      <c r="R79" s="119"/>
      <c r="S79" s="118" t="s">
        <v>308</v>
      </c>
      <c r="T79" s="120" t="s">
        <v>308</v>
      </c>
      <c r="U79" s="126" t="s">
        <v>270</v>
      </c>
      <c r="V79" s="126" t="s">
        <v>270</v>
      </c>
      <c r="W79" s="126" t="s">
        <v>270</v>
      </c>
      <c r="X79" s="126" t="s">
        <v>270</v>
      </c>
      <c r="Y79" s="126"/>
      <c r="Z79" s="330"/>
      <c r="AA79" s="330"/>
      <c r="AB79" s="330"/>
      <c r="AC79" s="330"/>
      <c r="AD79" s="330"/>
      <c r="AE79" s="150"/>
      <c r="AF79" s="342"/>
      <c r="AG79" s="340"/>
      <c r="AH79" s="340"/>
      <c r="AI79" s="150"/>
      <c r="AJ79" s="338"/>
      <c r="AK79" s="149"/>
      <c r="AL79" s="149"/>
      <c r="AM79" s="149"/>
      <c r="AN79" s="340"/>
      <c r="AO79" s="337"/>
      <c r="AP79" s="338"/>
      <c r="AQ79" s="339"/>
      <c r="AR79" s="338"/>
      <c r="AS79" s="339"/>
      <c r="AT79" s="119"/>
      <c r="AU79" s="119"/>
      <c r="AV79" s="119"/>
      <c r="AW79" s="119"/>
      <c r="AX79" s="119"/>
      <c r="AY79" s="119"/>
      <c r="AZ79" s="119"/>
      <c r="BA79" s="119"/>
      <c r="BB79" s="119"/>
      <c r="BC79" s="119"/>
      <c r="BD79" s="119"/>
      <c r="BE79" s="119"/>
      <c r="BF79" s="363"/>
      <c r="BG79" s="119"/>
      <c r="BH79" s="119"/>
      <c r="BI79" s="151"/>
    </row>
    <row r="80" spans="1:61" s="123" customFormat="1" ht="162">
      <c r="A80" s="306"/>
      <c r="B80" s="306"/>
      <c r="C80" s="332"/>
      <c r="D80" s="126" t="s">
        <v>333</v>
      </c>
      <c r="E80" s="122" t="s">
        <v>816</v>
      </c>
      <c r="F80" s="124">
        <v>2024130010214</v>
      </c>
      <c r="G80" s="122" t="s">
        <v>817</v>
      </c>
      <c r="H80" s="122" t="s">
        <v>818</v>
      </c>
      <c r="I80" s="122" t="s">
        <v>729</v>
      </c>
      <c r="J80" s="95"/>
      <c r="K80" s="126" t="s">
        <v>831</v>
      </c>
      <c r="L80" s="122" t="s">
        <v>692</v>
      </c>
      <c r="M80" s="122" t="s">
        <v>832</v>
      </c>
      <c r="N80" s="122">
        <v>2</v>
      </c>
      <c r="O80" s="118">
        <v>0.5</v>
      </c>
      <c r="P80" s="119"/>
      <c r="Q80" s="119"/>
      <c r="R80" s="119"/>
      <c r="S80" s="118">
        <f t="shared" ref="S80:S151" si="6">SUM(O80:R80)</f>
        <v>0.5</v>
      </c>
      <c r="T80" s="120">
        <f t="shared" ref="T80:T151" si="7">+S80/N80</f>
        <v>0.25</v>
      </c>
      <c r="U80" s="121">
        <v>46054</v>
      </c>
      <c r="V80" s="121">
        <v>46357</v>
      </c>
      <c r="W80" s="126">
        <v>360</v>
      </c>
      <c r="X80" s="126" t="s">
        <v>800</v>
      </c>
      <c r="Y80" s="126"/>
      <c r="Z80" s="122" t="s">
        <v>1288</v>
      </c>
      <c r="AA80" s="122"/>
      <c r="AB80" s="122"/>
      <c r="AC80" s="122"/>
      <c r="AD80" s="122"/>
      <c r="AE80" s="105"/>
      <c r="AF80" s="161"/>
      <c r="AG80" s="161"/>
      <c r="AH80" s="161"/>
      <c r="AI80" s="162"/>
      <c r="AJ80" s="338"/>
      <c r="AK80" s="149"/>
      <c r="AL80" s="149"/>
      <c r="AM80" s="149"/>
      <c r="AN80" s="161"/>
      <c r="AO80" s="163"/>
      <c r="AP80" s="338"/>
      <c r="AQ80" s="339"/>
      <c r="AR80" s="338"/>
      <c r="AS80" s="339"/>
      <c r="AT80" s="119"/>
      <c r="AU80" s="119"/>
      <c r="AV80" s="119"/>
      <c r="AW80" s="119"/>
      <c r="AX80" s="119"/>
      <c r="AY80" s="119"/>
      <c r="AZ80" s="119"/>
      <c r="BA80" s="119"/>
      <c r="BB80" s="119"/>
      <c r="BC80" s="119"/>
      <c r="BD80" s="119"/>
      <c r="BE80" s="119"/>
      <c r="BF80" s="364"/>
      <c r="BG80" s="119"/>
      <c r="BH80" s="119"/>
      <c r="BI80" s="151"/>
    </row>
    <row r="81" spans="1:61" s="123" customFormat="1" ht="111.75" customHeight="1">
      <c r="A81" s="306"/>
      <c r="B81" s="306"/>
      <c r="C81" s="332"/>
      <c r="D81" s="126"/>
      <c r="E81" s="122"/>
      <c r="F81" s="124"/>
      <c r="G81" s="122"/>
      <c r="H81" s="122"/>
      <c r="I81" s="122"/>
      <c r="J81" s="95"/>
      <c r="K81" s="302" t="s">
        <v>1286</v>
      </c>
      <c r="L81" s="302"/>
      <c r="M81" s="302"/>
      <c r="N81" s="302"/>
      <c r="O81" s="302"/>
      <c r="P81" s="302"/>
      <c r="Q81" s="302"/>
      <c r="R81" s="302"/>
      <c r="S81" s="302"/>
      <c r="T81" s="140">
        <f>AVERAGE(T44:T80)</f>
        <v>7.3011575198316345E-2</v>
      </c>
      <c r="U81" s="121"/>
      <c r="V81" s="121"/>
      <c r="W81" s="126"/>
      <c r="X81" s="126"/>
      <c r="Y81" s="126"/>
      <c r="Z81" s="122"/>
      <c r="AA81" s="122"/>
      <c r="AB81" s="122"/>
      <c r="AC81" s="122"/>
      <c r="AD81" s="122"/>
      <c r="AE81" s="312" t="s">
        <v>1287</v>
      </c>
      <c r="AF81" s="312"/>
      <c r="AG81" s="312"/>
      <c r="AH81" s="312"/>
      <c r="AI81" s="312"/>
      <c r="AJ81" s="129">
        <f>+AJ43</f>
        <v>2500000000</v>
      </c>
      <c r="AK81" s="129">
        <f t="shared" ref="AK81:AS81" si="8">+AK43</f>
        <v>0</v>
      </c>
      <c r="AL81" s="129">
        <f t="shared" si="8"/>
        <v>0</v>
      </c>
      <c r="AM81" s="129">
        <f t="shared" si="8"/>
        <v>0</v>
      </c>
      <c r="AN81" s="129"/>
      <c r="AO81" s="129"/>
      <c r="AP81" s="129">
        <f t="shared" si="8"/>
        <v>1912212047</v>
      </c>
      <c r="AQ81" s="140">
        <f t="shared" si="8"/>
        <v>0.76488481880000003</v>
      </c>
      <c r="AR81" s="129">
        <f t="shared" si="8"/>
        <v>276996420</v>
      </c>
      <c r="AS81" s="140">
        <f t="shared" si="8"/>
        <v>0.110798568</v>
      </c>
      <c r="AT81" s="119"/>
      <c r="AU81" s="119"/>
      <c r="AV81" s="119"/>
      <c r="AW81" s="119"/>
      <c r="AX81" s="119"/>
      <c r="AY81" s="119"/>
      <c r="AZ81" s="119"/>
      <c r="BA81" s="119"/>
      <c r="BB81" s="119"/>
      <c r="BC81" s="119"/>
      <c r="BD81" s="119"/>
      <c r="BE81" s="119"/>
      <c r="BF81" s="137"/>
      <c r="BG81" s="119"/>
      <c r="BH81" s="119"/>
      <c r="BI81" s="151"/>
    </row>
    <row r="82" spans="1:61" s="123" customFormat="1" ht="108">
      <c r="A82" s="306"/>
      <c r="B82" s="306"/>
      <c r="C82" s="332"/>
      <c r="D82" s="310" t="s">
        <v>336</v>
      </c>
      <c r="E82" s="310" t="s">
        <v>833</v>
      </c>
      <c r="F82" s="326">
        <v>202400000005234</v>
      </c>
      <c r="G82" s="310" t="s">
        <v>834</v>
      </c>
      <c r="H82" s="310" t="s">
        <v>835</v>
      </c>
      <c r="I82" s="310" t="s">
        <v>836</v>
      </c>
      <c r="J82" s="100"/>
      <c r="K82" s="131" t="s">
        <v>837</v>
      </c>
      <c r="L82" s="131"/>
      <c r="M82" s="131" t="s">
        <v>838</v>
      </c>
      <c r="N82" s="118" t="s">
        <v>270</v>
      </c>
      <c r="O82" s="118" t="s">
        <v>308</v>
      </c>
      <c r="P82" s="119"/>
      <c r="Q82" s="119"/>
      <c r="R82" s="119"/>
      <c r="S82" s="118" t="s">
        <v>308</v>
      </c>
      <c r="T82" s="120" t="s">
        <v>308</v>
      </c>
      <c r="U82" s="164" t="s">
        <v>308</v>
      </c>
      <c r="V82" s="164" t="s">
        <v>308</v>
      </c>
      <c r="W82" s="164" t="s">
        <v>308</v>
      </c>
      <c r="X82" s="310" t="s">
        <v>308</v>
      </c>
      <c r="Y82" s="310" t="s">
        <v>308</v>
      </c>
      <c r="Z82" s="310" t="s">
        <v>308</v>
      </c>
      <c r="AA82" s="310" t="s">
        <v>308</v>
      </c>
      <c r="AB82" s="310" t="s">
        <v>308</v>
      </c>
      <c r="AC82" s="310" t="s">
        <v>308</v>
      </c>
      <c r="AD82" s="310" t="s">
        <v>308</v>
      </c>
      <c r="AE82" s="310" t="s">
        <v>308</v>
      </c>
      <c r="AF82" s="310" t="s">
        <v>308</v>
      </c>
      <c r="AG82" s="310" t="s">
        <v>308</v>
      </c>
      <c r="AH82" s="310" t="s">
        <v>308</v>
      </c>
      <c r="AI82" s="310" t="s">
        <v>308</v>
      </c>
      <c r="AJ82" s="303">
        <v>1</v>
      </c>
      <c r="AK82" s="119"/>
      <c r="AL82" s="119"/>
      <c r="AM82" s="119"/>
      <c r="AN82" s="310" t="s">
        <v>308</v>
      </c>
      <c r="AO82" s="310" t="s">
        <v>839</v>
      </c>
      <c r="AP82" s="303">
        <v>0</v>
      </c>
      <c r="AQ82" s="343">
        <v>0</v>
      </c>
      <c r="AR82" s="303">
        <v>0</v>
      </c>
      <c r="AS82" s="343">
        <v>0</v>
      </c>
      <c r="AT82" s="119"/>
      <c r="AU82" s="119"/>
      <c r="AV82" s="119"/>
      <c r="AW82" s="119"/>
      <c r="AX82" s="119"/>
      <c r="AY82" s="119"/>
      <c r="AZ82" s="119"/>
      <c r="BA82" s="119"/>
      <c r="BB82" s="119"/>
      <c r="BC82" s="119"/>
      <c r="BD82" s="119"/>
      <c r="BE82" s="119"/>
      <c r="BF82" s="362"/>
    </row>
    <row r="83" spans="1:61" s="123" customFormat="1" ht="36">
      <c r="A83" s="306"/>
      <c r="B83" s="306"/>
      <c r="C83" s="332"/>
      <c r="D83" s="310"/>
      <c r="E83" s="310"/>
      <c r="F83" s="326"/>
      <c r="G83" s="310"/>
      <c r="H83" s="310"/>
      <c r="I83" s="310"/>
      <c r="J83" s="100"/>
      <c r="K83" s="131" t="s">
        <v>840</v>
      </c>
      <c r="L83" s="131"/>
      <c r="M83" s="131" t="s">
        <v>841</v>
      </c>
      <c r="N83" s="118" t="s">
        <v>270</v>
      </c>
      <c r="O83" s="118" t="s">
        <v>308</v>
      </c>
      <c r="P83" s="119"/>
      <c r="Q83" s="119"/>
      <c r="R83" s="119"/>
      <c r="S83" s="118" t="s">
        <v>308</v>
      </c>
      <c r="T83" s="120" t="s">
        <v>308</v>
      </c>
      <c r="U83" s="164" t="s">
        <v>308</v>
      </c>
      <c r="V83" s="164" t="s">
        <v>308</v>
      </c>
      <c r="W83" s="164" t="s">
        <v>308</v>
      </c>
      <c r="X83" s="310"/>
      <c r="Y83" s="310"/>
      <c r="Z83" s="310"/>
      <c r="AA83" s="310"/>
      <c r="AB83" s="310"/>
      <c r="AC83" s="310"/>
      <c r="AD83" s="310"/>
      <c r="AE83" s="310"/>
      <c r="AF83" s="310"/>
      <c r="AG83" s="310"/>
      <c r="AH83" s="310"/>
      <c r="AI83" s="310"/>
      <c r="AJ83" s="303"/>
      <c r="AK83" s="119"/>
      <c r="AL83" s="119"/>
      <c r="AM83" s="119"/>
      <c r="AN83" s="310"/>
      <c r="AO83" s="310"/>
      <c r="AP83" s="303"/>
      <c r="AQ83" s="343"/>
      <c r="AR83" s="303"/>
      <c r="AS83" s="343"/>
      <c r="AT83" s="119"/>
      <c r="AU83" s="119"/>
      <c r="AV83" s="119"/>
      <c r="AW83" s="119"/>
      <c r="AX83" s="119"/>
      <c r="AY83" s="119"/>
      <c r="AZ83" s="119"/>
      <c r="BA83" s="119"/>
      <c r="BB83" s="119"/>
      <c r="BC83" s="119"/>
      <c r="BD83" s="119"/>
      <c r="BE83" s="119"/>
      <c r="BF83" s="363"/>
    </row>
    <row r="84" spans="1:61" s="123" customFormat="1" ht="72">
      <c r="A84" s="306"/>
      <c r="B84" s="306"/>
      <c r="C84" s="332"/>
      <c r="D84" s="310"/>
      <c r="E84" s="310"/>
      <c r="F84" s="326"/>
      <c r="G84" s="310"/>
      <c r="H84" s="310"/>
      <c r="I84" s="310"/>
      <c r="J84" s="100"/>
      <c r="K84" s="310" t="s">
        <v>703</v>
      </c>
      <c r="L84" s="134"/>
      <c r="M84" s="131" t="s">
        <v>842</v>
      </c>
      <c r="N84" s="118" t="s">
        <v>270</v>
      </c>
      <c r="O84" s="118" t="s">
        <v>308</v>
      </c>
      <c r="P84" s="119"/>
      <c r="Q84" s="119"/>
      <c r="R84" s="119"/>
      <c r="S84" s="118" t="s">
        <v>308</v>
      </c>
      <c r="T84" s="120" t="s">
        <v>308</v>
      </c>
      <c r="U84" s="164" t="s">
        <v>308</v>
      </c>
      <c r="V84" s="164" t="s">
        <v>308</v>
      </c>
      <c r="W84" s="164" t="s">
        <v>308</v>
      </c>
      <c r="X84" s="310"/>
      <c r="Y84" s="310"/>
      <c r="Z84" s="310"/>
      <c r="AA84" s="310"/>
      <c r="AB84" s="310"/>
      <c r="AC84" s="310"/>
      <c r="AD84" s="310"/>
      <c r="AE84" s="310"/>
      <c r="AF84" s="310"/>
      <c r="AG84" s="310"/>
      <c r="AH84" s="310"/>
      <c r="AI84" s="310"/>
      <c r="AJ84" s="303"/>
      <c r="AK84" s="119"/>
      <c r="AL84" s="119"/>
      <c r="AM84" s="119"/>
      <c r="AN84" s="310"/>
      <c r="AO84" s="310"/>
      <c r="AP84" s="303"/>
      <c r="AQ84" s="343"/>
      <c r="AR84" s="303"/>
      <c r="AS84" s="343"/>
      <c r="AT84" s="119"/>
      <c r="AU84" s="119"/>
      <c r="AV84" s="119"/>
      <c r="AW84" s="119"/>
      <c r="AX84" s="119"/>
      <c r="AY84" s="119"/>
      <c r="AZ84" s="119"/>
      <c r="BA84" s="119"/>
      <c r="BB84" s="119"/>
      <c r="BC84" s="119"/>
      <c r="BD84" s="119"/>
      <c r="BE84" s="119"/>
      <c r="BF84" s="363"/>
    </row>
    <row r="85" spans="1:61" s="123" customFormat="1" ht="54">
      <c r="A85" s="306"/>
      <c r="B85" s="306"/>
      <c r="C85" s="332"/>
      <c r="D85" s="310"/>
      <c r="E85" s="310"/>
      <c r="F85" s="326"/>
      <c r="G85" s="310"/>
      <c r="H85" s="310"/>
      <c r="I85" s="310"/>
      <c r="J85" s="100"/>
      <c r="K85" s="310"/>
      <c r="L85" s="134"/>
      <c r="M85" s="131" t="s">
        <v>843</v>
      </c>
      <c r="N85" s="118" t="s">
        <v>270</v>
      </c>
      <c r="O85" s="118" t="s">
        <v>308</v>
      </c>
      <c r="P85" s="119"/>
      <c r="Q85" s="119"/>
      <c r="R85" s="119"/>
      <c r="S85" s="118" t="s">
        <v>308</v>
      </c>
      <c r="T85" s="120" t="s">
        <v>308</v>
      </c>
      <c r="U85" s="164" t="s">
        <v>308</v>
      </c>
      <c r="V85" s="164" t="s">
        <v>308</v>
      </c>
      <c r="W85" s="164" t="s">
        <v>308</v>
      </c>
      <c r="X85" s="310"/>
      <c r="Y85" s="310"/>
      <c r="Z85" s="310"/>
      <c r="AA85" s="310"/>
      <c r="AB85" s="310"/>
      <c r="AC85" s="310"/>
      <c r="AD85" s="310"/>
      <c r="AE85" s="310"/>
      <c r="AF85" s="310"/>
      <c r="AG85" s="310"/>
      <c r="AH85" s="310"/>
      <c r="AI85" s="310"/>
      <c r="AJ85" s="303"/>
      <c r="AK85" s="119"/>
      <c r="AL85" s="119"/>
      <c r="AM85" s="119"/>
      <c r="AN85" s="310"/>
      <c r="AO85" s="310"/>
      <c r="AP85" s="303"/>
      <c r="AQ85" s="343"/>
      <c r="AR85" s="303"/>
      <c r="AS85" s="343"/>
      <c r="AT85" s="119"/>
      <c r="AU85" s="119"/>
      <c r="AV85" s="119"/>
      <c r="AW85" s="119"/>
      <c r="AX85" s="119"/>
      <c r="AY85" s="119"/>
      <c r="AZ85" s="119"/>
      <c r="BA85" s="119"/>
      <c r="BB85" s="119"/>
      <c r="BC85" s="119"/>
      <c r="BD85" s="119"/>
      <c r="BE85" s="119"/>
      <c r="BF85" s="363"/>
    </row>
    <row r="86" spans="1:61" s="123" customFormat="1" ht="90">
      <c r="A86" s="306"/>
      <c r="B86" s="306"/>
      <c r="C86" s="332"/>
      <c r="D86" s="310"/>
      <c r="E86" s="310"/>
      <c r="F86" s="326"/>
      <c r="G86" s="310"/>
      <c r="H86" s="310"/>
      <c r="I86" s="310"/>
      <c r="J86" s="100"/>
      <c r="K86" s="131" t="s">
        <v>844</v>
      </c>
      <c r="L86" s="131"/>
      <c r="M86" s="131" t="s">
        <v>844</v>
      </c>
      <c r="N86" s="118" t="s">
        <v>270</v>
      </c>
      <c r="O86" s="118" t="s">
        <v>308</v>
      </c>
      <c r="P86" s="119"/>
      <c r="Q86" s="119"/>
      <c r="R86" s="119"/>
      <c r="S86" s="118" t="s">
        <v>308</v>
      </c>
      <c r="T86" s="120" t="s">
        <v>308</v>
      </c>
      <c r="U86" s="164" t="s">
        <v>308</v>
      </c>
      <c r="V86" s="164" t="s">
        <v>308</v>
      </c>
      <c r="W86" s="164" t="s">
        <v>308</v>
      </c>
      <c r="X86" s="310"/>
      <c r="Y86" s="310"/>
      <c r="Z86" s="310"/>
      <c r="AA86" s="310"/>
      <c r="AB86" s="310"/>
      <c r="AC86" s="310"/>
      <c r="AD86" s="310"/>
      <c r="AE86" s="310"/>
      <c r="AF86" s="310"/>
      <c r="AG86" s="310"/>
      <c r="AH86" s="310"/>
      <c r="AI86" s="310"/>
      <c r="AJ86" s="303"/>
      <c r="AK86" s="119"/>
      <c r="AL86" s="119"/>
      <c r="AM86" s="119"/>
      <c r="AN86" s="310"/>
      <c r="AO86" s="310"/>
      <c r="AP86" s="303"/>
      <c r="AQ86" s="343"/>
      <c r="AR86" s="303"/>
      <c r="AS86" s="343"/>
      <c r="AT86" s="119"/>
      <c r="AU86" s="119"/>
      <c r="AV86" s="119"/>
      <c r="AW86" s="119"/>
      <c r="AX86" s="119"/>
      <c r="AY86" s="119"/>
      <c r="AZ86" s="119"/>
      <c r="BA86" s="119"/>
      <c r="BB86" s="119"/>
      <c r="BC86" s="119"/>
      <c r="BD86" s="119"/>
      <c r="BE86" s="119"/>
      <c r="BF86" s="364"/>
    </row>
    <row r="87" spans="1:61" s="123" customFormat="1" ht="82.5" customHeight="1">
      <c r="A87" s="122"/>
      <c r="B87" s="122"/>
      <c r="C87" s="166"/>
      <c r="D87" s="126"/>
      <c r="E87" s="122"/>
      <c r="F87" s="124"/>
      <c r="G87" s="122"/>
      <c r="H87" s="122"/>
      <c r="I87" s="122"/>
      <c r="J87" s="95"/>
      <c r="K87" s="302" t="s">
        <v>1289</v>
      </c>
      <c r="L87" s="302"/>
      <c r="M87" s="302"/>
      <c r="N87" s="302"/>
      <c r="O87" s="302"/>
      <c r="P87" s="302"/>
      <c r="Q87" s="302"/>
      <c r="R87" s="302"/>
      <c r="S87" s="302"/>
      <c r="T87" s="120" t="s">
        <v>308</v>
      </c>
      <c r="U87" s="121"/>
      <c r="V87" s="121"/>
      <c r="W87" s="126"/>
      <c r="X87" s="126"/>
      <c r="Y87" s="126"/>
      <c r="Z87" s="122"/>
      <c r="AA87" s="122"/>
      <c r="AB87" s="122"/>
      <c r="AC87" s="122"/>
      <c r="AD87" s="122"/>
      <c r="AE87" s="312"/>
      <c r="AF87" s="312"/>
      <c r="AG87" s="312"/>
      <c r="AH87" s="312"/>
      <c r="AI87" s="312"/>
      <c r="AJ87" s="129">
        <f>+AJ49</f>
        <v>0</v>
      </c>
      <c r="AK87" s="129">
        <f t="shared" ref="AK87:AS87" si="9">+AK49</f>
        <v>0</v>
      </c>
      <c r="AL87" s="129">
        <f t="shared" si="9"/>
        <v>0</v>
      </c>
      <c r="AM87" s="129">
        <f t="shared" si="9"/>
        <v>0</v>
      </c>
      <c r="AN87" s="129"/>
      <c r="AO87" s="129"/>
      <c r="AP87" s="129">
        <f t="shared" si="9"/>
        <v>0</v>
      </c>
      <c r="AQ87" s="140">
        <f t="shared" si="9"/>
        <v>0</v>
      </c>
      <c r="AR87" s="129">
        <f t="shared" si="9"/>
        <v>0</v>
      </c>
      <c r="AS87" s="140">
        <f t="shared" si="9"/>
        <v>0</v>
      </c>
      <c r="AT87" s="119"/>
      <c r="AU87" s="119"/>
      <c r="AV87" s="119"/>
      <c r="AW87" s="119"/>
      <c r="AX87" s="119"/>
      <c r="AY87" s="119"/>
      <c r="AZ87" s="119"/>
      <c r="BA87" s="119"/>
      <c r="BB87" s="119"/>
      <c r="BC87" s="119"/>
      <c r="BD87" s="119"/>
      <c r="BE87" s="119"/>
      <c r="BF87" s="137"/>
    </row>
    <row r="88" spans="1:61" s="123" customFormat="1" ht="72">
      <c r="A88" s="306" t="s">
        <v>338</v>
      </c>
      <c r="B88" s="345" t="s">
        <v>339</v>
      </c>
      <c r="C88" s="332" t="s">
        <v>340</v>
      </c>
      <c r="D88" s="306" t="s">
        <v>343</v>
      </c>
      <c r="E88" s="306" t="s">
        <v>339</v>
      </c>
      <c r="F88" s="344" t="s">
        <v>845</v>
      </c>
      <c r="G88" s="306" t="s">
        <v>846</v>
      </c>
      <c r="H88" s="306" t="s">
        <v>847</v>
      </c>
      <c r="I88" s="306" t="s">
        <v>848</v>
      </c>
      <c r="J88" s="95"/>
      <c r="K88" s="122" t="s">
        <v>849</v>
      </c>
      <c r="L88" s="122"/>
      <c r="M88" s="122" t="s">
        <v>850</v>
      </c>
      <c r="N88" s="122">
        <v>0.5</v>
      </c>
      <c r="O88" s="118" t="s">
        <v>308</v>
      </c>
      <c r="P88" s="119"/>
      <c r="Q88" s="119"/>
      <c r="R88" s="119"/>
      <c r="S88" s="118">
        <f t="shared" si="6"/>
        <v>0</v>
      </c>
      <c r="T88" s="120">
        <f t="shared" si="7"/>
        <v>0</v>
      </c>
      <c r="U88" s="122" t="s">
        <v>851</v>
      </c>
      <c r="V88" s="122" t="s">
        <v>785</v>
      </c>
      <c r="W88" s="122">
        <v>180</v>
      </c>
      <c r="X88" s="122" t="s">
        <v>722</v>
      </c>
      <c r="Y88" s="122" t="s">
        <v>723</v>
      </c>
      <c r="Z88" s="306" t="s">
        <v>852</v>
      </c>
      <c r="AA88" s="306" t="s">
        <v>853</v>
      </c>
      <c r="AB88" s="306" t="s">
        <v>854</v>
      </c>
      <c r="AC88" s="306" t="s">
        <v>802</v>
      </c>
      <c r="AD88" s="306"/>
      <c r="AE88" s="170">
        <v>522000000</v>
      </c>
      <c r="AF88" s="170" t="s">
        <v>75</v>
      </c>
      <c r="AG88" s="170" t="s">
        <v>52</v>
      </c>
      <c r="AH88" s="127" t="s">
        <v>851</v>
      </c>
      <c r="AI88" s="169">
        <v>522000000</v>
      </c>
      <c r="AJ88" s="303">
        <v>1100000000</v>
      </c>
      <c r="AK88" s="119"/>
      <c r="AL88" s="119"/>
      <c r="AM88" s="119"/>
      <c r="AN88" s="122" t="s">
        <v>699</v>
      </c>
      <c r="AO88" s="306" t="s">
        <v>855</v>
      </c>
      <c r="AP88" s="303">
        <v>186400000</v>
      </c>
      <c r="AQ88" s="305">
        <f>+AP88/AJ88</f>
        <v>0.16945454545454544</v>
      </c>
      <c r="AR88" s="303">
        <v>44900000</v>
      </c>
      <c r="AS88" s="305">
        <f>+AR88/AJ88</f>
        <v>4.0818181818181816E-2</v>
      </c>
      <c r="AT88" s="119"/>
      <c r="AU88" s="119"/>
      <c r="AV88" s="119"/>
      <c r="AW88" s="119"/>
      <c r="AX88" s="119"/>
      <c r="AY88" s="119"/>
      <c r="AZ88" s="119"/>
      <c r="BA88" s="119"/>
      <c r="BB88" s="119"/>
      <c r="BC88" s="119"/>
      <c r="BD88" s="119"/>
      <c r="BE88" s="119"/>
      <c r="BF88" s="365"/>
    </row>
    <row r="89" spans="1:61" s="123" customFormat="1" ht="93" customHeight="1">
      <c r="A89" s="306"/>
      <c r="B89" s="345"/>
      <c r="C89" s="332"/>
      <c r="D89" s="306"/>
      <c r="E89" s="306"/>
      <c r="F89" s="344"/>
      <c r="G89" s="306"/>
      <c r="H89" s="306"/>
      <c r="I89" s="306"/>
      <c r="J89" s="95"/>
      <c r="K89" s="122" t="s">
        <v>856</v>
      </c>
      <c r="L89" s="122"/>
      <c r="M89" s="122" t="s">
        <v>793</v>
      </c>
      <c r="N89" s="122" t="s">
        <v>270</v>
      </c>
      <c r="O89" s="118" t="s">
        <v>308</v>
      </c>
      <c r="P89" s="119"/>
      <c r="Q89" s="119"/>
      <c r="R89" s="119"/>
      <c r="S89" s="118" t="s">
        <v>308</v>
      </c>
      <c r="T89" s="120" t="s">
        <v>308</v>
      </c>
      <c r="U89" s="122" t="s">
        <v>308</v>
      </c>
      <c r="V89" s="122" t="s">
        <v>308</v>
      </c>
      <c r="W89" s="122" t="s">
        <v>308</v>
      </c>
      <c r="X89" s="122" t="s">
        <v>308</v>
      </c>
      <c r="Y89" s="122" t="s">
        <v>308</v>
      </c>
      <c r="Z89" s="306"/>
      <c r="AA89" s="306"/>
      <c r="AB89" s="306"/>
      <c r="AC89" s="306"/>
      <c r="AD89" s="306"/>
      <c r="AE89" s="122" t="s">
        <v>308</v>
      </c>
      <c r="AF89" s="122" t="s">
        <v>308</v>
      </c>
      <c r="AG89" s="122" t="s">
        <v>308</v>
      </c>
      <c r="AH89" s="122" t="s">
        <v>308</v>
      </c>
      <c r="AI89" s="122" t="s">
        <v>308</v>
      </c>
      <c r="AJ89" s="303"/>
      <c r="AK89" s="119"/>
      <c r="AL89" s="119"/>
      <c r="AM89" s="119"/>
      <c r="AN89" s="122" t="s">
        <v>308</v>
      </c>
      <c r="AO89" s="306"/>
      <c r="AP89" s="303"/>
      <c r="AQ89" s="305"/>
      <c r="AR89" s="303"/>
      <c r="AS89" s="305"/>
      <c r="AT89" s="119"/>
      <c r="AU89" s="119"/>
      <c r="AV89" s="119"/>
      <c r="AW89" s="119"/>
      <c r="AX89" s="119"/>
      <c r="AY89" s="119"/>
      <c r="AZ89" s="119"/>
      <c r="BA89" s="119"/>
      <c r="BB89" s="119"/>
      <c r="BC89" s="119"/>
      <c r="BD89" s="119"/>
      <c r="BE89" s="119"/>
      <c r="BF89" s="366"/>
    </row>
    <row r="90" spans="1:61" s="123" customFormat="1" ht="54">
      <c r="A90" s="306" t="s">
        <v>345</v>
      </c>
      <c r="B90" s="345"/>
      <c r="C90" s="332"/>
      <c r="D90" s="306" t="s">
        <v>348</v>
      </c>
      <c r="E90" s="306"/>
      <c r="F90" s="344"/>
      <c r="G90" s="306"/>
      <c r="H90" s="306"/>
      <c r="I90" s="306" t="s">
        <v>349</v>
      </c>
      <c r="J90" s="95"/>
      <c r="K90" s="122" t="s">
        <v>857</v>
      </c>
      <c r="L90" s="168"/>
      <c r="M90" s="122" t="s">
        <v>858</v>
      </c>
      <c r="N90" s="122" t="s">
        <v>270</v>
      </c>
      <c r="O90" s="118" t="s">
        <v>308</v>
      </c>
      <c r="P90" s="119"/>
      <c r="Q90" s="119"/>
      <c r="R90" s="119"/>
      <c r="S90" s="118" t="s">
        <v>308</v>
      </c>
      <c r="T90" s="120" t="s">
        <v>308</v>
      </c>
      <c r="U90" s="122" t="s">
        <v>308</v>
      </c>
      <c r="V90" s="122" t="s">
        <v>308</v>
      </c>
      <c r="W90" s="122" t="s">
        <v>308</v>
      </c>
      <c r="X90" s="122" t="s">
        <v>308</v>
      </c>
      <c r="Y90" s="122" t="s">
        <v>308</v>
      </c>
      <c r="Z90" s="306"/>
      <c r="AA90" s="306"/>
      <c r="AB90" s="306"/>
      <c r="AC90" s="306" t="s">
        <v>802</v>
      </c>
      <c r="AD90" s="306"/>
      <c r="AE90" s="122" t="s">
        <v>308</v>
      </c>
      <c r="AF90" s="122" t="s">
        <v>308</v>
      </c>
      <c r="AG90" s="122" t="s">
        <v>308</v>
      </c>
      <c r="AH90" s="122" t="s">
        <v>308</v>
      </c>
      <c r="AI90" s="122" t="s">
        <v>308</v>
      </c>
      <c r="AJ90" s="303"/>
      <c r="AK90" s="119"/>
      <c r="AL90" s="119"/>
      <c r="AM90" s="119"/>
      <c r="AN90" s="122" t="s">
        <v>308</v>
      </c>
      <c r="AO90" s="306"/>
      <c r="AP90" s="303"/>
      <c r="AQ90" s="305"/>
      <c r="AR90" s="303"/>
      <c r="AS90" s="305"/>
      <c r="AT90" s="119"/>
      <c r="AU90" s="119"/>
      <c r="AV90" s="119"/>
      <c r="AW90" s="119"/>
      <c r="AX90" s="119"/>
      <c r="AY90" s="119"/>
      <c r="AZ90" s="119"/>
      <c r="BA90" s="119"/>
      <c r="BB90" s="119"/>
      <c r="BC90" s="119"/>
      <c r="BD90" s="119"/>
      <c r="BE90" s="119"/>
      <c r="BF90" s="366"/>
    </row>
    <row r="91" spans="1:61" s="123" customFormat="1" ht="72.75" customHeight="1">
      <c r="A91" s="306"/>
      <c r="B91" s="345"/>
      <c r="C91" s="332"/>
      <c r="D91" s="306"/>
      <c r="E91" s="306"/>
      <c r="F91" s="344"/>
      <c r="G91" s="306"/>
      <c r="H91" s="306"/>
      <c r="I91" s="306"/>
      <c r="J91" s="95"/>
      <c r="K91" s="122" t="s">
        <v>856</v>
      </c>
      <c r="L91" s="168"/>
      <c r="M91" s="122" t="s">
        <v>793</v>
      </c>
      <c r="N91" s="122">
        <v>1</v>
      </c>
      <c r="O91" s="118">
        <v>0.05</v>
      </c>
      <c r="P91" s="119"/>
      <c r="Q91" s="119"/>
      <c r="R91" s="119"/>
      <c r="S91" s="118">
        <f t="shared" si="6"/>
        <v>0.05</v>
      </c>
      <c r="T91" s="120">
        <f t="shared" si="7"/>
        <v>0.05</v>
      </c>
      <c r="U91" s="122" t="s">
        <v>799</v>
      </c>
      <c r="V91" s="122" t="s">
        <v>785</v>
      </c>
      <c r="W91" s="122">
        <v>330</v>
      </c>
      <c r="X91" s="122" t="s">
        <v>722</v>
      </c>
      <c r="Y91" s="122" t="s">
        <v>723</v>
      </c>
      <c r="Z91" s="306"/>
      <c r="AA91" s="306"/>
      <c r="AB91" s="306"/>
      <c r="AC91" s="306"/>
      <c r="AD91" s="306"/>
      <c r="AE91" s="169">
        <v>200000000</v>
      </c>
      <c r="AF91" s="169" t="s">
        <v>75</v>
      </c>
      <c r="AG91" s="122" t="s">
        <v>770</v>
      </c>
      <c r="AH91" s="122" t="s">
        <v>799</v>
      </c>
      <c r="AI91" s="169">
        <v>200000000</v>
      </c>
      <c r="AJ91" s="303"/>
      <c r="AK91" s="119"/>
      <c r="AL91" s="119"/>
      <c r="AM91" s="119"/>
      <c r="AN91" s="122" t="s">
        <v>699</v>
      </c>
      <c r="AO91" s="306"/>
      <c r="AP91" s="303"/>
      <c r="AQ91" s="305"/>
      <c r="AR91" s="303"/>
      <c r="AS91" s="305"/>
      <c r="AT91" s="119"/>
      <c r="AU91" s="119"/>
      <c r="AV91" s="119"/>
      <c r="AW91" s="119"/>
      <c r="AX91" s="119"/>
      <c r="AY91" s="119"/>
      <c r="AZ91" s="119"/>
      <c r="BA91" s="119"/>
      <c r="BB91" s="119"/>
      <c r="BC91" s="119"/>
      <c r="BD91" s="119"/>
      <c r="BE91" s="119"/>
      <c r="BF91" s="366"/>
    </row>
    <row r="92" spans="1:61" s="123" customFormat="1" ht="54">
      <c r="A92" s="306"/>
      <c r="B92" s="345"/>
      <c r="C92" s="332"/>
      <c r="D92" s="306" t="s">
        <v>352</v>
      </c>
      <c r="E92" s="306"/>
      <c r="F92" s="344"/>
      <c r="G92" s="306"/>
      <c r="H92" s="306"/>
      <c r="I92" s="306" t="s">
        <v>859</v>
      </c>
      <c r="J92" s="95"/>
      <c r="K92" s="122" t="s">
        <v>860</v>
      </c>
      <c r="L92" s="168"/>
      <c r="M92" s="122" t="s">
        <v>861</v>
      </c>
      <c r="N92" s="122">
        <v>1</v>
      </c>
      <c r="O92" s="118" t="s">
        <v>308</v>
      </c>
      <c r="P92" s="119"/>
      <c r="Q92" s="119"/>
      <c r="R92" s="119"/>
      <c r="S92" s="118" t="s">
        <v>308</v>
      </c>
      <c r="T92" s="120" t="s">
        <v>308</v>
      </c>
      <c r="U92" s="122" t="s">
        <v>851</v>
      </c>
      <c r="V92" s="122" t="s">
        <v>785</v>
      </c>
      <c r="W92" s="122">
        <v>180</v>
      </c>
      <c r="X92" s="122" t="s">
        <v>722</v>
      </c>
      <c r="Y92" s="122" t="s">
        <v>723</v>
      </c>
      <c r="Z92" s="306"/>
      <c r="AA92" s="306"/>
      <c r="AB92" s="306"/>
      <c r="AC92" s="306" t="s">
        <v>802</v>
      </c>
      <c r="AD92" s="306"/>
      <c r="AE92" s="169">
        <v>378000000</v>
      </c>
      <c r="AF92" s="170" t="s">
        <v>75</v>
      </c>
      <c r="AG92" s="122" t="s">
        <v>770</v>
      </c>
      <c r="AH92" s="122" t="s">
        <v>851</v>
      </c>
      <c r="AI92" s="169">
        <v>378000000</v>
      </c>
      <c r="AJ92" s="303"/>
      <c r="AK92" s="119"/>
      <c r="AL92" s="119"/>
      <c r="AM92" s="119"/>
      <c r="AN92" s="122" t="s">
        <v>699</v>
      </c>
      <c r="AO92" s="306"/>
      <c r="AP92" s="303"/>
      <c r="AQ92" s="305"/>
      <c r="AR92" s="303"/>
      <c r="AS92" s="305"/>
      <c r="AT92" s="119"/>
      <c r="AU92" s="119"/>
      <c r="AV92" s="119"/>
      <c r="AW92" s="119"/>
      <c r="AX92" s="119"/>
      <c r="AY92" s="119"/>
      <c r="AZ92" s="119"/>
      <c r="BA92" s="119"/>
      <c r="BB92" s="119"/>
      <c r="BC92" s="119"/>
      <c r="BD92" s="119"/>
      <c r="BE92" s="119"/>
      <c r="BF92" s="366"/>
    </row>
    <row r="93" spans="1:61" s="123" customFormat="1" ht="90">
      <c r="A93" s="306"/>
      <c r="B93" s="345"/>
      <c r="C93" s="332"/>
      <c r="D93" s="306"/>
      <c r="E93" s="306"/>
      <c r="F93" s="344"/>
      <c r="G93" s="306"/>
      <c r="H93" s="306"/>
      <c r="I93" s="306"/>
      <c r="J93" s="95"/>
      <c r="K93" s="122" t="s">
        <v>862</v>
      </c>
      <c r="L93" s="168"/>
      <c r="M93" s="122" t="s">
        <v>861</v>
      </c>
      <c r="N93" s="122" t="s">
        <v>270</v>
      </c>
      <c r="O93" s="118" t="s">
        <v>308</v>
      </c>
      <c r="P93" s="119"/>
      <c r="Q93" s="119"/>
      <c r="R93" s="119"/>
      <c r="S93" s="118" t="s">
        <v>308</v>
      </c>
      <c r="T93" s="120" t="s">
        <v>308</v>
      </c>
      <c r="U93" s="122" t="s">
        <v>308</v>
      </c>
      <c r="V93" s="122" t="s">
        <v>308</v>
      </c>
      <c r="W93" s="122" t="s">
        <v>308</v>
      </c>
      <c r="X93" s="122" t="s">
        <v>308</v>
      </c>
      <c r="Y93" s="122" t="s">
        <v>308</v>
      </c>
      <c r="Z93" s="306"/>
      <c r="AA93" s="306"/>
      <c r="AB93" s="306"/>
      <c r="AC93" s="306"/>
      <c r="AD93" s="306"/>
      <c r="AE93" s="122" t="s">
        <v>308</v>
      </c>
      <c r="AF93" s="122" t="s">
        <v>308</v>
      </c>
      <c r="AG93" s="122" t="s">
        <v>308</v>
      </c>
      <c r="AH93" s="122" t="s">
        <v>308</v>
      </c>
      <c r="AI93" s="122" t="s">
        <v>308</v>
      </c>
      <c r="AJ93" s="303"/>
      <c r="AK93" s="119"/>
      <c r="AL93" s="119"/>
      <c r="AM93" s="119"/>
      <c r="AN93" s="122" t="s">
        <v>308</v>
      </c>
      <c r="AO93" s="306"/>
      <c r="AP93" s="303"/>
      <c r="AQ93" s="305"/>
      <c r="AR93" s="303"/>
      <c r="AS93" s="305"/>
      <c r="AT93" s="119"/>
      <c r="AU93" s="119"/>
      <c r="AV93" s="119"/>
      <c r="AW93" s="119"/>
      <c r="AX93" s="119"/>
      <c r="AY93" s="119"/>
      <c r="AZ93" s="119"/>
      <c r="BA93" s="119"/>
      <c r="BB93" s="119"/>
      <c r="BC93" s="119"/>
      <c r="BD93" s="119"/>
      <c r="BE93" s="119"/>
      <c r="BF93" s="366"/>
    </row>
    <row r="94" spans="1:61" s="123" customFormat="1" ht="108">
      <c r="A94" s="306"/>
      <c r="B94" s="345"/>
      <c r="C94" s="332"/>
      <c r="D94" s="306"/>
      <c r="E94" s="306"/>
      <c r="F94" s="344"/>
      <c r="G94" s="306"/>
      <c r="H94" s="306"/>
      <c r="I94" s="306"/>
      <c r="J94" s="95"/>
      <c r="K94" s="122" t="s">
        <v>863</v>
      </c>
      <c r="L94" s="122"/>
      <c r="M94" s="122" t="s">
        <v>864</v>
      </c>
      <c r="N94" s="122" t="s">
        <v>270</v>
      </c>
      <c r="O94" s="118" t="s">
        <v>308</v>
      </c>
      <c r="P94" s="119"/>
      <c r="Q94" s="119"/>
      <c r="R94" s="119"/>
      <c r="S94" s="118" t="s">
        <v>308</v>
      </c>
      <c r="T94" s="120" t="s">
        <v>308</v>
      </c>
      <c r="U94" s="122" t="s">
        <v>308</v>
      </c>
      <c r="V94" s="122" t="s">
        <v>308</v>
      </c>
      <c r="W94" s="122" t="s">
        <v>308</v>
      </c>
      <c r="X94" s="122" t="s">
        <v>308</v>
      </c>
      <c r="Y94" s="122" t="s">
        <v>308</v>
      </c>
      <c r="Z94" s="306"/>
      <c r="AA94" s="306"/>
      <c r="AB94" s="306"/>
      <c r="AC94" s="306"/>
      <c r="AD94" s="306"/>
      <c r="AE94" s="122" t="s">
        <v>308</v>
      </c>
      <c r="AF94" s="122" t="s">
        <v>308</v>
      </c>
      <c r="AG94" s="122" t="s">
        <v>308</v>
      </c>
      <c r="AH94" s="122" t="s">
        <v>308</v>
      </c>
      <c r="AI94" s="122" t="s">
        <v>308</v>
      </c>
      <c r="AJ94" s="303"/>
      <c r="AK94" s="119"/>
      <c r="AL94" s="119"/>
      <c r="AM94" s="119"/>
      <c r="AN94" s="122" t="s">
        <v>308</v>
      </c>
      <c r="AO94" s="306"/>
      <c r="AP94" s="303"/>
      <c r="AQ94" s="305"/>
      <c r="AR94" s="303"/>
      <c r="AS94" s="305"/>
      <c r="AT94" s="119"/>
      <c r="AU94" s="119"/>
      <c r="AV94" s="119"/>
      <c r="AW94" s="119"/>
      <c r="AX94" s="119"/>
      <c r="AY94" s="119"/>
      <c r="AZ94" s="119"/>
      <c r="BA94" s="119"/>
      <c r="BB94" s="119"/>
      <c r="BC94" s="119"/>
      <c r="BD94" s="119"/>
      <c r="BE94" s="119"/>
      <c r="BF94" s="367"/>
    </row>
    <row r="95" spans="1:61" s="123" customFormat="1" ht="82.5" customHeight="1">
      <c r="A95" s="122"/>
      <c r="B95" s="165"/>
      <c r="C95" s="166"/>
      <c r="D95" s="122"/>
      <c r="E95" s="122"/>
      <c r="F95" s="167"/>
      <c r="G95" s="122"/>
      <c r="H95" s="122"/>
      <c r="I95" s="122"/>
      <c r="J95" s="95"/>
      <c r="K95" s="302" t="s">
        <v>1290</v>
      </c>
      <c r="L95" s="302"/>
      <c r="M95" s="302"/>
      <c r="N95" s="302"/>
      <c r="O95" s="302"/>
      <c r="P95" s="302"/>
      <c r="Q95" s="302"/>
      <c r="R95" s="302"/>
      <c r="S95" s="302"/>
      <c r="T95" s="140">
        <f>AVERAGE(T90:T94)</f>
        <v>0.05</v>
      </c>
      <c r="U95" s="122"/>
      <c r="V95" s="122"/>
      <c r="W95" s="122"/>
      <c r="X95" s="122"/>
      <c r="Y95" s="122"/>
      <c r="Z95" s="122"/>
      <c r="AA95" s="122"/>
      <c r="AB95" s="122"/>
      <c r="AC95" s="122"/>
      <c r="AD95" s="122"/>
      <c r="AE95" s="312" t="s">
        <v>1291</v>
      </c>
      <c r="AF95" s="312"/>
      <c r="AG95" s="312"/>
      <c r="AH95" s="312"/>
      <c r="AI95" s="312"/>
      <c r="AJ95" s="129">
        <f>+AJ88</f>
        <v>1100000000</v>
      </c>
      <c r="AK95" s="171"/>
      <c r="AL95" s="171"/>
      <c r="AM95" s="171"/>
      <c r="AN95" s="172"/>
      <c r="AO95" s="172"/>
      <c r="AP95" s="129">
        <f>+AP88</f>
        <v>186400000</v>
      </c>
      <c r="AQ95" s="140">
        <f t="shared" ref="AQ95:AS95" si="10">+AQ88</f>
        <v>0.16945454545454544</v>
      </c>
      <c r="AR95" s="129">
        <f t="shared" si="10"/>
        <v>44900000</v>
      </c>
      <c r="AS95" s="140">
        <f t="shared" si="10"/>
        <v>4.0818181818181816E-2</v>
      </c>
      <c r="AT95" s="119"/>
      <c r="AU95" s="119"/>
      <c r="AV95" s="119"/>
      <c r="AW95" s="119"/>
      <c r="AX95" s="119"/>
      <c r="AY95" s="119"/>
      <c r="AZ95" s="119"/>
      <c r="BA95" s="119"/>
      <c r="BB95" s="119"/>
      <c r="BC95" s="119"/>
      <c r="BD95" s="119"/>
      <c r="BE95" s="119"/>
      <c r="BF95" s="135"/>
    </row>
    <row r="96" spans="1:61" s="123" customFormat="1" ht="108">
      <c r="A96" s="332" t="s">
        <v>354</v>
      </c>
      <c r="B96" s="345" t="s">
        <v>355</v>
      </c>
      <c r="C96" s="332" t="s">
        <v>356</v>
      </c>
      <c r="D96" s="306" t="s">
        <v>865</v>
      </c>
      <c r="E96" s="306" t="s">
        <v>866</v>
      </c>
      <c r="F96" s="324">
        <v>2024130010160</v>
      </c>
      <c r="G96" s="306" t="s">
        <v>867</v>
      </c>
      <c r="H96" s="306" t="s">
        <v>868</v>
      </c>
      <c r="I96" s="306" t="s">
        <v>869</v>
      </c>
      <c r="J96" s="95"/>
      <c r="K96" s="122" t="s">
        <v>870</v>
      </c>
      <c r="L96" s="122"/>
      <c r="M96" s="122" t="s">
        <v>871</v>
      </c>
      <c r="N96" s="122" t="s">
        <v>270</v>
      </c>
      <c r="O96" s="118" t="s">
        <v>308</v>
      </c>
      <c r="P96" s="119"/>
      <c r="Q96" s="119"/>
      <c r="R96" s="119"/>
      <c r="S96" s="118" t="s">
        <v>308</v>
      </c>
      <c r="T96" s="120" t="s">
        <v>308</v>
      </c>
      <c r="U96" s="122" t="s">
        <v>308</v>
      </c>
      <c r="V96" s="122" t="s">
        <v>308</v>
      </c>
      <c r="W96" s="122" t="s">
        <v>308</v>
      </c>
      <c r="X96" s="122" t="s">
        <v>308</v>
      </c>
      <c r="Y96" s="122" t="s">
        <v>308</v>
      </c>
      <c r="Z96" s="306" t="s">
        <v>852</v>
      </c>
      <c r="AA96" s="306" t="s">
        <v>872</v>
      </c>
      <c r="AB96" s="306" t="s">
        <v>873</v>
      </c>
      <c r="AC96" s="306" t="s">
        <v>734</v>
      </c>
      <c r="AD96" s="306" t="s">
        <v>874</v>
      </c>
      <c r="AE96" s="122" t="s">
        <v>308</v>
      </c>
      <c r="AF96" s="306" t="s">
        <v>75</v>
      </c>
      <c r="AG96" s="306" t="s">
        <v>770</v>
      </c>
      <c r="AH96" s="122" t="s">
        <v>308</v>
      </c>
      <c r="AI96" s="122" t="s">
        <v>308</v>
      </c>
      <c r="AJ96" s="303">
        <v>1649999998</v>
      </c>
      <c r="AK96" s="119"/>
      <c r="AL96" s="119"/>
      <c r="AM96" s="119"/>
      <c r="AN96" s="306" t="s">
        <v>699</v>
      </c>
      <c r="AO96" s="306" t="s">
        <v>875</v>
      </c>
      <c r="AP96" s="303">
        <v>764821440</v>
      </c>
      <c r="AQ96" s="305">
        <f>+AP96/AJ96</f>
        <v>0.46352814601639775</v>
      </c>
      <c r="AR96" s="303">
        <v>211656666</v>
      </c>
      <c r="AS96" s="305">
        <f>+AR96/AJ96</f>
        <v>0.12827676742821426</v>
      </c>
      <c r="AT96" s="119"/>
      <c r="AU96" s="119"/>
      <c r="AV96" s="119"/>
      <c r="AW96" s="119"/>
      <c r="AX96" s="119"/>
      <c r="AY96" s="119"/>
      <c r="AZ96" s="119"/>
      <c r="BA96" s="119"/>
      <c r="BB96" s="119"/>
      <c r="BC96" s="119"/>
      <c r="BD96" s="119"/>
      <c r="BE96" s="119"/>
      <c r="BF96" s="365"/>
    </row>
    <row r="97" spans="1:58" s="123" customFormat="1" ht="144">
      <c r="A97" s="332"/>
      <c r="B97" s="345"/>
      <c r="C97" s="332"/>
      <c r="D97" s="306"/>
      <c r="E97" s="306"/>
      <c r="F97" s="324"/>
      <c r="G97" s="306"/>
      <c r="H97" s="306"/>
      <c r="I97" s="306"/>
      <c r="J97" s="95"/>
      <c r="K97" s="122" t="s">
        <v>876</v>
      </c>
      <c r="L97" s="122"/>
      <c r="M97" s="122" t="s">
        <v>877</v>
      </c>
      <c r="N97" s="122">
        <v>766</v>
      </c>
      <c r="O97" s="118">
        <v>75</v>
      </c>
      <c r="P97" s="119"/>
      <c r="Q97" s="119"/>
      <c r="R97" s="119"/>
      <c r="S97" s="118">
        <f t="shared" si="6"/>
        <v>75</v>
      </c>
      <c r="T97" s="120">
        <f t="shared" si="7"/>
        <v>9.7911227154047001E-2</v>
      </c>
      <c r="U97" s="122" t="s">
        <v>799</v>
      </c>
      <c r="V97" s="122" t="s">
        <v>785</v>
      </c>
      <c r="W97" s="122">
        <v>330</v>
      </c>
      <c r="X97" s="122" t="s">
        <v>878</v>
      </c>
      <c r="Y97" s="122" t="s">
        <v>879</v>
      </c>
      <c r="Z97" s="306"/>
      <c r="AA97" s="306"/>
      <c r="AB97" s="306"/>
      <c r="AC97" s="306"/>
      <c r="AD97" s="306"/>
      <c r="AE97" s="173">
        <v>320899998</v>
      </c>
      <c r="AF97" s="306"/>
      <c r="AG97" s="306"/>
      <c r="AH97" s="122" t="s">
        <v>799</v>
      </c>
      <c r="AI97" s="173">
        <v>320899998</v>
      </c>
      <c r="AJ97" s="303"/>
      <c r="AK97" s="119"/>
      <c r="AL97" s="119"/>
      <c r="AM97" s="119"/>
      <c r="AN97" s="306"/>
      <c r="AO97" s="306"/>
      <c r="AP97" s="303"/>
      <c r="AQ97" s="305"/>
      <c r="AR97" s="303"/>
      <c r="AS97" s="305"/>
      <c r="AT97" s="119"/>
      <c r="AU97" s="119"/>
      <c r="AV97" s="119"/>
      <c r="AW97" s="119"/>
      <c r="AX97" s="119"/>
      <c r="AY97" s="119"/>
      <c r="AZ97" s="119"/>
      <c r="BA97" s="119"/>
      <c r="BB97" s="119"/>
      <c r="BC97" s="119"/>
      <c r="BD97" s="119"/>
      <c r="BE97" s="119"/>
      <c r="BF97" s="366"/>
    </row>
    <row r="98" spans="1:58" s="123" customFormat="1" ht="144">
      <c r="A98" s="332"/>
      <c r="B98" s="345"/>
      <c r="C98" s="332"/>
      <c r="D98" s="306"/>
      <c r="E98" s="306"/>
      <c r="F98" s="324"/>
      <c r="G98" s="306"/>
      <c r="H98" s="306"/>
      <c r="I98" s="306"/>
      <c r="J98" s="95"/>
      <c r="K98" s="122" t="s">
        <v>880</v>
      </c>
      <c r="L98" s="122"/>
      <c r="M98" s="122" t="s">
        <v>871</v>
      </c>
      <c r="N98" s="122">
        <v>1</v>
      </c>
      <c r="O98" s="118">
        <v>1</v>
      </c>
      <c r="P98" s="119"/>
      <c r="Q98" s="119"/>
      <c r="R98" s="119"/>
      <c r="S98" s="118">
        <f t="shared" si="6"/>
        <v>1</v>
      </c>
      <c r="T98" s="120">
        <f t="shared" si="7"/>
        <v>1</v>
      </c>
      <c r="U98" s="122" t="s">
        <v>774</v>
      </c>
      <c r="V98" s="122" t="s">
        <v>785</v>
      </c>
      <c r="W98" s="122">
        <v>360</v>
      </c>
      <c r="X98" s="122" t="s">
        <v>878</v>
      </c>
      <c r="Y98" s="122" t="s">
        <v>879</v>
      </c>
      <c r="Z98" s="306"/>
      <c r="AA98" s="306"/>
      <c r="AB98" s="306"/>
      <c r="AC98" s="306"/>
      <c r="AD98" s="306"/>
      <c r="AE98" s="173">
        <v>129100000</v>
      </c>
      <c r="AF98" s="306"/>
      <c r="AG98" s="306"/>
      <c r="AH98" s="122" t="s">
        <v>774</v>
      </c>
      <c r="AI98" s="173">
        <v>129100000</v>
      </c>
      <c r="AJ98" s="303"/>
      <c r="AK98" s="119"/>
      <c r="AL98" s="119"/>
      <c r="AM98" s="119"/>
      <c r="AN98" s="306"/>
      <c r="AO98" s="306"/>
      <c r="AP98" s="303"/>
      <c r="AQ98" s="305"/>
      <c r="AR98" s="303"/>
      <c r="AS98" s="305"/>
      <c r="AT98" s="119"/>
      <c r="AU98" s="119"/>
      <c r="AV98" s="119"/>
      <c r="AW98" s="119"/>
      <c r="AX98" s="119"/>
      <c r="AY98" s="119"/>
      <c r="AZ98" s="119"/>
      <c r="BA98" s="119"/>
      <c r="BB98" s="119"/>
      <c r="BC98" s="119"/>
      <c r="BD98" s="119"/>
      <c r="BE98" s="119"/>
      <c r="BF98" s="366"/>
    </row>
    <row r="99" spans="1:58" s="123" customFormat="1" ht="270">
      <c r="A99" s="332"/>
      <c r="B99" s="345"/>
      <c r="C99" s="332"/>
      <c r="D99" s="122" t="s">
        <v>881</v>
      </c>
      <c r="E99" s="306"/>
      <c r="F99" s="324"/>
      <c r="G99" s="306"/>
      <c r="H99" s="137"/>
      <c r="I99" s="122" t="s">
        <v>882</v>
      </c>
      <c r="J99" s="95"/>
      <c r="K99" s="122" t="s">
        <v>883</v>
      </c>
      <c r="L99" s="122"/>
      <c r="M99" s="122" t="s">
        <v>884</v>
      </c>
      <c r="N99" s="122">
        <v>3</v>
      </c>
      <c r="O99" s="118" t="s">
        <v>308</v>
      </c>
      <c r="P99" s="119"/>
      <c r="Q99" s="119"/>
      <c r="R99" s="119"/>
      <c r="S99" s="118" t="s">
        <v>308</v>
      </c>
      <c r="T99" s="120" t="s">
        <v>308</v>
      </c>
      <c r="U99" s="122" t="s">
        <v>851</v>
      </c>
      <c r="V99" s="122" t="s">
        <v>785</v>
      </c>
      <c r="W99" s="122">
        <v>180</v>
      </c>
      <c r="X99" s="122" t="s">
        <v>878</v>
      </c>
      <c r="Y99" s="122" t="s">
        <v>879</v>
      </c>
      <c r="Z99" s="306"/>
      <c r="AA99" s="306"/>
      <c r="AB99" s="306"/>
      <c r="AC99" s="306"/>
      <c r="AD99" s="306"/>
      <c r="AE99" s="173">
        <v>250000000</v>
      </c>
      <c r="AF99" s="306"/>
      <c r="AG99" s="306"/>
      <c r="AH99" s="122" t="s">
        <v>851</v>
      </c>
      <c r="AI99" s="173">
        <v>250000000</v>
      </c>
      <c r="AJ99" s="303"/>
      <c r="AK99" s="119"/>
      <c r="AL99" s="119"/>
      <c r="AM99" s="119"/>
      <c r="AN99" s="306"/>
      <c r="AO99" s="306"/>
      <c r="AP99" s="303"/>
      <c r="AQ99" s="305"/>
      <c r="AR99" s="303"/>
      <c r="AS99" s="305"/>
      <c r="AT99" s="119"/>
      <c r="AU99" s="119"/>
      <c r="AV99" s="119"/>
      <c r="AW99" s="119"/>
      <c r="AX99" s="119"/>
      <c r="AY99" s="119"/>
      <c r="AZ99" s="119"/>
      <c r="BA99" s="119"/>
      <c r="BB99" s="119"/>
      <c r="BC99" s="119"/>
      <c r="BD99" s="119"/>
      <c r="BE99" s="119"/>
      <c r="BF99" s="366"/>
    </row>
    <row r="100" spans="1:58" s="123" customFormat="1" ht="162">
      <c r="A100" s="332"/>
      <c r="B100" s="345"/>
      <c r="C100" s="332"/>
      <c r="D100" s="306" t="s">
        <v>364</v>
      </c>
      <c r="E100" s="306"/>
      <c r="F100" s="324"/>
      <c r="G100" s="306"/>
      <c r="H100" s="306" t="s">
        <v>885</v>
      </c>
      <c r="I100" s="306" t="s">
        <v>886</v>
      </c>
      <c r="J100" s="95"/>
      <c r="K100" s="122" t="s">
        <v>887</v>
      </c>
      <c r="L100" s="122"/>
      <c r="M100" s="122" t="s">
        <v>888</v>
      </c>
      <c r="N100" s="122">
        <v>10</v>
      </c>
      <c r="O100" s="118">
        <v>3</v>
      </c>
      <c r="P100" s="119"/>
      <c r="Q100" s="119"/>
      <c r="R100" s="119"/>
      <c r="S100" s="118">
        <f t="shared" si="6"/>
        <v>3</v>
      </c>
      <c r="T100" s="120">
        <f t="shared" si="7"/>
        <v>0.3</v>
      </c>
      <c r="U100" s="122" t="s">
        <v>799</v>
      </c>
      <c r="V100" s="122" t="s">
        <v>785</v>
      </c>
      <c r="W100" s="122">
        <v>330</v>
      </c>
      <c r="X100" s="122" t="s">
        <v>878</v>
      </c>
      <c r="Y100" s="122" t="s">
        <v>879</v>
      </c>
      <c r="Z100" s="306"/>
      <c r="AA100" s="306" t="s">
        <v>872</v>
      </c>
      <c r="AB100" s="306" t="s">
        <v>873</v>
      </c>
      <c r="AC100" s="306"/>
      <c r="AD100" s="306"/>
      <c r="AE100" s="173">
        <v>122400000</v>
      </c>
      <c r="AF100" s="306"/>
      <c r="AG100" s="306"/>
      <c r="AH100" s="122" t="s">
        <v>799</v>
      </c>
      <c r="AI100" s="173">
        <v>122400000</v>
      </c>
      <c r="AJ100" s="303"/>
      <c r="AK100" s="119"/>
      <c r="AL100" s="119"/>
      <c r="AM100" s="119"/>
      <c r="AN100" s="306"/>
      <c r="AO100" s="306"/>
      <c r="AP100" s="303"/>
      <c r="AQ100" s="305"/>
      <c r="AR100" s="303"/>
      <c r="AS100" s="305"/>
      <c r="AT100" s="119"/>
      <c r="AU100" s="119"/>
      <c r="AV100" s="119"/>
      <c r="AW100" s="119"/>
      <c r="AX100" s="119"/>
      <c r="AY100" s="119"/>
      <c r="AZ100" s="119"/>
      <c r="BA100" s="119"/>
      <c r="BB100" s="119"/>
      <c r="BC100" s="119"/>
      <c r="BD100" s="119"/>
      <c r="BE100" s="119"/>
      <c r="BF100" s="366"/>
    </row>
    <row r="101" spans="1:58" s="123" customFormat="1" ht="144">
      <c r="A101" s="332"/>
      <c r="B101" s="345"/>
      <c r="C101" s="332"/>
      <c r="D101" s="306"/>
      <c r="E101" s="306"/>
      <c r="F101" s="324"/>
      <c r="G101" s="306"/>
      <c r="H101" s="306"/>
      <c r="I101" s="306"/>
      <c r="J101" s="95"/>
      <c r="K101" s="122" t="s">
        <v>889</v>
      </c>
      <c r="L101" s="122"/>
      <c r="M101" s="122" t="s">
        <v>890</v>
      </c>
      <c r="N101" s="122">
        <v>80</v>
      </c>
      <c r="O101" s="118">
        <v>21</v>
      </c>
      <c r="P101" s="119"/>
      <c r="Q101" s="119"/>
      <c r="R101" s="119"/>
      <c r="S101" s="118">
        <f t="shared" si="6"/>
        <v>21</v>
      </c>
      <c r="T101" s="120">
        <f t="shared" si="7"/>
        <v>0.26250000000000001</v>
      </c>
      <c r="U101" s="122" t="s">
        <v>799</v>
      </c>
      <c r="V101" s="122" t="s">
        <v>785</v>
      </c>
      <c r="W101" s="122">
        <v>330</v>
      </c>
      <c r="X101" s="122" t="s">
        <v>878</v>
      </c>
      <c r="Y101" s="122" t="s">
        <v>879</v>
      </c>
      <c r="Z101" s="306"/>
      <c r="AA101" s="306"/>
      <c r="AB101" s="306"/>
      <c r="AC101" s="306"/>
      <c r="AD101" s="306"/>
      <c r="AE101" s="173">
        <v>98300000</v>
      </c>
      <c r="AF101" s="306"/>
      <c r="AG101" s="306"/>
      <c r="AH101" s="122" t="s">
        <v>799</v>
      </c>
      <c r="AI101" s="173">
        <v>98300000</v>
      </c>
      <c r="AJ101" s="303"/>
      <c r="AK101" s="119"/>
      <c r="AL101" s="119"/>
      <c r="AM101" s="119"/>
      <c r="AN101" s="306"/>
      <c r="AO101" s="306"/>
      <c r="AP101" s="303"/>
      <c r="AQ101" s="305"/>
      <c r="AR101" s="303"/>
      <c r="AS101" s="305"/>
      <c r="AT101" s="119"/>
      <c r="AU101" s="119"/>
      <c r="AV101" s="119"/>
      <c r="AW101" s="119"/>
      <c r="AX101" s="119"/>
      <c r="AY101" s="119"/>
      <c r="AZ101" s="119"/>
      <c r="BA101" s="119"/>
      <c r="BB101" s="119"/>
      <c r="BC101" s="119"/>
      <c r="BD101" s="119"/>
      <c r="BE101" s="119"/>
      <c r="BF101" s="366"/>
    </row>
    <row r="102" spans="1:58" s="123" customFormat="1" ht="180">
      <c r="A102" s="332"/>
      <c r="B102" s="345"/>
      <c r="C102" s="332"/>
      <c r="D102" s="306"/>
      <c r="E102" s="306"/>
      <c r="F102" s="324"/>
      <c r="G102" s="306"/>
      <c r="H102" s="306"/>
      <c r="I102" s="306"/>
      <c r="J102" s="95"/>
      <c r="K102" s="122" t="s">
        <v>891</v>
      </c>
      <c r="L102" s="122"/>
      <c r="M102" s="122" t="s">
        <v>892</v>
      </c>
      <c r="N102" s="122">
        <v>104</v>
      </c>
      <c r="O102" s="118">
        <v>29</v>
      </c>
      <c r="P102" s="119"/>
      <c r="Q102" s="119"/>
      <c r="R102" s="119"/>
      <c r="S102" s="118">
        <f t="shared" si="6"/>
        <v>29</v>
      </c>
      <c r="T102" s="120">
        <f t="shared" si="7"/>
        <v>0.27884615384615385</v>
      </c>
      <c r="U102" s="122" t="s">
        <v>799</v>
      </c>
      <c r="V102" s="122" t="s">
        <v>785</v>
      </c>
      <c r="W102" s="122">
        <v>330</v>
      </c>
      <c r="X102" s="122" t="s">
        <v>878</v>
      </c>
      <c r="Y102" s="122" t="s">
        <v>879</v>
      </c>
      <c r="Z102" s="306"/>
      <c r="AA102" s="306"/>
      <c r="AB102" s="306"/>
      <c r="AC102" s="306"/>
      <c r="AD102" s="306"/>
      <c r="AE102" s="173">
        <v>252600000</v>
      </c>
      <c r="AF102" s="306"/>
      <c r="AG102" s="306"/>
      <c r="AH102" s="122" t="s">
        <v>799</v>
      </c>
      <c r="AI102" s="173">
        <v>252600000</v>
      </c>
      <c r="AJ102" s="303"/>
      <c r="AK102" s="119"/>
      <c r="AL102" s="119"/>
      <c r="AM102" s="119"/>
      <c r="AN102" s="306"/>
      <c r="AO102" s="306"/>
      <c r="AP102" s="303"/>
      <c r="AQ102" s="305"/>
      <c r="AR102" s="303"/>
      <c r="AS102" s="305"/>
      <c r="AT102" s="119"/>
      <c r="AU102" s="119"/>
      <c r="AV102" s="119"/>
      <c r="AW102" s="119"/>
      <c r="AX102" s="119"/>
      <c r="AY102" s="119"/>
      <c r="AZ102" s="119"/>
      <c r="BA102" s="119"/>
      <c r="BB102" s="119"/>
      <c r="BC102" s="119"/>
      <c r="BD102" s="119"/>
      <c r="BE102" s="119"/>
      <c r="BF102" s="366"/>
    </row>
    <row r="103" spans="1:58" s="123" customFormat="1" ht="180">
      <c r="A103" s="332"/>
      <c r="B103" s="345"/>
      <c r="C103" s="332"/>
      <c r="D103" s="306"/>
      <c r="E103" s="306"/>
      <c r="F103" s="324"/>
      <c r="G103" s="306"/>
      <c r="H103" s="306"/>
      <c r="I103" s="306"/>
      <c r="J103" s="95"/>
      <c r="K103" s="122" t="s">
        <v>893</v>
      </c>
      <c r="L103" s="122"/>
      <c r="M103" s="122" t="s">
        <v>894</v>
      </c>
      <c r="N103" s="122">
        <v>1</v>
      </c>
      <c r="O103" s="118">
        <v>0</v>
      </c>
      <c r="P103" s="119"/>
      <c r="Q103" s="119"/>
      <c r="R103" s="119"/>
      <c r="S103" s="118">
        <f t="shared" si="6"/>
        <v>0</v>
      </c>
      <c r="T103" s="120">
        <f t="shared" si="7"/>
        <v>0</v>
      </c>
      <c r="U103" s="122" t="s">
        <v>799</v>
      </c>
      <c r="V103" s="122" t="s">
        <v>785</v>
      </c>
      <c r="W103" s="122">
        <v>330</v>
      </c>
      <c r="X103" s="122" t="s">
        <v>878</v>
      </c>
      <c r="Y103" s="122" t="s">
        <v>879</v>
      </c>
      <c r="Z103" s="306"/>
      <c r="AA103" s="306"/>
      <c r="AB103" s="306"/>
      <c r="AC103" s="306"/>
      <c r="AD103" s="306"/>
      <c r="AE103" s="173">
        <v>53000000</v>
      </c>
      <c r="AF103" s="306"/>
      <c r="AG103" s="306"/>
      <c r="AH103" s="122" t="s">
        <v>799</v>
      </c>
      <c r="AI103" s="173">
        <v>53000000</v>
      </c>
      <c r="AJ103" s="303"/>
      <c r="AK103" s="119"/>
      <c r="AL103" s="119"/>
      <c r="AM103" s="119"/>
      <c r="AN103" s="306"/>
      <c r="AO103" s="306"/>
      <c r="AP103" s="303"/>
      <c r="AQ103" s="305"/>
      <c r="AR103" s="303"/>
      <c r="AS103" s="305"/>
      <c r="AT103" s="119"/>
      <c r="AU103" s="119"/>
      <c r="AV103" s="119"/>
      <c r="AW103" s="119"/>
      <c r="AX103" s="119"/>
      <c r="AY103" s="119"/>
      <c r="AZ103" s="119"/>
      <c r="BA103" s="119"/>
      <c r="BB103" s="119"/>
      <c r="BC103" s="119"/>
      <c r="BD103" s="119"/>
      <c r="BE103" s="119"/>
      <c r="BF103" s="366"/>
    </row>
    <row r="104" spans="1:58" s="123" customFormat="1" ht="72">
      <c r="A104" s="332"/>
      <c r="B104" s="345"/>
      <c r="C104" s="332"/>
      <c r="D104" s="306"/>
      <c r="E104" s="306"/>
      <c r="F104" s="324"/>
      <c r="G104" s="306"/>
      <c r="H104" s="306"/>
      <c r="I104" s="306"/>
      <c r="J104" s="95"/>
      <c r="K104" s="122" t="s">
        <v>895</v>
      </c>
      <c r="L104" s="122"/>
      <c r="M104" s="122" t="s">
        <v>896</v>
      </c>
      <c r="N104" s="122">
        <v>2</v>
      </c>
      <c r="O104" s="118">
        <v>3</v>
      </c>
      <c r="P104" s="119"/>
      <c r="Q104" s="119"/>
      <c r="R104" s="119"/>
      <c r="S104" s="118">
        <f t="shared" si="6"/>
        <v>3</v>
      </c>
      <c r="T104" s="120">
        <f t="shared" si="7"/>
        <v>1.5</v>
      </c>
      <c r="U104" s="122" t="s">
        <v>799</v>
      </c>
      <c r="V104" s="122" t="s">
        <v>785</v>
      </c>
      <c r="W104" s="122">
        <v>330</v>
      </c>
      <c r="X104" s="122" t="s">
        <v>878</v>
      </c>
      <c r="Y104" s="122" t="s">
        <v>879</v>
      </c>
      <c r="Z104" s="306"/>
      <c r="AA104" s="306"/>
      <c r="AB104" s="306"/>
      <c r="AC104" s="306"/>
      <c r="AD104" s="306"/>
      <c r="AE104" s="173">
        <v>151700000</v>
      </c>
      <c r="AF104" s="306"/>
      <c r="AG104" s="306"/>
      <c r="AH104" s="122" t="s">
        <v>799</v>
      </c>
      <c r="AI104" s="173">
        <v>151700000</v>
      </c>
      <c r="AJ104" s="303"/>
      <c r="AK104" s="119"/>
      <c r="AL104" s="119"/>
      <c r="AM104" s="119"/>
      <c r="AN104" s="306"/>
      <c r="AO104" s="306"/>
      <c r="AP104" s="303"/>
      <c r="AQ104" s="305"/>
      <c r="AR104" s="303"/>
      <c r="AS104" s="305"/>
      <c r="AT104" s="119"/>
      <c r="AU104" s="119"/>
      <c r="AV104" s="119"/>
      <c r="AW104" s="119"/>
      <c r="AX104" s="119"/>
      <c r="AY104" s="119"/>
      <c r="AZ104" s="119"/>
      <c r="BA104" s="119"/>
      <c r="BB104" s="119"/>
      <c r="BC104" s="119"/>
      <c r="BD104" s="119"/>
      <c r="BE104" s="119"/>
      <c r="BF104" s="366"/>
    </row>
    <row r="105" spans="1:58" s="123" customFormat="1" ht="198">
      <c r="A105" s="332"/>
      <c r="B105" s="345"/>
      <c r="C105" s="332"/>
      <c r="D105" s="306"/>
      <c r="E105" s="306"/>
      <c r="F105" s="324"/>
      <c r="G105" s="306"/>
      <c r="H105" s="306"/>
      <c r="I105" s="306"/>
      <c r="J105" s="95"/>
      <c r="K105" s="122" t="s">
        <v>897</v>
      </c>
      <c r="L105" s="122"/>
      <c r="M105" s="122" t="s">
        <v>898</v>
      </c>
      <c r="N105" s="122">
        <v>12</v>
      </c>
      <c r="O105" s="118">
        <v>3</v>
      </c>
      <c r="P105" s="119"/>
      <c r="Q105" s="119"/>
      <c r="R105" s="119"/>
      <c r="S105" s="118">
        <f t="shared" si="6"/>
        <v>3</v>
      </c>
      <c r="T105" s="120">
        <f t="shared" si="7"/>
        <v>0.25</v>
      </c>
      <c r="U105" s="122" t="s">
        <v>799</v>
      </c>
      <c r="V105" s="122" t="s">
        <v>785</v>
      </c>
      <c r="W105" s="122">
        <v>330</v>
      </c>
      <c r="X105" s="122" t="s">
        <v>878</v>
      </c>
      <c r="Y105" s="122" t="s">
        <v>879</v>
      </c>
      <c r="Z105" s="306"/>
      <c r="AA105" s="122" t="s">
        <v>899</v>
      </c>
      <c r="AB105" s="122" t="s">
        <v>900</v>
      </c>
      <c r="AC105" s="306"/>
      <c r="AD105" s="306"/>
      <c r="AE105" s="173">
        <v>142400000</v>
      </c>
      <c r="AF105" s="306"/>
      <c r="AG105" s="306" t="s">
        <v>828</v>
      </c>
      <c r="AH105" s="122" t="s">
        <v>799</v>
      </c>
      <c r="AI105" s="173">
        <v>142400000</v>
      </c>
      <c r="AJ105" s="303"/>
      <c r="AK105" s="119"/>
      <c r="AL105" s="119"/>
      <c r="AM105" s="119"/>
      <c r="AN105" s="306" t="s">
        <v>828</v>
      </c>
      <c r="AO105" s="346"/>
      <c r="AP105" s="303"/>
      <c r="AQ105" s="305"/>
      <c r="AR105" s="303"/>
      <c r="AS105" s="305"/>
      <c r="AT105" s="119"/>
      <c r="AU105" s="119"/>
      <c r="AV105" s="119"/>
      <c r="AW105" s="119"/>
      <c r="AX105" s="119"/>
      <c r="AY105" s="119"/>
      <c r="AZ105" s="119"/>
      <c r="BA105" s="119"/>
      <c r="BB105" s="119"/>
      <c r="BC105" s="119"/>
      <c r="BD105" s="119"/>
      <c r="BE105" s="119"/>
      <c r="BF105" s="366"/>
    </row>
    <row r="106" spans="1:58" s="123" customFormat="1" ht="108">
      <c r="A106" s="332"/>
      <c r="B106" s="345"/>
      <c r="C106" s="332"/>
      <c r="D106" s="306"/>
      <c r="E106" s="306"/>
      <c r="F106" s="324"/>
      <c r="G106" s="306"/>
      <c r="H106" s="306"/>
      <c r="I106" s="306"/>
      <c r="J106" s="95"/>
      <c r="K106" s="122" t="s">
        <v>901</v>
      </c>
      <c r="L106" s="122"/>
      <c r="M106" s="122" t="s">
        <v>902</v>
      </c>
      <c r="N106" s="122">
        <v>40</v>
      </c>
      <c r="O106" s="118">
        <v>10</v>
      </c>
      <c r="P106" s="119"/>
      <c r="Q106" s="119"/>
      <c r="R106" s="119"/>
      <c r="S106" s="118">
        <f t="shared" si="6"/>
        <v>10</v>
      </c>
      <c r="T106" s="120">
        <f t="shared" si="7"/>
        <v>0.25</v>
      </c>
      <c r="U106" s="122" t="s">
        <v>799</v>
      </c>
      <c r="V106" s="122" t="s">
        <v>785</v>
      </c>
      <c r="W106" s="122">
        <v>330</v>
      </c>
      <c r="X106" s="122" t="s">
        <v>878</v>
      </c>
      <c r="Y106" s="122" t="s">
        <v>879</v>
      </c>
      <c r="Z106" s="306"/>
      <c r="AA106" s="122" t="s">
        <v>872</v>
      </c>
      <c r="AB106" s="122" t="s">
        <v>873</v>
      </c>
      <c r="AC106" s="306"/>
      <c r="AD106" s="306"/>
      <c r="AE106" s="173">
        <v>32500000</v>
      </c>
      <c r="AF106" s="306"/>
      <c r="AG106" s="306"/>
      <c r="AH106" s="122" t="s">
        <v>799</v>
      </c>
      <c r="AI106" s="173">
        <v>32500000</v>
      </c>
      <c r="AJ106" s="303"/>
      <c r="AK106" s="119"/>
      <c r="AL106" s="119"/>
      <c r="AM106" s="119"/>
      <c r="AN106" s="306"/>
      <c r="AO106" s="346"/>
      <c r="AP106" s="303"/>
      <c r="AQ106" s="305"/>
      <c r="AR106" s="303"/>
      <c r="AS106" s="305"/>
      <c r="AT106" s="119"/>
      <c r="AU106" s="119"/>
      <c r="AV106" s="119"/>
      <c r="AW106" s="119"/>
      <c r="AX106" s="119"/>
      <c r="AY106" s="119"/>
      <c r="AZ106" s="119"/>
      <c r="BA106" s="119"/>
      <c r="BB106" s="119"/>
      <c r="BC106" s="119"/>
      <c r="BD106" s="119"/>
      <c r="BE106" s="119"/>
      <c r="BF106" s="366"/>
    </row>
    <row r="107" spans="1:58" s="123" customFormat="1" ht="198">
      <c r="A107" s="332"/>
      <c r="B107" s="345"/>
      <c r="C107" s="332"/>
      <c r="D107" s="306"/>
      <c r="E107" s="306"/>
      <c r="F107" s="324"/>
      <c r="G107" s="306"/>
      <c r="H107" s="306"/>
      <c r="I107" s="306"/>
      <c r="J107" s="95"/>
      <c r="K107" s="122" t="s">
        <v>903</v>
      </c>
      <c r="L107" s="122"/>
      <c r="M107" s="122" t="s">
        <v>270</v>
      </c>
      <c r="N107" s="122" t="s">
        <v>270</v>
      </c>
      <c r="O107" s="118" t="s">
        <v>308</v>
      </c>
      <c r="P107" s="119"/>
      <c r="Q107" s="119"/>
      <c r="R107" s="119"/>
      <c r="S107" s="118" t="s">
        <v>308</v>
      </c>
      <c r="T107" s="120" t="s">
        <v>308</v>
      </c>
      <c r="U107" s="122" t="s">
        <v>308</v>
      </c>
      <c r="V107" s="122" t="s">
        <v>308</v>
      </c>
      <c r="W107" s="122" t="s">
        <v>308</v>
      </c>
      <c r="X107" s="122" t="s">
        <v>308</v>
      </c>
      <c r="Y107" s="122" t="s">
        <v>308</v>
      </c>
      <c r="Z107" s="306"/>
      <c r="AA107" s="122" t="s">
        <v>904</v>
      </c>
      <c r="AB107" s="122" t="s">
        <v>905</v>
      </c>
      <c r="AC107" s="306"/>
      <c r="AD107" s="306"/>
      <c r="AE107" s="173">
        <v>0</v>
      </c>
      <c r="AF107" s="306"/>
      <c r="AG107" s="306"/>
      <c r="AH107" s="122" t="s">
        <v>308</v>
      </c>
      <c r="AI107" s="173">
        <v>0</v>
      </c>
      <c r="AJ107" s="303"/>
      <c r="AK107" s="119"/>
      <c r="AL107" s="119"/>
      <c r="AM107" s="119"/>
      <c r="AN107" s="306"/>
      <c r="AO107" s="346"/>
      <c r="AP107" s="303"/>
      <c r="AQ107" s="305"/>
      <c r="AR107" s="303"/>
      <c r="AS107" s="305"/>
      <c r="AT107" s="119"/>
      <c r="AU107" s="119"/>
      <c r="AV107" s="119"/>
      <c r="AW107" s="119"/>
      <c r="AX107" s="119"/>
      <c r="AY107" s="119"/>
      <c r="AZ107" s="119"/>
      <c r="BA107" s="119"/>
      <c r="BB107" s="119"/>
      <c r="BC107" s="119"/>
      <c r="BD107" s="119"/>
      <c r="BE107" s="119"/>
      <c r="BF107" s="366"/>
    </row>
    <row r="108" spans="1:58" s="123" customFormat="1" ht="126">
      <c r="A108" s="332"/>
      <c r="B108" s="345"/>
      <c r="C108" s="332"/>
      <c r="D108" s="306"/>
      <c r="E108" s="306"/>
      <c r="F108" s="324"/>
      <c r="G108" s="306"/>
      <c r="H108" s="306"/>
      <c r="I108" s="306"/>
      <c r="J108" s="97"/>
      <c r="K108" s="143" t="s">
        <v>906</v>
      </c>
      <c r="L108" s="143"/>
      <c r="M108" s="143" t="s">
        <v>907</v>
      </c>
      <c r="N108" s="143">
        <v>50</v>
      </c>
      <c r="O108" s="118">
        <v>1</v>
      </c>
      <c r="P108" s="119"/>
      <c r="Q108" s="119"/>
      <c r="R108" s="119"/>
      <c r="S108" s="118">
        <f t="shared" si="6"/>
        <v>1</v>
      </c>
      <c r="T108" s="120">
        <f t="shared" si="7"/>
        <v>0.02</v>
      </c>
      <c r="U108" s="143" t="s">
        <v>799</v>
      </c>
      <c r="V108" s="143" t="s">
        <v>785</v>
      </c>
      <c r="W108" s="143">
        <v>330</v>
      </c>
      <c r="X108" s="143" t="s">
        <v>878</v>
      </c>
      <c r="Y108" s="143" t="s">
        <v>879</v>
      </c>
      <c r="Z108" s="306"/>
      <c r="AA108" s="143" t="s">
        <v>872</v>
      </c>
      <c r="AB108" s="143" t="s">
        <v>873</v>
      </c>
      <c r="AC108" s="306"/>
      <c r="AD108" s="306"/>
      <c r="AE108" s="334">
        <v>97100000</v>
      </c>
      <c r="AF108" s="306"/>
      <c r="AG108" s="306"/>
      <c r="AH108" s="306" t="s">
        <v>799</v>
      </c>
      <c r="AI108" s="334">
        <v>97100000</v>
      </c>
      <c r="AJ108" s="303"/>
      <c r="AK108" s="119"/>
      <c r="AL108" s="119"/>
      <c r="AM108" s="119"/>
      <c r="AN108" s="306"/>
      <c r="AO108" s="346"/>
      <c r="AP108" s="303"/>
      <c r="AQ108" s="305"/>
      <c r="AR108" s="303"/>
      <c r="AS108" s="305"/>
      <c r="AT108" s="119"/>
      <c r="AU108" s="119"/>
      <c r="AV108" s="119"/>
      <c r="AW108" s="119"/>
      <c r="AX108" s="119"/>
      <c r="AY108" s="119"/>
      <c r="AZ108" s="119"/>
      <c r="BA108" s="119"/>
      <c r="BB108" s="119"/>
      <c r="BC108" s="119"/>
      <c r="BD108" s="119"/>
      <c r="BE108" s="119"/>
      <c r="BF108" s="366"/>
    </row>
    <row r="109" spans="1:58" s="123" customFormat="1" ht="108">
      <c r="A109" s="332"/>
      <c r="B109" s="345"/>
      <c r="C109" s="332"/>
      <c r="D109" s="306"/>
      <c r="E109" s="306"/>
      <c r="F109" s="324"/>
      <c r="G109" s="306"/>
      <c r="H109" s="306"/>
      <c r="I109" s="306"/>
      <c r="J109" s="95"/>
      <c r="K109" s="122" t="s">
        <v>908</v>
      </c>
      <c r="L109" s="122"/>
      <c r="M109" s="122" t="s">
        <v>909</v>
      </c>
      <c r="N109" s="122">
        <v>351</v>
      </c>
      <c r="O109" s="118">
        <v>89</v>
      </c>
      <c r="P109" s="119"/>
      <c r="Q109" s="119"/>
      <c r="R109" s="119"/>
      <c r="S109" s="118">
        <f t="shared" si="6"/>
        <v>89</v>
      </c>
      <c r="T109" s="120">
        <f t="shared" si="7"/>
        <v>0.25356125356125359</v>
      </c>
      <c r="U109" s="122" t="s">
        <v>799</v>
      </c>
      <c r="V109" s="122" t="s">
        <v>785</v>
      </c>
      <c r="W109" s="122">
        <v>330</v>
      </c>
      <c r="X109" s="122" t="s">
        <v>878</v>
      </c>
      <c r="Y109" s="122" t="s">
        <v>879</v>
      </c>
      <c r="Z109" s="306"/>
      <c r="AA109" s="122" t="s">
        <v>872</v>
      </c>
      <c r="AB109" s="122" t="s">
        <v>873</v>
      </c>
      <c r="AC109" s="306"/>
      <c r="AD109" s="306"/>
      <c r="AE109" s="334"/>
      <c r="AF109" s="306"/>
      <c r="AG109" s="306"/>
      <c r="AH109" s="306"/>
      <c r="AI109" s="334"/>
      <c r="AJ109" s="303"/>
      <c r="AK109" s="119"/>
      <c r="AL109" s="119"/>
      <c r="AM109" s="119"/>
      <c r="AN109" s="306"/>
      <c r="AO109" s="346"/>
      <c r="AP109" s="303"/>
      <c r="AQ109" s="305"/>
      <c r="AR109" s="303"/>
      <c r="AS109" s="305"/>
      <c r="AT109" s="119"/>
      <c r="AU109" s="119"/>
      <c r="AV109" s="119"/>
      <c r="AW109" s="119"/>
      <c r="AX109" s="119"/>
      <c r="AY109" s="119"/>
      <c r="AZ109" s="119"/>
      <c r="BA109" s="119"/>
      <c r="BB109" s="119"/>
      <c r="BC109" s="119"/>
      <c r="BD109" s="119"/>
      <c r="BE109" s="119"/>
      <c r="BF109" s="367"/>
    </row>
    <row r="110" spans="1:58" s="123" customFormat="1" ht="83.25" customHeight="1">
      <c r="A110" s="166"/>
      <c r="B110" s="165"/>
      <c r="C110" s="166"/>
      <c r="D110" s="122"/>
      <c r="E110" s="122"/>
      <c r="F110" s="124"/>
      <c r="G110" s="122"/>
      <c r="H110" s="122"/>
      <c r="I110" s="122"/>
      <c r="J110" s="95"/>
      <c r="K110" s="302" t="s">
        <v>1292</v>
      </c>
      <c r="L110" s="302"/>
      <c r="M110" s="302"/>
      <c r="N110" s="302"/>
      <c r="O110" s="302"/>
      <c r="P110" s="302"/>
      <c r="Q110" s="302"/>
      <c r="R110" s="302"/>
      <c r="S110" s="302"/>
      <c r="T110" s="140">
        <f>AVERAGE(T97:T109)</f>
        <v>0.38298351223285948</v>
      </c>
      <c r="U110" s="122"/>
      <c r="V110" s="122"/>
      <c r="W110" s="122"/>
      <c r="X110" s="122"/>
      <c r="Y110" s="122"/>
      <c r="Z110" s="122"/>
      <c r="AA110" s="122"/>
      <c r="AB110" s="122"/>
      <c r="AC110" s="122"/>
      <c r="AD110" s="122"/>
      <c r="AE110" s="312" t="s">
        <v>1293</v>
      </c>
      <c r="AF110" s="312"/>
      <c r="AG110" s="312"/>
      <c r="AH110" s="312"/>
      <c r="AI110" s="312"/>
      <c r="AJ110" s="129">
        <f>+AJ96</f>
        <v>1649999998</v>
      </c>
      <c r="AK110" s="171"/>
      <c r="AL110" s="171"/>
      <c r="AM110" s="171"/>
      <c r="AN110" s="172"/>
      <c r="AO110" s="176"/>
      <c r="AP110" s="129">
        <f>+AP96</f>
        <v>764821440</v>
      </c>
      <c r="AQ110" s="130">
        <f>+AQ96</f>
        <v>0.46352814601639775</v>
      </c>
      <c r="AR110" s="129">
        <f>+AR96</f>
        <v>211656666</v>
      </c>
      <c r="AS110" s="130">
        <f>+AS96</f>
        <v>0.12827676742821426</v>
      </c>
      <c r="AT110" s="119"/>
      <c r="AU110" s="119"/>
      <c r="AV110" s="119"/>
      <c r="AW110" s="119"/>
      <c r="AX110" s="119"/>
      <c r="AY110" s="119"/>
      <c r="AZ110" s="119"/>
      <c r="BA110" s="119"/>
      <c r="BB110" s="119"/>
      <c r="BC110" s="119"/>
      <c r="BD110" s="119"/>
      <c r="BE110" s="119"/>
      <c r="BF110" s="154"/>
    </row>
    <row r="111" spans="1:58" s="123" customFormat="1" ht="180">
      <c r="A111" s="324"/>
      <c r="B111" s="347" t="s">
        <v>368</v>
      </c>
      <c r="C111" s="324" t="s">
        <v>910</v>
      </c>
      <c r="D111" s="324" t="s">
        <v>372</v>
      </c>
      <c r="E111" s="324" t="s">
        <v>1294</v>
      </c>
      <c r="F111" s="324">
        <v>202500000041269</v>
      </c>
      <c r="G111" s="324" t="s">
        <v>911</v>
      </c>
      <c r="H111" s="324" t="s">
        <v>912</v>
      </c>
      <c r="I111" s="324" t="s">
        <v>690</v>
      </c>
      <c r="J111" s="95"/>
      <c r="K111" s="124" t="s">
        <v>913</v>
      </c>
      <c r="L111" s="122"/>
      <c r="M111" s="124" t="s">
        <v>914</v>
      </c>
      <c r="N111" s="177">
        <v>0.26300000000000001</v>
      </c>
      <c r="O111" s="118">
        <v>0.05</v>
      </c>
      <c r="P111" s="119"/>
      <c r="Q111" s="119"/>
      <c r="R111" s="119"/>
      <c r="S111" s="118">
        <f t="shared" si="6"/>
        <v>0.05</v>
      </c>
      <c r="T111" s="120">
        <f t="shared" si="7"/>
        <v>0.19011406844106465</v>
      </c>
      <c r="U111" s="121">
        <v>46054</v>
      </c>
      <c r="V111" s="121">
        <v>46357</v>
      </c>
      <c r="W111" s="126">
        <v>335</v>
      </c>
      <c r="X111" s="178">
        <v>1059626</v>
      </c>
      <c r="Y111" s="122" t="s">
        <v>915</v>
      </c>
      <c r="Z111" s="306" t="s">
        <v>916</v>
      </c>
      <c r="AA111" s="122" t="s">
        <v>917</v>
      </c>
      <c r="AB111" s="122" t="s">
        <v>918</v>
      </c>
      <c r="AC111" s="122" t="s">
        <v>734</v>
      </c>
      <c r="AD111" s="306" t="s">
        <v>919</v>
      </c>
      <c r="AE111" s="99">
        <v>201499998</v>
      </c>
      <c r="AF111" s="122" t="s">
        <v>804</v>
      </c>
      <c r="AG111" s="122" t="s">
        <v>60</v>
      </c>
      <c r="AH111" s="121">
        <v>46054</v>
      </c>
      <c r="AI111" s="99">
        <v>201499998</v>
      </c>
      <c r="AJ111" s="303">
        <v>349999998</v>
      </c>
      <c r="AK111" s="119"/>
      <c r="AL111" s="119"/>
      <c r="AM111" s="119"/>
      <c r="AN111" s="122" t="s">
        <v>920</v>
      </c>
      <c r="AO111" s="306" t="s">
        <v>921</v>
      </c>
      <c r="AP111" s="303">
        <v>127300000</v>
      </c>
      <c r="AQ111" s="305">
        <f>+AP111/AJ111</f>
        <v>0.36371428779265308</v>
      </c>
      <c r="AR111" s="303">
        <v>27800000</v>
      </c>
      <c r="AS111" s="305">
        <f>+AR111/AJ111</f>
        <v>7.9428571882448978E-2</v>
      </c>
      <c r="AT111" s="303"/>
      <c r="AU111" s="303"/>
      <c r="AV111" s="303"/>
      <c r="AW111" s="303"/>
      <c r="AX111" s="303"/>
      <c r="AY111" s="303"/>
      <c r="AZ111" s="303"/>
      <c r="BA111" s="303"/>
      <c r="BB111" s="303"/>
      <c r="BC111" s="303"/>
      <c r="BD111" s="303"/>
      <c r="BE111" s="303"/>
      <c r="BF111" s="303"/>
    </row>
    <row r="112" spans="1:58" s="123" customFormat="1" ht="180">
      <c r="A112" s="324"/>
      <c r="B112" s="347"/>
      <c r="C112" s="324"/>
      <c r="D112" s="324"/>
      <c r="E112" s="324"/>
      <c r="F112" s="324"/>
      <c r="G112" s="324"/>
      <c r="H112" s="324"/>
      <c r="I112" s="324"/>
      <c r="J112" s="95"/>
      <c r="K112" s="124" t="s">
        <v>922</v>
      </c>
      <c r="L112" s="122"/>
      <c r="M112" s="124" t="s">
        <v>923</v>
      </c>
      <c r="N112" s="177">
        <v>9.2999999999999999E-2</v>
      </c>
      <c r="O112" s="118" t="s">
        <v>769</v>
      </c>
      <c r="P112" s="119"/>
      <c r="Q112" s="119"/>
      <c r="R112" s="119"/>
      <c r="S112" s="118" t="s">
        <v>769</v>
      </c>
      <c r="T112" s="120" t="s">
        <v>769</v>
      </c>
      <c r="U112" s="121">
        <v>46204</v>
      </c>
      <c r="V112" s="121">
        <v>46387</v>
      </c>
      <c r="W112" s="126">
        <v>180</v>
      </c>
      <c r="X112" s="178">
        <v>1059626</v>
      </c>
      <c r="Y112" s="122" t="s">
        <v>915</v>
      </c>
      <c r="Z112" s="306"/>
      <c r="AA112" s="122" t="s">
        <v>924</v>
      </c>
      <c r="AB112" s="122" t="s">
        <v>925</v>
      </c>
      <c r="AC112" s="122" t="s">
        <v>734</v>
      </c>
      <c r="AD112" s="306"/>
      <c r="AE112" s="99">
        <v>90000000</v>
      </c>
      <c r="AF112" s="122" t="s">
        <v>804</v>
      </c>
      <c r="AG112" s="122" t="s">
        <v>60</v>
      </c>
      <c r="AH112" s="121">
        <v>46204</v>
      </c>
      <c r="AI112" s="99">
        <v>90000000</v>
      </c>
      <c r="AJ112" s="303"/>
      <c r="AK112" s="119"/>
      <c r="AL112" s="119"/>
      <c r="AM112" s="119"/>
      <c r="AN112" s="122" t="s">
        <v>920</v>
      </c>
      <c r="AO112" s="306"/>
      <c r="AP112" s="303"/>
      <c r="AQ112" s="305"/>
      <c r="AR112" s="303"/>
      <c r="AS112" s="305"/>
      <c r="AT112" s="303"/>
      <c r="AU112" s="303"/>
      <c r="AV112" s="303"/>
      <c r="AW112" s="303"/>
      <c r="AX112" s="303"/>
      <c r="AY112" s="303"/>
      <c r="AZ112" s="303"/>
      <c r="BA112" s="303"/>
      <c r="BB112" s="303"/>
      <c r="BC112" s="303"/>
      <c r="BD112" s="303"/>
      <c r="BE112" s="303"/>
      <c r="BF112" s="303"/>
    </row>
    <row r="113" spans="1:58" s="123" customFormat="1" ht="216">
      <c r="A113" s="324"/>
      <c r="B113" s="347"/>
      <c r="C113" s="324"/>
      <c r="D113" s="324"/>
      <c r="E113" s="324"/>
      <c r="F113" s="324"/>
      <c r="G113" s="324"/>
      <c r="H113" s="324"/>
      <c r="I113" s="324"/>
      <c r="J113" s="95"/>
      <c r="K113" s="124" t="s">
        <v>926</v>
      </c>
      <c r="L113" s="122"/>
      <c r="M113" s="124" t="s">
        <v>927</v>
      </c>
      <c r="N113" s="177">
        <v>4.3999999999999997E-2</v>
      </c>
      <c r="O113" s="118" t="s">
        <v>769</v>
      </c>
      <c r="P113" s="119"/>
      <c r="Q113" s="119"/>
      <c r="R113" s="119"/>
      <c r="S113" s="118" t="s">
        <v>769</v>
      </c>
      <c r="T113" s="120" t="s">
        <v>769</v>
      </c>
      <c r="U113" s="121">
        <v>46296</v>
      </c>
      <c r="V113" s="121">
        <v>46387</v>
      </c>
      <c r="W113" s="126">
        <v>90</v>
      </c>
      <c r="X113" s="178">
        <v>1059626</v>
      </c>
      <c r="Y113" s="122" t="s">
        <v>915</v>
      </c>
      <c r="Z113" s="306"/>
      <c r="AA113" s="122" t="s">
        <v>928</v>
      </c>
      <c r="AB113" s="122" t="s">
        <v>929</v>
      </c>
      <c r="AC113" s="122" t="s">
        <v>734</v>
      </c>
      <c r="AD113" s="306"/>
      <c r="AE113" s="99">
        <v>58500000</v>
      </c>
      <c r="AF113" s="122" t="s">
        <v>804</v>
      </c>
      <c r="AG113" s="137" t="s">
        <v>805</v>
      </c>
      <c r="AH113" s="121">
        <v>46296</v>
      </c>
      <c r="AI113" s="99">
        <v>58500000</v>
      </c>
      <c r="AJ113" s="303"/>
      <c r="AK113" s="119"/>
      <c r="AL113" s="119"/>
      <c r="AM113" s="119"/>
      <c r="AN113" s="122" t="s">
        <v>806</v>
      </c>
      <c r="AO113" s="306"/>
      <c r="AP113" s="303"/>
      <c r="AQ113" s="305"/>
      <c r="AR113" s="303"/>
      <c r="AS113" s="305"/>
      <c r="AT113" s="303"/>
      <c r="AU113" s="303"/>
      <c r="AV113" s="303"/>
      <c r="AW113" s="303"/>
      <c r="AX113" s="303"/>
      <c r="AY113" s="303"/>
      <c r="AZ113" s="303"/>
      <c r="BA113" s="303"/>
      <c r="BB113" s="303"/>
      <c r="BC113" s="303"/>
      <c r="BD113" s="303"/>
      <c r="BE113" s="303"/>
      <c r="BF113" s="303"/>
    </row>
    <row r="114" spans="1:58" s="123" customFormat="1" ht="90">
      <c r="A114" s="324"/>
      <c r="B114" s="347"/>
      <c r="C114" s="324"/>
      <c r="D114" s="324"/>
      <c r="E114" s="324"/>
      <c r="F114" s="324"/>
      <c r="G114" s="324"/>
      <c r="H114" s="324"/>
      <c r="I114" s="324"/>
      <c r="J114" s="95"/>
      <c r="K114" s="124" t="s">
        <v>930</v>
      </c>
      <c r="L114" s="122"/>
      <c r="M114" s="124" t="s">
        <v>931</v>
      </c>
      <c r="N114" s="177" t="s">
        <v>270</v>
      </c>
      <c r="O114" s="118" t="s">
        <v>769</v>
      </c>
      <c r="P114" s="119"/>
      <c r="Q114" s="119"/>
      <c r="R114" s="119"/>
      <c r="S114" s="118" t="s">
        <v>769</v>
      </c>
      <c r="T114" s="120" t="s">
        <v>769</v>
      </c>
      <c r="U114" s="122" t="s">
        <v>308</v>
      </c>
      <c r="V114" s="122" t="s">
        <v>308</v>
      </c>
      <c r="W114" s="122" t="s">
        <v>308</v>
      </c>
      <c r="X114" s="122" t="s">
        <v>308</v>
      </c>
      <c r="Y114" s="122" t="s">
        <v>308</v>
      </c>
      <c r="Z114" s="306"/>
      <c r="AA114" s="122" t="s">
        <v>308</v>
      </c>
      <c r="AB114" s="122" t="s">
        <v>308</v>
      </c>
      <c r="AC114" s="122" t="s">
        <v>308</v>
      </c>
      <c r="AD114" s="122" t="s">
        <v>308</v>
      </c>
      <c r="AE114" s="122" t="s">
        <v>308</v>
      </c>
      <c r="AF114" s="137"/>
      <c r="AG114" s="137"/>
      <c r="AH114" s="137"/>
      <c r="AI114" s="122">
        <v>0</v>
      </c>
      <c r="AJ114" s="303"/>
      <c r="AK114" s="119"/>
      <c r="AL114" s="119"/>
      <c r="AM114" s="119"/>
      <c r="AN114" s="154"/>
      <c r="AO114" s="306"/>
      <c r="AP114" s="303"/>
      <c r="AQ114" s="305"/>
      <c r="AR114" s="303"/>
      <c r="AS114" s="305"/>
      <c r="AT114" s="303"/>
      <c r="AU114" s="303"/>
      <c r="AV114" s="303"/>
      <c r="AW114" s="303"/>
      <c r="AX114" s="303"/>
      <c r="AY114" s="303"/>
      <c r="AZ114" s="303"/>
      <c r="BA114" s="303"/>
      <c r="BB114" s="303"/>
      <c r="BC114" s="303"/>
      <c r="BD114" s="303"/>
      <c r="BE114" s="303"/>
      <c r="BF114" s="303"/>
    </row>
    <row r="115" spans="1:58" s="123" customFormat="1" ht="105.75" customHeight="1">
      <c r="A115" s="124"/>
      <c r="B115" s="179"/>
      <c r="C115" s="124"/>
      <c r="D115" s="124"/>
      <c r="E115" s="124"/>
      <c r="F115" s="124"/>
      <c r="G115" s="124"/>
      <c r="H115" s="124"/>
      <c r="I115" s="124"/>
      <c r="J115" s="95"/>
      <c r="K115" s="302" t="s">
        <v>1295</v>
      </c>
      <c r="L115" s="302"/>
      <c r="M115" s="302"/>
      <c r="N115" s="302"/>
      <c r="O115" s="302"/>
      <c r="P115" s="302"/>
      <c r="Q115" s="302"/>
      <c r="R115" s="302"/>
      <c r="S115" s="302"/>
      <c r="T115" s="140">
        <f>AVERAGE(T111:T114)</f>
        <v>0.19011406844106465</v>
      </c>
      <c r="U115" s="122"/>
      <c r="V115" s="122"/>
      <c r="W115" s="122"/>
      <c r="X115" s="122"/>
      <c r="Y115" s="122"/>
      <c r="Z115" s="122"/>
      <c r="AA115" s="122"/>
      <c r="AB115" s="122"/>
      <c r="AC115" s="122"/>
      <c r="AD115" s="122"/>
      <c r="AE115" s="312" t="s">
        <v>1296</v>
      </c>
      <c r="AF115" s="312"/>
      <c r="AG115" s="312"/>
      <c r="AH115" s="312"/>
      <c r="AI115" s="312"/>
      <c r="AJ115" s="129">
        <f>+AJ111</f>
        <v>349999998</v>
      </c>
      <c r="AK115" s="171"/>
      <c r="AL115" s="171"/>
      <c r="AM115" s="171"/>
      <c r="AN115" s="180"/>
      <c r="AO115" s="172"/>
      <c r="AP115" s="129">
        <f>+AP111</f>
        <v>127300000</v>
      </c>
      <c r="AQ115" s="130">
        <f>+AQ111</f>
        <v>0.36371428779265308</v>
      </c>
      <c r="AR115" s="129">
        <f>+AR111</f>
        <v>27800000</v>
      </c>
      <c r="AS115" s="130">
        <f>+AS111</f>
        <v>7.9428571882448978E-2</v>
      </c>
      <c r="AT115" s="119"/>
      <c r="AU115" s="119"/>
      <c r="AV115" s="119"/>
      <c r="AW115" s="119"/>
      <c r="AX115" s="119"/>
      <c r="AY115" s="119"/>
      <c r="AZ115" s="119"/>
      <c r="BA115" s="119"/>
      <c r="BB115" s="119"/>
      <c r="BC115" s="119"/>
      <c r="BD115" s="119"/>
      <c r="BE115" s="119"/>
      <c r="BF115" s="154"/>
    </row>
    <row r="116" spans="1:58" s="123" customFormat="1" ht="54">
      <c r="A116" s="306" t="s">
        <v>381</v>
      </c>
      <c r="B116" s="331" t="s">
        <v>382</v>
      </c>
      <c r="C116" s="306" t="s">
        <v>383</v>
      </c>
      <c r="D116" s="306" t="s">
        <v>385</v>
      </c>
      <c r="E116" s="306" t="s">
        <v>1297</v>
      </c>
      <c r="F116" s="324">
        <v>2024130010224</v>
      </c>
      <c r="G116" s="306" t="s">
        <v>932</v>
      </c>
      <c r="H116" s="306" t="s">
        <v>932</v>
      </c>
      <c r="I116" s="306" t="s">
        <v>690</v>
      </c>
      <c r="J116" s="95"/>
      <c r="K116" s="122" t="s">
        <v>933</v>
      </c>
      <c r="L116" s="137"/>
      <c r="M116" s="122" t="s">
        <v>856</v>
      </c>
      <c r="N116" s="181" t="s">
        <v>270</v>
      </c>
      <c r="O116" s="118" t="s">
        <v>769</v>
      </c>
      <c r="P116" s="119"/>
      <c r="Q116" s="119"/>
      <c r="R116" s="119"/>
      <c r="S116" s="118" t="s">
        <v>769</v>
      </c>
      <c r="T116" s="120" t="s">
        <v>769</v>
      </c>
      <c r="U116" s="181" t="s">
        <v>308</v>
      </c>
      <c r="V116" s="181" t="s">
        <v>308</v>
      </c>
      <c r="W116" s="181" t="s">
        <v>308</v>
      </c>
      <c r="X116" s="181" t="s">
        <v>308</v>
      </c>
      <c r="Y116" s="181" t="s">
        <v>308</v>
      </c>
      <c r="Z116" s="306" t="s">
        <v>934</v>
      </c>
      <c r="AA116" s="306" t="s">
        <v>935</v>
      </c>
      <c r="AB116" s="306" t="s">
        <v>936</v>
      </c>
      <c r="AC116" s="306" t="s">
        <v>937</v>
      </c>
      <c r="AD116" s="306" t="s">
        <v>938</v>
      </c>
      <c r="AE116" s="350">
        <v>2500000000</v>
      </c>
      <c r="AF116" s="350" t="s">
        <v>61</v>
      </c>
      <c r="AG116" s="350" t="s">
        <v>60</v>
      </c>
      <c r="AH116" s="181" t="s">
        <v>308</v>
      </c>
      <c r="AI116" s="181" t="s">
        <v>308</v>
      </c>
      <c r="AJ116" s="303">
        <v>2500000000</v>
      </c>
      <c r="AK116" s="119"/>
      <c r="AL116" s="119"/>
      <c r="AM116" s="119"/>
      <c r="AN116" s="351" t="s">
        <v>60</v>
      </c>
      <c r="AO116" s="306" t="s">
        <v>939</v>
      </c>
      <c r="AP116" s="303">
        <v>230340000</v>
      </c>
      <c r="AQ116" s="305">
        <f>+AP116/AJ116</f>
        <v>9.2135999999999996E-2</v>
      </c>
      <c r="AR116" s="303">
        <v>40687200</v>
      </c>
      <c r="AS116" s="305">
        <f>+AR116/AJ116</f>
        <v>1.6274879999999999E-2</v>
      </c>
      <c r="AT116" s="119"/>
      <c r="AU116" s="119"/>
      <c r="AV116" s="119"/>
      <c r="AW116" s="119"/>
      <c r="AX116" s="119"/>
      <c r="AY116" s="119"/>
      <c r="AZ116" s="119"/>
      <c r="BA116" s="119"/>
      <c r="BB116" s="119"/>
      <c r="BC116" s="119"/>
      <c r="BD116" s="119"/>
      <c r="BE116" s="119"/>
      <c r="BF116" s="154"/>
    </row>
    <row r="117" spans="1:58" s="123" customFormat="1" ht="90">
      <c r="A117" s="306"/>
      <c r="B117" s="331"/>
      <c r="C117" s="306"/>
      <c r="D117" s="306"/>
      <c r="E117" s="306"/>
      <c r="F117" s="324"/>
      <c r="G117" s="306"/>
      <c r="H117" s="306"/>
      <c r="I117" s="306"/>
      <c r="J117" s="95"/>
      <c r="K117" s="122" t="s">
        <v>940</v>
      </c>
      <c r="L117" s="137"/>
      <c r="M117" s="122" t="s">
        <v>941</v>
      </c>
      <c r="N117" s="181">
        <v>0.18</v>
      </c>
      <c r="O117" s="118">
        <v>0.01</v>
      </c>
      <c r="P117" s="119"/>
      <c r="Q117" s="119"/>
      <c r="R117" s="119"/>
      <c r="S117" s="118">
        <f t="shared" si="6"/>
        <v>0.01</v>
      </c>
      <c r="T117" s="120">
        <f t="shared" si="7"/>
        <v>5.5555555555555559E-2</v>
      </c>
      <c r="U117" s="181" t="s">
        <v>799</v>
      </c>
      <c r="V117" s="181" t="s">
        <v>785</v>
      </c>
      <c r="W117" s="122">
        <f>11*30</f>
        <v>330</v>
      </c>
      <c r="X117" s="122" t="s">
        <v>722</v>
      </c>
      <c r="Y117" s="122">
        <v>1</v>
      </c>
      <c r="Z117" s="306"/>
      <c r="AA117" s="306"/>
      <c r="AB117" s="306"/>
      <c r="AC117" s="306"/>
      <c r="AD117" s="306"/>
      <c r="AE117" s="350"/>
      <c r="AF117" s="350"/>
      <c r="AG117" s="350"/>
      <c r="AH117" s="181" t="s">
        <v>799</v>
      </c>
      <c r="AI117" s="138">
        <v>2500000000</v>
      </c>
      <c r="AJ117" s="303"/>
      <c r="AK117" s="119"/>
      <c r="AL117" s="119"/>
      <c r="AM117" s="119"/>
      <c r="AN117" s="351"/>
      <c r="AO117" s="306"/>
      <c r="AP117" s="303"/>
      <c r="AQ117" s="305"/>
      <c r="AR117" s="303"/>
      <c r="AS117" s="305"/>
      <c r="AT117" s="119"/>
      <c r="AU117" s="119"/>
      <c r="AV117" s="119"/>
      <c r="AW117" s="119"/>
      <c r="AX117" s="119"/>
      <c r="AY117" s="119"/>
      <c r="AZ117" s="119"/>
      <c r="BA117" s="119"/>
      <c r="BB117" s="119"/>
      <c r="BC117" s="119"/>
      <c r="BD117" s="119"/>
      <c r="BE117" s="119"/>
      <c r="BF117" s="154"/>
    </row>
    <row r="118" spans="1:58" s="123" customFormat="1" ht="90">
      <c r="A118" s="306"/>
      <c r="B118" s="331"/>
      <c r="C118" s="306"/>
      <c r="D118" s="306"/>
      <c r="E118" s="306"/>
      <c r="F118" s="324"/>
      <c r="G118" s="306"/>
      <c r="H118" s="306"/>
      <c r="I118" s="306"/>
      <c r="J118" s="95"/>
      <c r="K118" s="122" t="s">
        <v>942</v>
      </c>
      <c r="L118" s="137"/>
      <c r="M118" s="122" t="s">
        <v>943</v>
      </c>
      <c r="N118" s="181" t="s">
        <v>270</v>
      </c>
      <c r="O118" s="118" t="s">
        <v>769</v>
      </c>
      <c r="P118" s="119"/>
      <c r="Q118" s="119"/>
      <c r="R118" s="119"/>
      <c r="S118" s="118" t="s">
        <v>769</v>
      </c>
      <c r="T118" s="120" t="s">
        <v>769</v>
      </c>
      <c r="U118" s="181" t="s">
        <v>308</v>
      </c>
      <c r="V118" s="181" t="s">
        <v>308</v>
      </c>
      <c r="W118" s="122" t="s">
        <v>308</v>
      </c>
      <c r="X118" s="122" t="s">
        <v>308</v>
      </c>
      <c r="Y118" s="122" t="s">
        <v>308</v>
      </c>
      <c r="Z118" s="306"/>
      <c r="AA118" s="306"/>
      <c r="AB118" s="306"/>
      <c r="AC118" s="306"/>
      <c r="AD118" s="306"/>
      <c r="AE118" s="350"/>
      <c r="AF118" s="350"/>
      <c r="AG118" s="350"/>
      <c r="AH118" s="181" t="s">
        <v>308</v>
      </c>
      <c r="AI118" s="181" t="s">
        <v>308</v>
      </c>
      <c r="AJ118" s="303"/>
      <c r="AK118" s="119"/>
      <c r="AL118" s="119"/>
      <c r="AM118" s="119"/>
      <c r="AN118" s="351"/>
      <c r="AO118" s="306"/>
      <c r="AP118" s="303"/>
      <c r="AQ118" s="305"/>
      <c r="AR118" s="303"/>
      <c r="AS118" s="305"/>
      <c r="AT118" s="119"/>
      <c r="AU118" s="119"/>
      <c r="AV118" s="119"/>
      <c r="AW118" s="119"/>
      <c r="AX118" s="119"/>
      <c r="AY118" s="119"/>
      <c r="AZ118" s="119"/>
      <c r="BA118" s="119"/>
      <c r="BB118" s="119"/>
      <c r="BC118" s="119"/>
      <c r="BD118" s="119"/>
      <c r="BE118" s="119"/>
      <c r="BF118" s="154"/>
    </row>
    <row r="119" spans="1:58" s="123" customFormat="1" ht="108">
      <c r="A119" s="306"/>
      <c r="B119" s="331"/>
      <c r="C119" s="306"/>
      <c r="D119" s="306"/>
      <c r="E119" s="306"/>
      <c r="F119" s="324"/>
      <c r="G119" s="306"/>
      <c r="H119" s="306"/>
      <c r="I119" s="306"/>
      <c r="J119" s="95"/>
      <c r="K119" s="122" t="s">
        <v>944</v>
      </c>
      <c r="L119" s="137"/>
      <c r="M119" s="122" t="s">
        <v>945</v>
      </c>
      <c r="N119" s="181" t="s">
        <v>270</v>
      </c>
      <c r="O119" s="118" t="s">
        <v>769</v>
      </c>
      <c r="P119" s="119"/>
      <c r="Q119" s="119"/>
      <c r="R119" s="119"/>
      <c r="S119" s="118" t="s">
        <v>769</v>
      </c>
      <c r="T119" s="120" t="s">
        <v>769</v>
      </c>
      <c r="U119" s="181" t="s">
        <v>308</v>
      </c>
      <c r="V119" s="181" t="s">
        <v>308</v>
      </c>
      <c r="W119" s="122" t="s">
        <v>308</v>
      </c>
      <c r="X119" s="122" t="s">
        <v>308</v>
      </c>
      <c r="Y119" s="122" t="s">
        <v>308</v>
      </c>
      <c r="Z119" s="306"/>
      <c r="AA119" s="306"/>
      <c r="AB119" s="306"/>
      <c r="AC119" s="306"/>
      <c r="AD119" s="306"/>
      <c r="AE119" s="350"/>
      <c r="AF119" s="350"/>
      <c r="AG119" s="350"/>
      <c r="AH119" s="181" t="s">
        <v>308</v>
      </c>
      <c r="AI119" s="181" t="s">
        <v>308</v>
      </c>
      <c r="AJ119" s="303"/>
      <c r="AK119" s="119"/>
      <c r="AL119" s="119"/>
      <c r="AM119" s="119"/>
      <c r="AN119" s="351"/>
      <c r="AO119" s="306"/>
      <c r="AP119" s="303"/>
      <c r="AQ119" s="305"/>
      <c r="AR119" s="303"/>
      <c r="AS119" s="305"/>
      <c r="AT119" s="119"/>
      <c r="AU119" s="119"/>
      <c r="AV119" s="119"/>
      <c r="AW119" s="119"/>
      <c r="AX119" s="119"/>
      <c r="AY119" s="119"/>
      <c r="AZ119" s="119"/>
      <c r="BA119" s="119"/>
      <c r="BB119" s="119"/>
      <c r="BC119" s="119"/>
      <c r="BD119" s="119"/>
      <c r="BE119" s="119"/>
      <c r="BF119" s="154"/>
    </row>
    <row r="120" spans="1:58" s="123" customFormat="1" ht="252">
      <c r="A120" s="306"/>
      <c r="B120" s="331"/>
      <c r="C120" s="306"/>
      <c r="D120" s="306"/>
      <c r="E120" s="306"/>
      <c r="F120" s="324"/>
      <c r="G120" s="306"/>
      <c r="H120" s="306"/>
      <c r="I120" s="306"/>
      <c r="J120" s="95"/>
      <c r="K120" s="122" t="s">
        <v>946</v>
      </c>
      <c r="L120" s="137"/>
      <c r="M120" s="122" t="s">
        <v>947</v>
      </c>
      <c r="N120" s="181" t="s">
        <v>270</v>
      </c>
      <c r="O120" s="118" t="s">
        <v>769</v>
      </c>
      <c r="P120" s="119"/>
      <c r="Q120" s="119"/>
      <c r="R120" s="119"/>
      <c r="S120" s="118" t="s">
        <v>769</v>
      </c>
      <c r="T120" s="120" t="s">
        <v>769</v>
      </c>
      <c r="U120" s="181" t="s">
        <v>308</v>
      </c>
      <c r="V120" s="181" t="s">
        <v>308</v>
      </c>
      <c r="W120" s="122" t="s">
        <v>308</v>
      </c>
      <c r="X120" s="122" t="s">
        <v>308</v>
      </c>
      <c r="Y120" s="122" t="s">
        <v>308</v>
      </c>
      <c r="Z120" s="306"/>
      <c r="AA120" s="306"/>
      <c r="AB120" s="306"/>
      <c r="AC120" s="306"/>
      <c r="AD120" s="306"/>
      <c r="AE120" s="350"/>
      <c r="AF120" s="350"/>
      <c r="AG120" s="350"/>
      <c r="AH120" s="181" t="s">
        <v>308</v>
      </c>
      <c r="AI120" s="181" t="s">
        <v>308</v>
      </c>
      <c r="AJ120" s="303"/>
      <c r="AK120" s="119"/>
      <c r="AL120" s="119"/>
      <c r="AM120" s="119"/>
      <c r="AN120" s="351"/>
      <c r="AO120" s="306"/>
      <c r="AP120" s="303"/>
      <c r="AQ120" s="305"/>
      <c r="AR120" s="303"/>
      <c r="AS120" s="305"/>
      <c r="AT120" s="119"/>
      <c r="AU120" s="119"/>
      <c r="AV120" s="119"/>
      <c r="AW120" s="119"/>
      <c r="AX120" s="119"/>
      <c r="AY120" s="119"/>
      <c r="AZ120" s="119"/>
      <c r="BA120" s="119"/>
      <c r="BB120" s="119"/>
      <c r="BC120" s="119"/>
      <c r="BD120" s="119"/>
      <c r="BE120" s="119"/>
      <c r="BF120" s="154"/>
    </row>
    <row r="121" spans="1:58" s="123" customFormat="1" ht="36">
      <c r="A121" s="306"/>
      <c r="B121" s="331"/>
      <c r="C121" s="306"/>
      <c r="D121" s="306"/>
      <c r="E121" s="306"/>
      <c r="F121" s="324"/>
      <c r="G121" s="306"/>
      <c r="H121" s="306"/>
      <c r="I121" s="306"/>
      <c r="J121" s="95"/>
      <c r="K121" s="122" t="s">
        <v>948</v>
      </c>
      <c r="L121" s="137"/>
      <c r="M121" s="122" t="s">
        <v>949</v>
      </c>
      <c r="N121" s="181" t="s">
        <v>270</v>
      </c>
      <c r="O121" s="118" t="s">
        <v>769</v>
      </c>
      <c r="P121" s="119"/>
      <c r="Q121" s="119"/>
      <c r="R121" s="119"/>
      <c r="S121" s="118" t="s">
        <v>769</v>
      </c>
      <c r="T121" s="120" t="s">
        <v>769</v>
      </c>
      <c r="U121" s="181" t="s">
        <v>799</v>
      </c>
      <c r="V121" s="181" t="s">
        <v>785</v>
      </c>
      <c r="W121" s="122">
        <f>11*30</f>
        <v>330</v>
      </c>
      <c r="X121" s="122" t="s">
        <v>722</v>
      </c>
      <c r="Y121" s="122">
        <v>1</v>
      </c>
      <c r="Z121" s="306"/>
      <c r="AA121" s="306"/>
      <c r="AB121" s="306"/>
      <c r="AC121" s="306"/>
      <c r="AD121" s="306"/>
      <c r="AE121" s="350"/>
      <c r="AF121" s="350"/>
      <c r="AG121" s="350"/>
      <c r="AH121" s="181" t="s">
        <v>308</v>
      </c>
      <c r="AI121" s="181" t="s">
        <v>308</v>
      </c>
      <c r="AJ121" s="303"/>
      <c r="AK121" s="119"/>
      <c r="AL121" s="119"/>
      <c r="AM121" s="119"/>
      <c r="AN121" s="351"/>
      <c r="AO121" s="306"/>
      <c r="AP121" s="303"/>
      <c r="AQ121" s="305"/>
      <c r="AR121" s="303"/>
      <c r="AS121" s="305"/>
      <c r="AT121" s="119"/>
      <c r="AU121" s="119"/>
      <c r="AV121" s="119"/>
      <c r="AW121" s="119"/>
      <c r="AX121" s="119"/>
      <c r="AY121" s="119"/>
      <c r="AZ121" s="119"/>
      <c r="BA121" s="119"/>
      <c r="BB121" s="119"/>
      <c r="BC121" s="119"/>
      <c r="BD121" s="119"/>
      <c r="BE121" s="119"/>
      <c r="BF121" s="154"/>
    </row>
    <row r="122" spans="1:58" s="123" customFormat="1" ht="91.5" customHeight="1">
      <c r="A122" s="122"/>
      <c r="B122" s="127"/>
      <c r="C122" s="122"/>
      <c r="D122" s="122"/>
      <c r="E122" s="122"/>
      <c r="F122" s="124"/>
      <c r="G122" s="122"/>
      <c r="H122" s="122"/>
      <c r="I122" s="122"/>
      <c r="J122" s="95"/>
      <c r="K122" s="302" t="s">
        <v>1298</v>
      </c>
      <c r="L122" s="302"/>
      <c r="M122" s="302"/>
      <c r="N122" s="302"/>
      <c r="O122" s="302"/>
      <c r="P122" s="302"/>
      <c r="Q122" s="302"/>
      <c r="R122" s="302"/>
      <c r="S122" s="302"/>
      <c r="T122" s="182">
        <f>AVERAGE(T117:T121)</f>
        <v>5.5555555555555559E-2</v>
      </c>
      <c r="U122" s="181"/>
      <c r="V122" s="181"/>
      <c r="W122" s="122"/>
      <c r="X122" s="122"/>
      <c r="Y122" s="122"/>
      <c r="Z122" s="122"/>
      <c r="AA122" s="122"/>
      <c r="AB122" s="122"/>
      <c r="AC122" s="122"/>
      <c r="AD122" s="122"/>
      <c r="AE122" s="304" t="s">
        <v>1299</v>
      </c>
      <c r="AF122" s="304"/>
      <c r="AG122" s="304"/>
      <c r="AH122" s="304"/>
      <c r="AI122" s="304"/>
      <c r="AJ122" s="129">
        <f>+AJ116</f>
        <v>2500000000</v>
      </c>
      <c r="AK122" s="183"/>
      <c r="AL122" s="183"/>
      <c r="AM122" s="183"/>
      <c r="AN122" s="184"/>
      <c r="AO122" s="172"/>
      <c r="AP122" s="129">
        <f>+AP116</f>
        <v>230340000</v>
      </c>
      <c r="AQ122" s="140">
        <f t="shared" ref="AQ122:AS122" si="11">+AQ116</f>
        <v>9.2135999999999996E-2</v>
      </c>
      <c r="AR122" s="129">
        <f t="shared" si="11"/>
        <v>40687200</v>
      </c>
      <c r="AS122" s="140">
        <f t="shared" si="11"/>
        <v>1.6274879999999999E-2</v>
      </c>
      <c r="AT122" s="119"/>
      <c r="AU122" s="119"/>
      <c r="AV122" s="119"/>
      <c r="AW122" s="119"/>
      <c r="AX122" s="119"/>
      <c r="AY122" s="119"/>
      <c r="AZ122" s="119"/>
      <c r="BA122" s="119"/>
      <c r="BB122" s="119"/>
      <c r="BC122" s="119"/>
      <c r="BD122" s="119"/>
      <c r="BE122" s="119"/>
      <c r="BF122" s="154"/>
    </row>
    <row r="123" spans="1:58" s="123" customFormat="1" ht="90">
      <c r="A123" s="310" t="s">
        <v>398</v>
      </c>
      <c r="B123" s="348" t="s">
        <v>386</v>
      </c>
      <c r="C123" s="348" t="s">
        <v>387</v>
      </c>
      <c r="D123" s="310" t="s">
        <v>389</v>
      </c>
      <c r="E123" s="310" t="s">
        <v>950</v>
      </c>
      <c r="F123" s="326">
        <v>2024130010221</v>
      </c>
      <c r="G123" s="310" t="s">
        <v>951</v>
      </c>
      <c r="H123" s="310" t="s">
        <v>952</v>
      </c>
      <c r="I123" s="310" t="s">
        <v>690</v>
      </c>
      <c r="J123" s="100"/>
      <c r="K123" s="131" t="s">
        <v>953</v>
      </c>
      <c r="L123" s="131"/>
      <c r="M123" s="131" t="s">
        <v>731</v>
      </c>
      <c r="N123" s="131" t="s">
        <v>270</v>
      </c>
      <c r="O123" s="118" t="s">
        <v>308</v>
      </c>
      <c r="P123" s="119"/>
      <c r="Q123" s="119"/>
      <c r="R123" s="119"/>
      <c r="S123" s="118" t="s">
        <v>308</v>
      </c>
      <c r="T123" s="120" t="s">
        <v>308</v>
      </c>
      <c r="U123" s="131" t="s">
        <v>270</v>
      </c>
      <c r="V123" s="131" t="s">
        <v>270</v>
      </c>
      <c r="W123" s="131" t="s">
        <v>270</v>
      </c>
      <c r="X123" s="131" t="s">
        <v>722</v>
      </c>
      <c r="Y123" s="185" t="s">
        <v>954</v>
      </c>
      <c r="Z123" s="310" t="s">
        <v>916</v>
      </c>
      <c r="AA123" s="310" t="s">
        <v>935</v>
      </c>
      <c r="AB123" s="310" t="s">
        <v>936</v>
      </c>
      <c r="AC123" s="310" t="s">
        <v>734</v>
      </c>
      <c r="AD123" s="310" t="s">
        <v>938</v>
      </c>
      <c r="AE123" s="349">
        <v>1600000000</v>
      </c>
      <c r="AF123" s="310" t="s">
        <v>75</v>
      </c>
      <c r="AG123" s="310" t="s">
        <v>60</v>
      </c>
      <c r="AH123" s="131" t="s">
        <v>270</v>
      </c>
      <c r="AI123" s="311">
        <v>800000000</v>
      </c>
      <c r="AJ123" s="303">
        <v>1600000000</v>
      </c>
      <c r="AK123" s="119"/>
      <c r="AL123" s="119"/>
      <c r="AM123" s="119"/>
      <c r="AN123" s="310" t="s">
        <v>60</v>
      </c>
      <c r="AO123" s="310" t="s">
        <v>955</v>
      </c>
      <c r="AP123" s="303">
        <v>914712990</v>
      </c>
      <c r="AQ123" s="305">
        <f>+AP123/AJ123</f>
        <v>0.57169561874999997</v>
      </c>
      <c r="AR123" s="303">
        <v>18668750</v>
      </c>
      <c r="AS123" s="305">
        <f>+AR123/AJ123</f>
        <v>1.166796875E-2</v>
      </c>
      <c r="AT123" s="303"/>
      <c r="AU123" s="303"/>
      <c r="AV123" s="303"/>
      <c r="AW123" s="303"/>
      <c r="AX123" s="303"/>
      <c r="AY123" s="303"/>
      <c r="AZ123" s="303"/>
      <c r="BA123" s="303"/>
      <c r="BB123" s="303"/>
      <c r="BC123" s="303"/>
      <c r="BD123" s="303"/>
      <c r="BE123" s="303"/>
      <c r="BF123" s="303"/>
    </row>
    <row r="124" spans="1:58" s="123" customFormat="1" ht="72">
      <c r="A124" s="310"/>
      <c r="B124" s="348"/>
      <c r="C124" s="348"/>
      <c r="D124" s="310"/>
      <c r="E124" s="310"/>
      <c r="F124" s="326"/>
      <c r="G124" s="310"/>
      <c r="H124" s="310"/>
      <c r="I124" s="310"/>
      <c r="J124" s="100"/>
      <c r="K124" s="131" t="s">
        <v>956</v>
      </c>
      <c r="L124" s="134"/>
      <c r="M124" s="131" t="s">
        <v>957</v>
      </c>
      <c r="N124" s="131" t="s">
        <v>270</v>
      </c>
      <c r="O124" s="118" t="s">
        <v>308</v>
      </c>
      <c r="P124" s="119"/>
      <c r="Q124" s="119"/>
      <c r="R124" s="119"/>
      <c r="S124" s="118" t="s">
        <v>308</v>
      </c>
      <c r="T124" s="120" t="s">
        <v>308</v>
      </c>
      <c r="U124" s="131" t="s">
        <v>270</v>
      </c>
      <c r="V124" s="131" t="s">
        <v>270</v>
      </c>
      <c r="W124" s="131" t="s">
        <v>270</v>
      </c>
      <c r="X124" s="131" t="s">
        <v>722</v>
      </c>
      <c r="Y124" s="185" t="s">
        <v>954</v>
      </c>
      <c r="Z124" s="310"/>
      <c r="AA124" s="310"/>
      <c r="AB124" s="310"/>
      <c r="AC124" s="310"/>
      <c r="AD124" s="310"/>
      <c r="AE124" s="349"/>
      <c r="AF124" s="310"/>
      <c r="AG124" s="310"/>
      <c r="AH124" s="131" t="s">
        <v>270</v>
      </c>
      <c r="AI124" s="311"/>
      <c r="AJ124" s="303"/>
      <c r="AK124" s="119"/>
      <c r="AL124" s="119"/>
      <c r="AM124" s="119"/>
      <c r="AN124" s="310"/>
      <c r="AO124" s="310"/>
      <c r="AP124" s="303"/>
      <c r="AQ124" s="305"/>
      <c r="AR124" s="303"/>
      <c r="AS124" s="305"/>
      <c r="AT124" s="303"/>
      <c r="AU124" s="303"/>
      <c r="AV124" s="303"/>
      <c r="AW124" s="303"/>
      <c r="AX124" s="303"/>
      <c r="AY124" s="303"/>
      <c r="AZ124" s="303"/>
      <c r="BA124" s="303"/>
      <c r="BB124" s="303"/>
      <c r="BC124" s="303"/>
      <c r="BD124" s="303"/>
      <c r="BE124" s="303"/>
      <c r="BF124" s="303"/>
    </row>
    <row r="125" spans="1:58" s="123" customFormat="1" ht="90">
      <c r="A125" s="310"/>
      <c r="B125" s="348"/>
      <c r="C125" s="348"/>
      <c r="D125" s="310"/>
      <c r="E125" s="310"/>
      <c r="F125" s="326"/>
      <c r="G125" s="310"/>
      <c r="H125" s="310"/>
      <c r="I125" s="310"/>
      <c r="J125" s="100"/>
      <c r="K125" s="131" t="s">
        <v>958</v>
      </c>
      <c r="L125" s="134"/>
      <c r="M125" s="131" t="s">
        <v>959</v>
      </c>
      <c r="N125" s="131">
        <v>0.2</v>
      </c>
      <c r="O125" s="118">
        <v>0.02</v>
      </c>
      <c r="P125" s="119"/>
      <c r="Q125" s="119"/>
      <c r="R125" s="119"/>
      <c r="S125" s="118">
        <f t="shared" si="6"/>
        <v>0.02</v>
      </c>
      <c r="T125" s="120">
        <f t="shared" si="7"/>
        <v>9.9999999999999992E-2</v>
      </c>
      <c r="U125" s="164">
        <v>46054</v>
      </c>
      <c r="V125" s="164">
        <v>46174</v>
      </c>
      <c r="W125" s="131">
        <v>180</v>
      </c>
      <c r="X125" s="131" t="s">
        <v>722</v>
      </c>
      <c r="Y125" s="185" t="s">
        <v>954</v>
      </c>
      <c r="Z125" s="310"/>
      <c r="AA125" s="310"/>
      <c r="AB125" s="310"/>
      <c r="AC125" s="310"/>
      <c r="AD125" s="310"/>
      <c r="AE125" s="349"/>
      <c r="AF125" s="310"/>
      <c r="AG125" s="310"/>
      <c r="AH125" s="164">
        <v>46054</v>
      </c>
      <c r="AI125" s="311"/>
      <c r="AJ125" s="303"/>
      <c r="AK125" s="119"/>
      <c r="AL125" s="119"/>
      <c r="AM125" s="119"/>
      <c r="AN125" s="310"/>
      <c r="AO125" s="310"/>
      <c r="AP125" s="303"/>
      <c r="AQ125" s="305"/>
      <c r="AR125" s="303"/>
      <c r="AS125" s="305"/>
      <c r="AT125" s="303"/>
      <c r="AU125" s="303"/>
      <c r="AV125" s="303"/>
      <c r="AW125" s="303"/>
      <c r="AX125" s="303"/>
      <c r="AY125" s="303"/>
      <c r="AZ125" s="303"/>
      <c r="BA125" s="303"/>
      <c r="BB125" s="303"/>
      <c r="BC125" s="303"/>
      <c r="BD125" s="303"/>
      <c r="BE125" s="303"/>
      <c r="BF125" s="303"/>
    </row>
    <row r="126" spans="1:58" s="123" customFormat="1" ht="90">
      <c r="A126" s="310"/>
      <c r="B126" s="348"/>
      <c r="C126" s="348"/>
      <c r="D126" s="310"/>
      <c r="E126" s="310"/>
      <c r="F126" s="326"/>
      <c r="G126" s="310"/>
      <c r="H126" s="310"/>
      <c r="I126" s="310"/>
      <c r="J126" s="100"/>
      <c r="K126" s="131" t="s">
        <v>960</v>
      </c>
      <c r="L126" s="134"/>
      <c r="M126" s="131" t="s">
        <v>961</v>
      </c>
      <c r="N126" s="131">
        <v>0.1</v>
      </c>
      <c r="O126" s="118">
        <v>0</v>
      </c>
      <c r="P126" s="119"/>
      <c r="Q126" s="119"/>
      <c r="R126" s="119"/>
      <c r="S126" s="118">
        <f t="shared" si="6"/>
        <v>0</v>
      </c>
      <c r="T126" s="120">
        <f t="shared" si="7"/>
        <v>0</v>
      </c>
      <c r="U126" s="164">
        <v>46054</v>
      </c>
      <c r="V126" s="164">
        <v>46174</v>
      </c>
      <c r="W126" s="131">
        <v>180</v>
      </c>
      <c r="X126" s="131" t="s">
        <v>722</v>
      </c>
      <c r="Y126" s="185" t="s">
        <v>954</v>
      </c>
      <c r="Z126" s="310"/>
      <c r="AA126" s="310"/>
      <c r="AB126" s="310"/>
      <c r="AC126" s="310"/>
      <c r="AD126" s="310"/>
      <c r="AE126" s="349"/>
      <c r="AF126" s="310"/>
      <c r="AG126" s="310"/>
      <c r="AH126" s="164">
        <v>46054</v>
      </c>
      <c r="AI126" s="311"/>
      <c r="AJ126" s="303"/>
      <c r="AK126" s="119"/>
      <c r="AL126" s="119"/>
      <c r="AM126" s="119"/>
      <c r="AN126" s="310"/>
      <c r="AO126" s="310"/>
      <c r="AP126" s="303"/>
      <c r="AQ126" s="305"/>
      <c r="AR126" s="303"/>
      <c r="AS126" s="305"/>
      <c r="AT126" s="303"/>
      <c r="AU126" s="303"/>
      <c r="AV126" s="303"/>
      <c r="AW126" s="303"/>
      <c r="AX126" s="303"/>
      <c r="AY126" s="303"/>
      <c r="AZ126" s="303"/>
      <c r="BA126" s="303"/>
      <c r="BB126" s="303"/>
      <c r="BC126" s="303"/>
      <c r="BD126" s="303"/>
      <c r="BE126" s="303"/>
      <c r="BF126" s="303"/>
    </row>
    <row r="127" spans="1:58" s="123" customFormat="1" ht="90">
      <c r="A127" s="310"/>
      <c r="B127" s="348"/>
      <c r="C127" s="348"/>
      <c r="D127" s="310" t="s">
        <v>394</v>
      </c>
      <c r="E127" s="310"/>
      <c r="F127" s="326"/>
      <c r="G127" s="310"/>
      <c r="H127" s="310"/>
      <c r="I127" s="310"/>
      <c r="J127" s="100"/>
      <c r="K127" s="131" t="s">
        <v>953</v>
      </c>
      <c r="L127" s="134"/>
      <c r="M127" s="131" t="s">
        <v>856</v>
      </c>
      <c r="N127" s="131">
        <v>0.1</v>
      </c>
      <c r="O127" s="152">
        <v>3.3333333299999997E-2</v>
      </c>
      <c r="P127" s="119"/>
      <c r="Q127" s="119"/>
      <c r="R127" s="119"/>
      <c r="S127" s="118">
        <f t="shared" si="6"/>
        <v>3.3333333299999997E-2</v>
      </c>
      <c r="T127" s="120">
        <f t="shared" si="7"/>
        <v>0.33333333299999995</v>
      </c>
      <c r="U127" s="164">
        <v>46054</v>
      </c>
      <c r="V127" s="164">
        <v>46266</v>
      </c>
      <c r="W127" s="131">
        <f>8*30</f>
        <v>240</v>
      </c>
      <c r="X127" s="131" t="s">
        <v>722</v>
      </c>
      <c r="Y127" s="185" t="s">
        <v>954</v>
      </c>
      <c r="Z127" s="310"/>
      <c r="AA127" s="310"/>
      <c r="AB127" s="310"/>
      <c r="AC127" s="310"/>
      <c r="AD127" s="310"/>
      <c r="AE127" s="349"/>
      <c r="AF127" s="310"/>
      <c r="AG127" s="310"/>
      <c r="AH127" s="164">
        <v>46204</v>
      </c>
      <c r="AI127" s="311"/>
      <c r="AJ127" s="303"/>
      <c r="AK127" s="119"/>
      <c r="AL127" s="119"/>
      <c r="AM127" s="119"/>
      <c r="AN127" s="310"/>
      <c r="AO127" s="310"/>
      <c r="AP127" s="303"/>
      <c r="AQ127" s="305"/>
      <c r="AR127" s="303"/>
      <c r="AS127" s="305"/>
      <c r="AT127" s="303"/>
      <c r="AU127" s="303"/>
      <c r="AV127" s="303"/>
      <c r="AW127" s="303"/>
      <c r="AX127" s="303"/>
      <c r="AY127" s="303"/>
      <c r="AZ127" s="303"/>
      <c r="BA127" s="303"/>
      <c r="BB127" s="303"/>
      <c r="BC127" s="303"/>
      <c r="BD127" s="303"/>
      <c r="BE127" s="303"/>
      <c r="BF127" s="303"/>
    </row>
    <row r="128" spans="1:58" s="123" customFormat="1" ht="72">
      <c r="A128" s="310"/>
      <c r="B128" s="348"/>
      <c r="C128" s="348"/>
      <c r="D128" s="310"/>
      <c r="E128" s="310"/>
      <c r="F128" s="326"/>
      <c r="G128" s="310"/>
      <c r="H128" s="310"/>
      <c r="I128" s="310"/>
      <c r="J128" s="100"/>
      <c r="K128" s="131" t="s">
        <v>956</v>
      </c>
      <c r="L128" s="134"/>
      <c r="M128" s="131" t="s">
        <v>962</v>
      </c>
      <c r="N128" s="131">
        <v>0.18333333333333335</v>
      </c>
      <c r="O128" s="118">
        <v>0.01</v>
      </c>
      <c r="P128" s="119"/>
      <c r="Q128" s="119"/>
      <c r="R128" s="119"/>
      <c r="S128" s="118">
        <f t="shared" si="6"/>
        <v>0.01</v>
      </c>
      <c r="T128" s="120">
        <f t="shared" si="7"/>
        <v>5.4545454545454543E-2</v>
      </c>
      <c r="U128" s="164">
        <v>46054</v>
      </c>
      <c r="V128" s="164">
        <v>46357</v>
      </c>
      <c r="W128" s="131">
        <f>11*30</f>
        <v>330</v>
      </c>
      <c r="X128" s="131" t="s">
        <v>722</v>
      </c>
      <c r="Y128" s="185" t="s">
        <v>954</v>
      </c>
      <c r="Z128" s="310"/>
      <c r="AA128" s="310"/>
      <c r="AB128" s="310"/>
      <c r="AC128" s="310"/>
      <c r="AD128" s="310"/>
      <c r="AE128" s="349"/>
      <c r="AF128" s="310"/>
      <c r="AG128" s="310"/>
      <c r="AH128" s="164">
        <v>46204</v>
      </c>
      <c r="AI128" s="311"/>
      <c r="AJ128" s="303"/>
      <c r="AK128" s="119"/>
      <c r="AL128" s="119"/>
      <c r="AM128" s="119"/>
      <c r="AN128" s="310"/>
      <c r="AO128" s="310"/>
      <c r="AP128" s="303"/>
      <c r="AQ128" s="305"/>
      <c r="AR128" s="303"/>
      <c r="AS128" s="305"/>
      <c r="AT128" s="303"/>
      <c r="AU128" s="303"/>
      <c r="AV128" s="303"/>
      <c r="AW128" s="303"/>
      <c r="AX128" s="303"/>
      <c r="AY128" s="303"/>
      <c r="AZ128" s="303"/>
      <c r="BA128" s="303"/>
      <c r="BB128" s="303"/>
      <c r="BC128" s="303"/>
      <c r="BD128" s="303"/>
      <c r="BE128" s="303"/>
      <c r="BF128" s="303"/>
    </row>
    <row r="129" spans="1:58" s="123" customFormat="1" ht="90">
      <c r="A129" s="310"/>
      <c r="B129" s="348"/>
      <c r="C129" s="348"/>
      <c r="D129" s="310"/>
      <c r="E129" s="310"/>
      <c r="F129" s="326"/>
      <c r="G129" s="310"/>
      <c r="H129" s="310"/>
      <c r="I129" s="310"/>
      <c r="J129" s="100"/>
      <c r="K129" s="131" t="s">
        <v>958</v>
      </c>
      <c r="L129" s="134"/>
      <c r="M129" s="131" t="s">
        <v>959</v>
      </c>
      <c r="N129" s="131">
        <v>6.666666666666668E-2</v>
      </c>
      <c r="O129" s="118" t="s">
        <v>308</v>
      </c>
      <c r="P129" s="119"/>
      <c r="Q129" s="119"/>
      <c r="R129" s="119"/>
      <c r="S129" s="118" t="s">
        <v>308</v>
      </c>
      <c r="T129" s="120" t="s">
        <v>308</v>
      </c>
      <c r="U129" s="164">
        <v>46113</v>
      </c>
      <c r="V129" s="164">
        <v>46357</v>
      </c>
      <c r="W129" s="131">
        <v>270</v>
      </c>
      <c r="X129" s="131" t="s">
        <v>722</v>
      </c>
      <c r="Y129" s="185" t="s">
        <v>954</v>
      </c>
      <c r="Z129" s="310"/>
      <c r="AA129" s="310"/>
      <c r="AB129" s="310"/>
      <c r="AC129" s="310"/>
      <c r="AD129" s="310"/>
      <c r="AE129" s="349"/>
      <c r="AF129" s="310"/>
      <c r="AG129" s="310"/>
      <c r="AH129" s="164">
        <v>46113</v>
      </c>
      <c r="AI129" s="311"/>
      <c r="AJ129" s="303"/>
      <c r="AK129" s="119"/>
      <c r="AL129" s="119"/>
      <c r="AM129" s="119"/>
      <c r="AN129" s="310"/>
      <c r="AO129" s="310"/>
      <c r="AP129" s="303"/>
      <c r="AQ129" s="305"/>
      <c r="AR129" s="303"/>
      <c r="AS129" s="305"/>
      <c r="AT129" s="303"/>
      <c r="AU129" s="303"/>
      <c r="AV129" s="303"/>
      <c r="AW129" s="303"/>
      <c r="AX129" s="303"/>
      <c r="AY129" s="303"/>
      <c r="AZ129" s="303"/>
      <c r="BA129" s="303"/>
      <c r="BB129" s="303"/>
      <c r="BC129" s="303"/>
      <c r="BD129" s="303"/>
      <c r="BE129" s="303"/>
      <c r="BF129" s="303"/>
    </row>
    <row r="130" spans="1:58" s="123" customFormat="1" ht="90">
      <c r="A130" s="310"/>
      <c r="B130" s="348"/>
      <c r="C130" s="348"/>
      <c r="D130" s="310"/>
      <c r="E130" s="310"/>
      <c r="F130" s="326"/>
      <c r="G130" s="310"/>
      <c r="H130" s="310"/>
      <c r="I130" s="310"/>
      <c r="J130" s="100"/>
      <c r="K130" s="131" t="s">
        <v>960</v>
      </c>
      <c r="L130" s="131"/>
      <c r="M130" s="131" t="s">
        <v>789</v>
      </c>
      <c r="N130" s="131">
        <v>0.10000000000000002</v>
      </c>
      <c r="O130" s="186">
        <v>6.6666666999999997E-3</v>
      </c>
      <c r="P130" s="119"/>
      <c r="Q130" s="119"/>
      <c r="R130" s="119"/>
      <c r="S130" s="118">
        <f t="shared" si="6"/>
        <v>6.6666666999999997E-3</v>
      </c>
      <c r="T130" s="120">
        <f t="shared" si="7"/>
        <v>6.6666666999999985E-2</v>
      </c>
      <c r="U130" s="164">
        <v>46054</v>
      </c>
      <c r="V130" s="164">
        <v>46357</v>
      </c>
      <c r="W130" s="131">
        <f>11*30</f>
        <v>330</v>
      </c>
      <c r="X130" s="131" t="s">
        <v>722</v>
      </c>
      <c r="Y130" s="185" t="s">
        <v>954</v>
      </c>
      <c r="Z130" s="310"/>
      <c r="AA130" s="310"/>
      <c r="AB130" s="310"/>
      <c r="AC130" s="310"/>
      <c r="AD130" s="310"/>
      <c r="AE130" s="349"/>
      <c r="AF130" s="310"/>
      <c r="AG130" s="310"/>
      <c r="AH130" s="164">
        <v>46054</v>
      </c>
      <c r="AI130" s="311"/>
      <c r="AJ130" s="303"/>
      <c r="AK130" s="119"/>
      <c r="AL130" s="119"/>
      <c r="AM130" s="119"/>
      <c r="AN130" s="310"/>
      <c r="AO130" s="310"/>
      <c r="AP130" s="303"/>
      <c r="AQ130" s="305"/>
      <c r="AR130" s="303"/>
      <c r="AS130" s="305"/>
      <c r="AT130" s="303"/>
      <c r="AU130" s="303"/>
      <c r="AV130" s="303"/>
      <c r="AW130" s="303"/>
      <c r="AX130" s="303"/>
      <c r="AY130" s="303"/>
      <c r="AZ130" s="303"/>
      <c r="BA130" s="303"/>
      <c r="BB130" s="303"/>
      <c r="BC130" s="303"/>
      <c r="BD130" s="303"/>
      <c r="BE130" s="303"/>
      <c r="BF130" s="303"/>
    </row>
    <row r="131" spans="1:58" s="123" customFormat="1" ht="90">
      <c r="A131" s="310"/>
      <c r="B131" s="348"/>
      <c r="C131" s="348"/>
      <c r="D131" s="310" t="s">
        <v>963</v>
      </c>
      <c r="E131" s="310"/>
      <c r="F131" s="326"/>
      <c r="G131" s="310"/>
      <c r="H131" s="310"/>
      <c r="I131" s="310"/>
      <c r="J131" s="100"/>
      <c r="K131" s="131" t="s">
        <v>953</v>
      </c>
      <c r="L131" s="131"/>
      <c r="M131" s="131" t="s">
        <v>856</v>
      </c>
      <c r="N131" s="131">
        <v>0.1</v>
      </c>
      <c r="O131" s="118" t="s">
        <v>308</v>
      </c>
      <c r="P131" s="119"/>
      <c r="Q131" s="119"/>
      <c r="R131" s="119"/>
      <c r="S131" s="118" t="s">
        <v>308</v>
      </c>
      <c r="T131" s="120" t="s">
        <v>308</v>
      </c>
      <c r="U131" s="164">
        <v>46204</v>
      </c>
      <c r="V131" s="164">
        <v>46266</v>
      </c>
      <c r="W131" s="131">
        <v>90</v>
      </c>
      <c r="X131" s="131" t="s">
        <v>964</v>
      </c>
      <c r="Y131" s="185" t="s">
        <v>965</v>
      </c>
      <c r="Z131" s="310"/>
      <c r="AA131" s="310"/>
      <c r="AB131" s="310"/>
      <c r="AC131" s="310"/>
      <c r="AD131" s="310"/>
      <c r="AE131" s="349"/>
      <c r="AF131" s="310"/>
      <c r="AG131" s="310" t="s">
        <v>770</v>
      </c>
      <c r="AH131" s="164">
        <v>46204</v>
      </c>
      <c r="AI131" s="311">
        <v>800000000</v>
      </c>
      <c r="AJ131" s="303"/>
      <c r="AK131" s="119"/>
      <c r="AL131" s="119"/>
      <c r="AM131" s="119"/>
      <c r="AN131" s="310" t="s">
        <v>770</v>
      </c>
      <c r="AO131" s="310"/>
      <c r="AP131" s="303"/>
      <c r="AQ131" s="305"/>
      <c r="AR131" s="303"/>
      <c r="AS131" s="305"/>
      <c r="AT131" s="303"/>
      <c r="AU131" s="303"/>
      <c r="AV131" s="303"/>
      <c r="AW131" s="303"/>
      <c r="AX131" s="303"/>
      <c r="AY131" s="303"/>
      <c r="AZ131" s="303"/>
      <c r="BA131" s="303"/>
      <c r="BB131" s="303"/>
      <c r="BC131" s="303"/>
      <c r="BD131" s="303"/>
      <c r="BE131" s="303"/>
      <c r="BF131" s="303"/>
    </row>
    <row r="132" spans="1:58" s="123" customFormat="1" ht="72">
      <c r="A132" s="310"/>
      <c r="B132" s="348"/>
      <c r="C132" s="348"/>
      <c r="D132" s="310"/>
      <c r="E132" s="310"/>
      <c r="F132" s="326"/>
      <c r="G132" s="310"/>
      <c r="H132" s="310"/>
      <c r="I132" s="310"/>
      <c r="J132" s="100"/>
      <c r="K132" s="131" t="s">
        <v>956</v>
      </c>
      <c r="L132" s="131"/>
      <c r="M132" s="131" t="s">
        <v>962</v>
      </c>
      <c r="N132" s="131">
        <v>0.1</v>
      </c>
      <c r="O132" s="118" t="s">
        <v>308</v>
      </c>
      <c r="P132" s="119"/>
      <c r="Q132" s="119"/>
      <c r="R132" s="119"/>
      <c r="S132" s="118" t="s">
        <v>308</v>
      </c>
      <c r="T132" s="120" t="s">
        <v>308</v>
      </c>
      <c r="U132" s="164">
        <v>46204</v>
      </c>
      <c r="V132" s="164">
        <v>46357</v>
      </c>
      <c r="W132" s="131">
        <v>180</v>
      </c>
      <c r="X132" s="131" t="s">
        <v>964</v>
      </c>
      <c r="Y132" s="185" t="s">
        <v>965</v>
      </c>
      <c r="Z132" s="310"/>
      <c r="AA132" s="310"/>
      <c r="AB132" s="310"/>
      <c r="AC132" s="310"/>
      <c r="AD132" s="310"/>
      <c r="AE132" s="349"/>
      <c r="AF132" s="310"/>
      <c r="AG132" s="310"/>
      <c r="AH132" s="164">
        <v>46204</v>
      </c>
      <c r="AI132" s="311"/>
      <c r="AJ132" s="303"/>
      <c r="AK132" s="119"/>
      <c r="AL132" s="119"/>
      <c r="AM132" s="119"/>
      <c r="AN132" s="310"/>
      <c r="AO132" s="310"/>
      <c r="AP132" s="303"/>
      <c r="AQ132" s="305"/>
      <c r="AR132" s="303"/>
      <c r="AS132" s="305"/>
      <c r="AT132" s="303"/>
      <c r="AU132" s="303"/>
      <c r="AV132" s="303"/>
      <c r="AW132" s="303"/>
      <c r="AX132" s="303"/>
      <c r="AY132" s="303"/>
      <c r="AZ132" s="303"/>
      <c r="BA132" s="303"/>
      <c r="BB132" s="303"/>
      <c r="BC132" s="303"/>
      <c r="BD132" s="303"/>
      <c r="BE132" s="303"/>
      <c r="BF132" s="303"/>
    </row>
    <row r="133" spans="1:58" s="123" customFormat="1" ht="90">
      <c r="A133" s="310"/>
      <c r="B133" s="348"/>
      <c r="C133" s="348"/>
      <c r="D133" s="310"/>
      <c r="E133" s="310"/>
      <c r="F133" s="326"/>
      <c r="G133" s="310"/>
      <c r="H133" s="310"/>
      <c r="I133" s="310"/>
      <c r="J133" s="100"/>
      <c r="K133" s="131" t="s">
        <v>958</v>
      </c>
      <c r="L133" s="131"/>
      <c r="M133" s="131" t="s">
        <v>959</v>
      </c>
      <c r="N133" s="131">
        <v>0.05</v>
      </c>
      <c r="O133" s="118" t="s">
        <v>308</v>
      </c>
      <c r="P133" s="119"/>
      <c r="Q133" s="119"/>
      <c r="R133" s="119"/>
      <c r="S133" s="118" t="s">
        <v>308</v>
      </c>
      <c r="T133" s="120" t="s">
        <v>308</v>
      </c>
      <c r="U133" s="164">
        <v>46204</v>
      </c>
      <c r="V133" s="164">
        <v>46357</v>
      </c>
      <c r="W133" s="131">
        <v>180</v>
      </c>
      <c r="X133" s="131" t="s">
        <v>964</v>
      </c>
      <c r="Y133" s="185" t="s">
        <v>965</v>
      </c>
      <c r="Z133" s="310"/>
      <c r="AA133" s="310"/>
      <c r="AB133" s="310"/>
      <c r="AC133" s="310"/>
      <c r="AD133" s="310"/>
      <c r="AE133" s="349"/>
      <c r="AF133" s="310"/>
      <c r="AG133" s="310"/>
      <c r="AH133" s="164">
        <v>46204</v>
      </c>
      <c r="AI133" s="311"/>
      <c r="AJ133" s="303"/>
      <c r="AK133" s="119"/>
      <c r="AL133" s="119"/>
      <c r="AM133" s="119"/>
      <c r="AN133" s="310"/>
      <c r="AO133" s="310"/>
      <c r="AP133" s="303"/>
      <c r="AQ133" s="305"/>
      <c r="AR133" s="303"/>
      <c r="AS133" s="305"/>
      <c r="AT133" s="303"/>
      <c r="AU133" s="303"/>
      <c r="AV133" s="303"/>
      <c r="AW133" s="303"/>
      <c r="AX133" s="303"/>
      <c r="AY133" s="303"/>
      <c r="AZ133" s="303"/>
      <c r="BA133" s="303"/>
      <c r="BB133" s="303"/>
      <c r="BC133" s="303"/>
      <c r="BD133" s="303"/>
      <c r="BE133" s="303"/>
      <c r="BF133" s="303"/>
    </row>
    <row r="134" spans="1:58" s="123" customFormat="1" ht="90">
      <c r="A134" s="310"/>
      <c r="B134" s="348"/>
      <c r="C134" s="348"/>
      <c r="D134" s="310"/>
      <c r="E134" s="310"/>
      <c r="F134" s="326"/>
      <c r="G134" s="310"/>
      <c r="H134" s="310"/>
      <c r="I134" s="310"/>
      <c r="J134" s="100"/>
      <c r="K134" s="131" t="s">
        <v>960</v>
      </c>
      <c r="L134" s="131"/>
      <c r="M134" s="131" t="s">
        <v>789</v>
      </c>
      <c r="N134" s="131">
        <v>0.1</v>
      </c>
      <c r="O134" s="118" t="s">
        <v>308</v>
      </c>
      <c r="P134" s="119"/>
      <c r="Q134" s="119"/>
      <c r="R134" s="119"/>
      <c r="S134" s="118" t="s">
        <v>308</v>
      </c>
      <c r="T134" s="120" t="s">
        <v>308</v>
      </c>
      <c r="U134" s="164">
        <v>46204</v>
      </c>
      <c r="V134" s="164">
        <v>46357</v>
      </c>
      <c r="W134" s="131">
        <v>180</v>
      </c>
      <c r="X134" s="131" t="s">
        <v>964</v>
      </c>
      <c r="Y134" s="185" t="s">
        <v>965</v>
      </c>
      <c r="Z134" s="310"/>
      <c r="AA134" s="310"/>
      <c r="AB134" s="310"/>
      <c r="AC134" s="310"/>
      <c r="AD134" s="310"/>
      <c r="AE134" s="349"/>
      <c r="AF134" s="310"/>
      <c r="AG134" s="310"/>
      <c r="AH134" s="164">
        <v>46054</v>
      </c>
      <c r="AI134" s="311"/>
      <c r="AJ134" s="303"/>
      <c r="AK134" s="119"/>
      <c r="AL134" s="119"/>
      <c r="AM134" s="119"/>
      <c r="AN134" s="310"/>
      <c r="AO134" s="310"/>
      <c r="AP134" s="303"/>
      <c r="AQ134" s="305"/>
      <c r="AR134" s="303"/>
      <c r="AS134" s="305"/>
      <c r="AT134" s="303"/>
      <c r="AU134" s="303"/>
      <c r="AV134" s="303"/>
      <c r="AW134" s="303"/>
      <c r="AX134" s="303"/>
      <c r="AY134" s="303"/>
      <c r="AZ134" s="303"/>
      <c r="BA134" s="303"/>
      <c r="BB134" s="303"/>
      <c r="BC134" s="303"/>
      <c r="BD134" s="303"/>
      <c r="BE134" s="303"/>
      <c r="BF134" s="303"/>
    </row>
    <row r="135" spans="1:58" s="123" customFormat="1" ht="93.75" customHeight="1">
      <c r="A135" s="131"/>
      <c r="B135" s="221"/>
      <c r="C135" s="221"/>
      <c r="D135" s="131"/>
      <c r="E135" s="131"/>
      <c r="F135" s="132"/>
      <c r="G135" s="131"/>
      <c r="H135" s="131"/>
      <c r="I135" s="131"/>
      <c r="J135" s="100"/>
      <c r="K135" s="302" t="s">
        <v>1300</v>
      </c>
      <c r="L135" s="302"/>
      <c r="M135" s="302"/>
      <c r="N135" s="302"/>
      <c r="O135" s="302"/>
      <c r="P135" s="302"/>
      <c r="Q135" s="302"/>
      <c r="R135" s="302"/>
      <c r="S135" s="302"/>
      <c r="T135" s="140">
        <f>AVERAGE(T124:T134)</f>
        <v>0.11090909090909089</v>
      </c>
      <c r="U135" s="164"/>
      <c r="V135" s="164"/>
      <c r="W135" s="131"/>
      <c r="X135" s="131"/>
      <c r="Y135" s="185"/>
      <c r="Z135" s="131"/>
      <c r="AA135" s="131"/>
      <c r="AB135" s="131"/>
      <c r="AC135" s="131"/>
      <c r="AD135" s="131"/>
      <c r="AE135" s="304" t="s">
        <v>1301</v>
      </c>
      <c r="AF135" s="304"/>
      <c r="AG135" s="304"/>
      <c r="AH135" s="304"/>
      <c r="AI135" s="304"/>
      <c r="AJ135" s="129">
        <f>+AJ123</f>
        <v>1600000000</v>
      </c>
      <c r="AK135" s="187"/>
      <c r="AL135" s="187"/>
      <c r="AM135" s="187"/>
      <c r="AN135" s="188"/>
      <c r="AO135" s="188"/>
      <c r="AP135" s="129">
        <f>+AP123</f>
        <v>914712990</v>
      </c>
      <c r="AQ135" s="130">
        <f>+AQ123</f>
        <v>0.57169561874999997</v>
      </c>
      <c r="AR135" s="129">
        <f>+AR123</f>
        <v>18668750</v>
      </c>
      <c r="AS135" s="130">
        <f>+AS123</f>
        <v>1.166796875E-2</v>
      </c>
      <c r="AT135" s="119"/>
      <c r="AU135" s="119"/>
      <c r="AV135" s="119"/>
      <c r="AW135" s="119"/>
      <c r="AX135" s="119"/>
      <c r="AY135" s="119"/>
      <c r="AZ135" s="119"/>
      <c r="BA135" s="119"/>
      <c r="BB135" s="119"/>
      <c r="BC135" s="119"/>
      <c r="BD135" s="119"/>
      <c r="BE135" s="119"/>
      <c r="BF135" s="154"/>
    </row>
    <row r="136" spans="1:58" s="123" customFormat="1" ht="162">
      <c r="A136" s="330" t="s">
        <v>381</v>
      </c>
      <c r="B136" s="354" t="s">
        <v>401</v>
      </c>
      <c r="C136" s="330" t="s">
        <v>402</v>
      </c>
      <c r="D136" s="330" t="s">
        <v>411</v>
      </c>
      <c r="E136" s="330" t="s">
        <v>1302</v>
      </c>
      <c r="F136" s="333">
        <v>202500000042535</v>
      </c>
      <c r="G136" s="353" t="s">
        <v>966</v>
      </c>
      <c r="H136" s="330" t="s">
        <v>967</v>
      </c>
      <c r="I136" s="330" t="s">
        <v>690</v>
      </c>
      <c r="J136" s="126"/>
      <c r="K136" s="126" t="s">
        <v>856</v>
      </c>
      <c r="L136" s="126" t="s">
        <v>968</v>
      </c>
      <c r="M136" s="146" t="s">
        <v>969</v>
      </c>
      <c r="N136" s="126">
        <v>0.1</v>
      </c>
      <c r="O136" s="118">
        <v>7.0000000000000007E-2</v>
      </c>
      <c r="P136" s="119"/>
      <c r="Q136" s="119"/>
      <c r="R136" s="119"/>
      <c r="S136" s="118">
        <f t="shared" si="6"/>
        <v>7.0000000000000007E-2</v>
      </c>
      <c r="T136" s="120">
        <f t="shared" si="7"/>
        <v>0.70000000000000007</v>
      </c>
      <c r="U136" s="121">
        <v>46054</v>
      </c>
      <c r="V136" s="121">
        <v>46203</v>
      </c>
      <c r="W136" s="126">
        <v>150</v>
      </c>
      <c r="X136" s="189">
        <v>12562</v>
      </c>
      <c r="Y136" s="353" t="s">
        <v>970</v>
      </c>
      <c r="Z136" s="330" t="s">
        <v>971</v>
      </c>
      <c r="AA136" s="330" t="s">
        <v>972</v>
      </c>
      <c r="AB136" s="330" t="s">
        <v>973</v>
      </c>
      <c r="AC136" s="352" t="s">
        <v>802</v>
      </c>
      <c r="AD136" s="330" t="s">
        <v>974</v>
      </c>
      <c r="AE136" s="101">
        <v>33000000</v>
      </c>
      <c r="AF136" s="126" t="s">
        <v>75</v>
      </c>
      <c r="AG136" s="126" t="s">
        <v>60</v>
      </c>
      <c r="AH136" s="190">
        <v>46053</v>
      </c>
      <c r="AI136" s="101">
        <v>33000000</v>
      </c>
      <c r="AJ136" s="303">
        <v>500000000</v>
      </c>
      <c r="AK136" s="119"/>
      <c r="AL136" s="119"/>
      <c r="AM136" s="119"/>
      <c r="AN136" s="126" t="s">
        <v>975</v>
      </c>
      <c r="AO136" s="330" t="s">
        <v>976</v>
      </c>
      <c r="AP136" s="303">
        <v>74720000</v>
      </c>
      <c r="AQ136" s="305">
        <f>+AP136/AJ136</f>
        <v>0.14943999999999999</v>
      </c>
      <c r="AR136" s="303">
        <v>10120000</v>
      </c>
      <c r="AS136" s="305">
        <f>+AR136/AJ136</f>
        <v>2.0240000000000001E-2</v>
      </c>
      <c r="AT136" s="303"/>
      <c r="AU136" s="303"/>
      <c r="AV136" s="303"/>
      <c r="AW136" s="303"/>
      <c r="AX136" s="303"/>
      <c r="AY136" s="303"/>
      <c r="AZ136" s="303"/>
      <c r="BA136" s="303"/>
      <c r="BB136" s="303"/>
      <c r="BC136" s="303"/>
      <c r="BD136" s="303"/>
      <c r="BE136" s="303"/>
      <c r="BF136" s="303"/>
    </row>
    <row r="137" spans="1:58" s="123" customFormat="1" ht="162">
      <c r="A137" s="330"/>
      <c r="B137" s="354"/>
      <c r="C137" s="330"/>
      <c r="D137" s="330"/>
      <c r="E137" s="330"/>
      <c r="F137" s="333"/>
      <c r="G137" s="353"/>
      <c r="H137" s="330"/>
      <c r="I137" s="330"/>
      <c r="J137" s="126"/>
      <c r="K137" s="126" t="s">
        <v>977</v>
      </c>
      <c r="L137" s="126" t="s">
        <v>968</v>
      </c>
      <c r="M137" s="146" t="s">
        <v>978</v>
      </c>
      <c r="N137" s="126">
        <v>0.4</v>
      </c>
      <c r="O137" s="118">
        <v>0.13</v>
      </c>
      <c r="P137" s="119"/>
      <c r="Q137" s="119"/>
      <c r="R137" s="119"/>
      <c r="S137" s="118">
        <f t="shared" si="6"/>
        <v>0.13</v>
      </c>
      <c r="T137" s="120">
        <f t="shared" si="7"/>
        <v>0.32500000000000001</v>
      </c>
      <c r="U137" s="121">
        <v>46054</v>
      </c>
      <c r="V137" s="121">
        <v>46387</v>
      </c>
      <c r="W137" s="126">
        <v>335</v>
      </c>
      <c r="X137" s="189">
        <v>12562</v>
      </c>
      <c r="Y137" s="353"/>
      <c r="Z137" s="330"/>
      <c r="AA137" s="330"/>
      <c r="AB137" s="330"/>
      <c r="AC137" s="352"/>
      <c r="AD137" s="330"/>
      <c r="AE137" s="101">
        <v>217000000</v>
      </c>
      <c r="AF137" s="126" t="s">
        <v>75</v>
      </c>
      <c r="AG137" s="126" t="s">
        <v>60</v>
      </c>
      <c r="AH137" s="190">
        <v>46053</v>
      </c>
      <c r="AI137" s="101">
        <v>217000000</v>
      </c>
      <c r="AJ137" s="303"/>
      <c r="AK137" s="119"/>
      <c r="AL137" s="119"/>
      <c r="AM137" s="119"/>
      <c r="AN137" s="126" t="s">
        <v>975</v>
      </c>
      <c r="AO137" s="330"/>
      <c r="AP137" s="303"/>
      <c r="AQ137" s="305"/>
      <c r="AR137" s="303"/>
      <c r="AS137" s="305"/>
      <c r="AT137" s="303"/>
      <c r="AU137" s="303"/>
      <c r="AV137" s="303"/>
      <c r="AW137" s="303"/>
      <c r="AX137" s="303"/>
      <c r="AY137" s="303"/>
      <c r="AZ137" s="303"/>
      <c r="BA137" s="303"/>
      <c r="BB137" s="303"/>
      <c r="BC137" s="303"/>
      <c r="BD137" s="303"/>
      <c r="BE137" s="303"/>
      <c r="BF137" s="303"/>
    </row>
    <row r="138" spans="1:58" s="123" customFormat="1" ht="162">
      <c r="A138" s="330"/>
      <c r="B138" s="354"/>
      <c r="C138" s="330"/>
      <c r="D138" s="330"/>
      <c r="E138" s="330"/>
      <c r="F138" s="333"/>
      <c r="G138" s="353"/>
      <c r="H138" s="330"/>
      <c r="I138" s="330"/>
      <c r="J138" s="126"/>
      <c r="K138" s="126" t="s">
        <v>979</v>
      </c>
      <c r="L138" s="126" t="s">
        <v>968</v>
      </c>
      <c r="M138" s="146" t="s">
        <v>980</v>
      </c>
      <c r="N138" s="126" t="s">
        <v>270</v>
      </c>
      <c r="O138" s="118" t="s">
        <v>308</v>
      </c>
      <c r="P138" s="119"/>
      <c r="Q138" s="119"/>
      <c r="R138" s="119"/>
      <c r="S138" s="118" t="s">
        <v>308</v>
      </c>
      <c r="T138" s="120" t="s">
        <v>308</v>
      </c>
      <c r="U138" s="121">
        <v>46419</v>
      </c>
      <c r="V138" s="121">
        <v>46568</v>
      </c>
      <c r="W138" s="126">
        <v>150</v>
      </c>
      <c r="X138" s="189">
        <v>12562</v>
      </c>
      <c r="Y138" s="353"/>
      <c r="Z138" s="330"/>
      <c r="AA138" s="330"/>
      <c r="AB138" s="330"/>
      <c r="AC138" s="352"/>
      <c r="AD138" s="330"/>
      <c r="AE138" s="101">
        <v>156750000</v>
      </c>
      <c r="AF138" s="126" t="s">
        <v>75</v>
      </c>
      <c r="AG138" s="126" t="s">
        <v>60</v>
      </c>
      <c r="AH138" s="190">
        <v>46416</v>
      </c>
      <c r="AI138" s="101">
        <v>156750000</v>
      </c>
      <c r="AJ138" s="303"/>
      <c r="AK138" s="119"/>
      <c r="AL138" s="119"/>
      <c r="AM138" s="119"/>
      <c r="AN138" s="126" t="s">
        <v>975</v>
      </c>
      <c r="AO138" s="330"/>
      <c r="AP138" s="303"/>
      <c r="AQ138" s="305"/>
      <c r="AR138" s="303"/>
      <c r="AS138" s="305"/>
      <c r="AT138" s="303"/>
      <c r="AU138" s="303"/>
      <c r="AV138" s="303"/>
      <c r="AW138" s="303"/>
      <c r="AX138" s="303"/>
      <c r="AY138" s="303"/>
      <c r="AZ138" s="303"/>
      <c r="BA138" s="303"/>
      <c r="BB138" s="303"/>
      <c r="BC138" s="303"/>
      <c r="BD138" s="303"/>
      <c r="BE138" s="303"/>
      <c r="BF138" s="303"/>
    </row>
    <row r="139" spans="1:58" s="123" customFormat="1" ht="198">
      <c r="A139" s="330"/>
      <c r="B139" s="354"/>
      <c r="C139" s="330"/>
      <c r="D139" s="330"/>
      <c r="E139" s="330"/>
      <c r="F139" s="333"/>
      <c r="G139" s="353"/>
      <c r="H139" s="330"/>
      <c r="I139" s="330"/>
      <c r="J139" s="126"/>
      <c r="K139" s="126" t="s">
        <v>703</v>
      </c>
      <c r="L139" s="126" t="s">
        <v>968</v>
      </c>
      <c r="M139" s="146" t="s">
        <v>981</v>
      </c>
      <c r="N139" s="126" t="s">
        <v>270</v>
      </c>
      <c r="O139" s="118" t="s">
        <v>308</v>
      </c>
      <c r="P139" s="119"/>
      <c r="Q139" s="119"/>
      <c r="R139" s="119"/>
      <c r="S139" s="118" t="s">
        <v>308</v>
      </c>
      <c r="T139" s="120" t="s">
        <v>308</v>
      </c>
      <c r="U139" s="121">
        <v>46569</v>
      </c>
      <c r="V139" s="121">
        <v>46660</v>
      </c>
      <c r="W139" s="126">
        <v>90</v>
      </c>
      <c r="X139" s="189">
        <v>12562</v>
      </c>
      <c r="Y139" s="353"/>
      <c r="Z139" s="330"/>
      <c r="AA139" s="330"/>
      <c r="AB139" s="330"/>
      <c r="AC139" s="352"/>
      <c r="AD139" s="330"/>
      <c r="AE139" s="101">
        <v>60500000</v>
      </c>
      <c r="AF139" s="126" t="s">
        <v>75</v>
      </c>
      <c r="AG139" s="126" t="s">
        <v>60</v>
      </c>
      <c r="AH139" s="190">
        <v>46416</v>
      </c>
      <c r="AI139" s="101">
        <v>60500000</v>
      </c>
      <c r="AJ139" s="303"/>
      <c r="AK139" s="119"/>
      <c r="AL139" s="119"/>
      <c r="AM139" s="119"/>
      <c r="AN139" s="126" t="s">
        <v>975</v>
      </c>
      <c r="AO139" s="330"/>
      <c r="AP139" s="303"/>
      <c r="AQ139" s="305"/>
      <c r="AR139" s="303"/>
      <c r="AS139" s="305"/>
      <c r="AT139" s="303"/>
      <c r="AU139" s="303"/>
      <c r="AV139" s="303"/>
      <c r="AW139" s="303"/>
      <c r="AX139" s="303"/>
      <c r="AY139" s="303"/>
      <c r="AZ139" s="303"/>
      <c r="BA139" s="303"/>
      <c r="BB139" s="303"/>
      <c r="BC139" s="303"/>
      <c r="BD139" s="303"/>
      <c r="BE139" s="303"/>
      <c r="BF139" s="303"/>
    </row>
    <row r="140" spans="1:58" s="123" customFormat="1" ht="144">
      <c r="A140" s="330"/>
      <c r="B140" s="354"/>
      <c r="C140" s="330"/>
      <c r="D140" s="330"/>
      <c r="E140" s="330"/>
      <c r="F140" s="333"/>
      <c r="G140" s="353"/>
      <c r="H140" s="330"/>
      <c r="I140" s="330"/>
      <c r="J140" s="126"/>
      <c r="K140" s="126" t="s">
        <v>705</v>
      </c>
      <c r="L140" s="126" t="s">
        <v>968</v>
      </c>
      <c r="M140" s="146" t="s">
        <v>982</v>
      </c>
      <c r="N140" s="126" t="s">
        <v>270</v>
      </c>
      <c r="O140" s="118" t="s">
        <v>308</v>
      </c>
      <c r="P140" s="119"/>
      <c r="Q140" s="119"/>
      <c r="R140" s="119"/>
      <c r="S140" s="118" t="s">
        <v>308</v>
      </c>
      <c r="T140" s="120" t="s">
        <v>308</v>
      </c>
      <c r="U140" s="121">
        <v>46569</v>
      </c>
      <c r="V140" s="121">
        <v>46752</v>
      </c>
      <c r="W140" s="126">
        <v>180</v>
      </c>
      <c r="X140" s="189">
        <v>12562</v>
      </c>
      <c r="Y140" s="353"/>
      <c r="Z140" s="330"/>
      <c r="AA140" s="330"/>
      <c r="AB140" s="330"/>
      <c r="AC140" s="352"/>
      <c r="AD140" s="330"/>
      <c r="AE140" s="101">
        <v>32750000</v>
      </c>
      <c r="AF140" s="126" t="s">
        <v>75</v>
      </c>
      <c r="AG140" s="126" t="s">
        <v>60</v>
      </c>
      <c r="AH140" s="190">
        <v>46416</v>
      </c>
      <c r="AI140" s="101">
        <v>32750000</v>
      </c>
      <c r="AJ140" s="303"/>
      <c r="AK140" s="119"/>
      <c r="AL140" s="119"/>
      <c r="AM140" s="119"/>
      <c r="AN140" s="126" t="s">
        <v>975</v>
      </c>
      <c r="AO140" s="330"/>
      <c r="AP140" s="303"/>
      <c r="AQ140" s="305"/>
      <c r="AR140" s="303"/>
      <c r="AS140" s="305"/>
      <c r="AT140" s="303"/>
      <c r="AU140" s="303"/>
      <c r="AV140" s="303"/>
      <c r="AW140" s="303"/>
      <c r="AX140" s="303"/>
      <c r="AY140" s="303"/>
      <c r="AZ140" s="303"/>
      <c r="BA140" s="303"/>
      <c r="BB140" s="303"/>
      <c r="BC140" s="303"/>
      <c r="BD140" s="303"/>
      <c r="BE140" s="303"/>
      <c r="BF140" s="303"/>
    </row>
    <row r="141" spans="1:58" s="123" customFormat="1" ht="66" customHeight="1">
      <c r="A141" s="126"/>
      <c r="B141" s="115"/>
      <c r="C141" s="126"/>
      <c r="D141" s="126"/>
      <c r="E141" s="126"/>
      <c r="F141" s="145"/>
      <c r="G141" s="146"/>
      <c r="H141" s="126"/>
      <c r="I141" s="126"/>
      <c r="J141" s="126"/>
      <c r="K141" s="302" t="s">
        <v>1303</v>
      </c>
      <c r="L141" s="302"/>
      <c r="M141" s="302"/>
      <c r="N141" s="302"/>
      <c r="O141" s="302"/>
      <c r="P141" s="302"/>
      <c r="Q141" s="302"/>
      <c r="R141" s="302"/>
      <c r="S141" s="302"/>
      <c r="T141" s="140">
        <f>AVERAGE(T136:T140)</f>
        <v>0.51250000000000007</v>
      </c>
      <c r="U141" s="121"/>
      <c r="V141" s="121"/>
      <c r="W141" s="126"/>
      <c r="X141" s="189"/>
      <c r="Y141" s="146"/>
      <c r="Z141" s="126"/>
      <c r="AA141" s="126"/>
      <c r="AB141" s="126"/>
      <c r="AC141" s="174"/>
      <c r="AD141" s="126"/>
      <c r="AE141" s="304" t="s">
        <v>1304</v>
      </c>
      <c r="AF141" s="304"/>
      <c r="AG141" s="304"/>
      <c r="AH141" s="304"/>
      <c r="AI141" s="304"/>
      <c r="AJ141" s="141">
        <f>+AJ136</f>
        <v>500000000</v>
      </c>
      <c r="AK141" s="191"/>
      <c r="AL141" s="191"/>
      <c r="AM141" s="191"/>
      <c r="AN141" s="115"/>
      <c r="AO141" s="115"/>
      <c r="AP141" s="141">
        <f>+AP136</f>
        <v>74720000</v>
      </c>
      <c r="AQ141" s="192">
        <f>+AQ136</f>
        <v>0.14943999999999999</v>
      </c>
      <c r="AR141" s="141">
        <f>+AR136</f>
        <v>10120000</v>
      </c>
      <c r="AS141" s="192">
        <f>+AS136</f>
        <v>2.0240000000000001E-2</v>
      </c>
      <c r="AT141" s="191"/>
      <c r="AU141" s="191"/>
      <c r="AV141" s="191"/>
      <c r="AW141" s="191"/>
      <c r="AX141" s="191"/>
      <c r="AY141" s="191"/>
      <c r="AZ141" s="191"/>
      <c r="BA141" s="191"/>
      <c r="BB141" s="191"/>
      <c r="BC141" s="191"/>
      <c r="BD141" s="191"/>
      <c r="BE141" s="191"/>
      <c r="BF141" s="193"/>
    </row>
    <row r="142" spans="1:58" s="123" customFormat="1" ht="90">
      <c r="A142" s="324" t="s">
        <v>415</v>
      </c>
      <c r="B142" s="324" t="s">
        <v>416</v>
      </c>
      <c r="C142" s="324" t="s">
        <v>417</v>
      </c>
      <c r="D142" s="122" t="s">
        <v>419</v>
      </c>
      <c r="E142" s="306" t="s">
        <v>983</v>
      </c>
      <c r="F142" s="324">
        <v>2024130010204</v>
      </c>
      <c r="G142" s="306" t="s">
        <v>984</v>
      </c>
      <c r="H142" s="122" t="s">
        <v>985</v>
      </c>
      <c r="I142" s="122" t="s">
        <v>986</v>
      </c>
      <c r="J142" s="95"/>
      <c r="K142" s="122" t="s">
        <v>987</v>
      </c>
      <c r="L142" s="131" t="s">
        <v>692</v>
      </c>
      <c r="M142" s="122" t="s">
        <v>988</v>
      </c>
      <c r="N142" s="122" t="s">
        <v>270</v>
      </c>
      <c r="O142" s="118" t="s">
        <v>308</v>
      </c>
      <c r="P142" s="119"/>
      <c r="Q142" s="119"/>
      <c r="R142" s="119"/>
      <c r="S142" s="118">
        <f t="shared" si="6"/>
        <v>0</v>
      </c>
      <c r="T142" s="120" t="s">
        <v>308</v>
      </c>
      <c r="U142" s="122" t="s">
        <v>270</v>
      </c>
      <c r="V142" s="122" t="s">
        <v>270</v>
      </c>
      <c r="W142" s="122" t="s">
        <v>270</v>
      </c>
      <c r="X142" s="122" t="s">
        <v>270</v>
      </c>
      <c r="Y142" s="122" t="s">
        <v>270</v>
      </c>
      <c r="Z142" s="306" t="s">
        <v>768</v>
      </c>
      <c r="AA142" s="306" t="s">
        <v>989</v>
      </c>
      <c r="AB142" s="306" t="s">
        <v>990</v>
      </c>
      <c r="AC142" s="131" t="s">
        <v>270</v>
      </c>
      <c r="AD142" s="131" t="s">
        <v>270</v>
      </c>
      <c r="AE142" s="131" t="s">
        <v>270</v>
      </c>
      <c r="AF142" s="131" t="s">
        <v>270</v>
      </c>
      <c r="AG142" s="131" t="s">
        <v>270</v>
      </c>
      <c r="AH142" s="131" t="s">
        <v>270</v>
      </c>
      <c r="AI142" s="350">
        <v>1</v>
      </c>
      <c r="AJ142" s="135"/>
      <c r="AK142" s="119"/>
      <c r="AL142" s="119"/>
      <c r="AM142" s="119"/>
      <c r="AN142" s="350" t="s">
        <v>699</v>
      </c>
      <c r="AO142" s="350" t="s">
        <v>991</v>
      </c>
      <c r="AP142" s="136"/>
      <c r="AQ142" s="136"/>
      <c r="AR142" s="136"/>
      <c r="AS142" s="136"/>
      <c r="AT142" s="119"/>
      <c r="AU142" s="119"/>
      <c r="AV142" s="119"/>
      <c r="AW142" s="119"/>
      <c r="AX142" s="119"/>
      <c r="AY142" s="119"/>
      <c r="AZ142" s="119"/>
      <c r="BA142" s="119"/>
      <c r="BB142" s="119"/>
      <c r="BC142" s="119"/>
      <c r="BD142" s="119"/>
      <c r="BE142" s="119"/>
      <c r="BF142" s="154"/>
    </row>
    <row r="143" spans="1:58" s="123" customFormat="1" ht="54">
      <c r="A143" s="324"/>
      <c r="B143" s="324"/>
      <c r="C143" s="324"/>
      <c r="D143" s="306" t="s">
        <v>421</v>
      </c>
      <c r="E143" s="306"/>
      <c r="F143" s="324"/>
      <c r="G143" s="306"/>
      <c r="H143" s="306" t="s">
        <v>992</v>
      </c>
      <c r="I143" s="306" t="s">
        <v>836</v>
      </c>
      <c r="J143" s="95"/>
      <c r="K143" s="122" t="s">
        <v>993</v>
      </c>
      <c r="L143" s="131" t="s">
        <v>692</v>
      </c>
      <c r="M143" s="122" t="s">
        <v>988</v>
      </c>
      <c r="N143" s="122" t="s">
        <v>270</v>
      </c>
      <c r="O143" s="118" t="s">
        <v>308</v>
      </c>
      <c r="P143" s="119"/>
      <c r="Q143" s="119"/>
      <c r="R143" s="119"/>
      <c r="S143" s="118">
        <f t="shared" si="6"/>
        <v>0</v>
      </c>
      <c r="T143" s="120" t="s">
        <v>308</v>
      </c>
      <c r="U143" s="122" t="s">
        <v>270</v>
      </c>
      <c r="V143" s="122" t="s">
        <v>270</v>
      </c>
      <c r="W143" s="122" t="s">
        <v>270</v>
      </c>
      <c r="X143" s="122" t="s">
        <v>270</v>
      </c>
      <c r="Y143" s="122" t="s">
        <v>270</v>
      </c>
      <c r="Z143" s="306"/>
      <c r="AA143" s="306"/>
      <c r="AB143" s="306"/>
      <c r="AC143" s="131" t="s">
        <v>270</v>
      </c>
      <c r="AD143" s="131" t="s">
        <v>270</v>
      </c>
      <c r="AE143" s="131" t="s">
        <v>270</v>
      </c>
      <c r="AF143" s="131" t="s">
        <v>270</v>
      </c>
      <c r="AG143" s="131" t="s">
        <v>270</v>
      </c>
      <c r="AH143" s="131" t="s">
        <v>270</v>
      </c>
      <c r="AI143" s="350"/>
      <c r="AJ143" s="135"/>
      <c r="AK143" s="119"/>
      <c r="AL143" s="119"/>
      <c r="AM143" s="119"/>
      <c r="AN143" s="350"/>
      <c r="AO143" s="350"/>
      <c r="AP143" s="136"/>
      <c r="AQ143" s="136"/>
      <c r="AR143" s="136"/>
      <c r="AS143" s="136"/>
      <c r="AT143" s="119"/>
      <c r="AU143" s="119"/>
      <c r="AV143" s="119"/>
      <c r="AW143" s="119"/>
      <c r="AX143" s="119"/>
      <c r="AY143" s="119"/>
      <c r="AZ143" s="119"/>
      <c r="BA143" s="119"/>
      <c r="BB143" s="119"/>
      <c r="BC143" s="119"/>
      <c r="BD143" s="119"/>
      <c r="BE143" s="119"/>
      <c r="BF143" s="154"/>
    </row>
    <row r="144" spans="1:58" s="123" customFormat="1" ht="126">
      <c r="A144" s="324"/>
      <c r="B144" s="324"/>
      <c r="C144" s="324"/>
      <c r="D144" s="306"/>
      <c r="E144" s="306"/>
      <c r="F144" s="324"/>
      <c r="G144" s="306"/>
      <c r="H144" s="306"/>
      <c r="I144" s="306"/>
      <c r="J144" s="95"/>
      <c r="K144" s="131" t="s">
        <v>720</v>
      </c>
      <c r="L144" s="131" t="s">
        <v>692</v>
      </c>
      <c r="M144" s="131" t="s">
        <v>721</v>
      </c>
      <c r="N144" s="131">
        <v>10</v>
      </c>
      <c r="O144" s="118" t="s">
        <v>308</v>
      </c>
      <c r="P144" s="119"/>
      <c r="Q144" s="119"/>
      <c r="R144" s="119"/>
      <c r="S144" s="118">
        <f t="shared" si="6"/>
        <v>0</v>
      </c>
      <c r="T144" s="120" t="s">
        <v>308</v>
      </c>
      <c r="U144" s="121">
        <v>46113</v>
      </c>
      <c r="V144" s="121">
        <v>46357</v>
      </c>
      <c r="W144" s="124">
        <f>9*30</f>
        <v>270</v>
      </c>
      <c r="X144" s="131" t="s">
        <v>722</v>
      </c>
      <c r="Y144" s="131" t="s">
        <v>723</v>
      </c>
      <c r="Z144" s="306"/>
      <c r="AA144" s="306"/>
      <c r="AB144" s="306"/>
      <c r="AC144" s="131" t="s">
        <v>270</v>
      </c>
      <c r="AD144" s="131" t="s">
        <v>270</v>
      </c>
      <c r="AE144" s="131" t="s">
        <v>270</v>
      </c>
      <c r="AF144" s="131" t="s">
        <v>270</v>
      </c>
      <c r="AG144" s="131" t="s">
        <v>270</v>
      </c>
      <c r="AH144" s="131" t="s">
        <v>270</v>
      </c>
      <c r="AI144" s="350"/>
      <c r="AJ144" s="135"/>
      <c r="AK144" s="119"/>
      <c r="AL144" s="119"/>
      <c r="AM144" s="119"/>
      <c r="AN144" s="350"/>
      <c r="AO144" s="350"/>
      <c r="AP144" s="136"/>
      <c r="AQ144" s="136"/>
      <c r="AR144" s="136"/>
      <c r="AS144" s="136"/>
      <c r="AT144" s="119"/>
      <c r="AU144" s="119"/>
      <c r="AV144" s="119"/>
      <c r="AW144" s="119"/>
      <c r="AX144" s="119"/>
      <c r="AY144" s="119"/>
      <c r="AZ144" s="119"/>
      <c r="BA144" s="119"/>
      <c r="BB144" s="119"/>
      <c r="BC144" s="119"/>
      <c r="BD144" s="119"/>
      <c r="BE144" s="119"/>
      <c r="BF144" s="154"/>
    </row>
    <row r="145" spans="1:58" s="123" customFormat="1" ht="102" customHeight="1">
      <c r="A145" s="124"/>
      <c r="B145" s="124"/>
      <c r="C145" s="124"/>
      <c r="D145" s="122"/>
      <c r="E145" s="122"/>
      <c r="F145" s="124"/>
      <c r="G145" s="122"/>
      <c r="H145" s="122"/>
      <c r="I145" s="122"/>
      <c r="J145" s="95"/>
      <c r="K145" s="302" t="s">
        <v>1326</v>
      </c>
      <c r="L145" s="302"/>
      <c r="M145" s="302"/>
      <c r="N145" s="302"/>
      <c r="O145" s="302"/>
      <c r="P145" s="302"/>
      <c r="Q145" s="302"/>
      <c r="R145" s="302"/>
      <c r="S145" s="302"/>
      <c r="T145" s="140" t="s">
        <v>308</v>
      </c>
      <c r="U145" s="121"/>
      <c r="V145" s="121"/>
      <c r="W145" s="124"/>
      <c r="X145" s="131"/>
      <c r="Y145" s="131"/>
      <c r="Z145" s="122"/>
      <c r="AA145" s="122"/>
      <c r="AB145" s="122"/>
      <c r="AC145" s="131"/>
      <c r="AD145" s="131"/>
      <c r="AE145" s="131"/>
      <c r="AF145" s="131"/>
      <c r="AG145" s="131"/>
      <c r="AH145" s="131"/>
      <c r="AI145" s="98"/>
      <c r="AJ145" s="135"/>
      <c r="AK145" s="119"/>
      <c r="AL145" s="119"/>
      <c r="AM145" s="119"/>
      <c r="AN145" s="98"/>
      <c r="AO145" s="98"/>
      <c r="AP145" s="136"/>
      <c r="AQ145" s="136"/>
      <c r="AR145" s="136"/>
      <c r="AS145" s="136"/>
      <c r="AT145" s="119"/>
      <c r="AU145" s="119"/>
      <c r="AV145" s="119"/>
      <c r="AW145" s="119"/>
      <c r="AX145" s="119"/>
      <c r="AY145" s="119"/>
      <c r="AZ145" s="119"/>
      <c r="BA145" s="119"/>
      <c r="BB145" s="119"/>
      <c r="BC145" s="119"/>
      <c r="BD145" s="119"/>
      <c r="BE145" s="119"/>
      <c r="BF145" s="154"/>
    </row>
    <row r="146" spans="1:58" s="123" customFormat="1" ht="90">
      <c r="A146" s="332" t="s">
        <v>427</v>
      </c>
      <c r="B146" s="332" t="s">
        <v>428</v>
      </c>
      <c r="C146" s="332" t="s">
        <v>429</v>
      </c>
      <c r="D146" s="122" t="s">
        <v>431</v>
      </c>
      <c r="E146" s="306" t="s">
        <v>994</v>
      </c>
      <c r="F146" s="324">
        <v>2024130010186</v>
      </c>
      <c r="G146" s="306" t="s">
        <v>995</v>
      </c>
      <c r="H146" s="306" t="s">
        <v>996</v>
      </c>
      <c r="I146" s="306" t="s">
        <v>997</v>
      </c>
      <c r="J146" s="95"/>
      <c r="K146" s="122" t="s">
        <v>998</v>
      </c>
      <c r="L146" s="122"/>
      <c r="M146" s="306" t="s">
        <v>999</v>
      </c>
      <c r="N146" s="122">
        <v>2</v>
      </c>
      <c r="O146" s="118">
        <v>0</v>
      </c>
      <c r="P146" s="119"/>
      <c r="Q146" s="119"/>
      <c r="R146" s="119"/>
      <c r="S146" s="118">
        <f t="shared" si="6"/>
        <v>0</v>
      </c>
      <c r="T146" s="120">
        <f t="shared" si="7"/>
        <v>0</v>
      </c>
      <c r="U146" s="122" t="s">
        <v>799</v>
      </c>
      <c r="V146" s="122" t="s">
        <v>785</v>
      </c>
      <c r="W146" s="122">
        <f>11*30</f>
        <v>330</v>
      </c>
      <c r="X146" s="122" t="s">
        <v>722</v>
      </c>
      <c r="Y146" s="122" t="s">
        <v>723</v>
      </c>
      <c r="Z146" s="306" t="s">
        <v>768</v>
      </c>
      <c r="AA146" s="306" t="s">
        <v>1000</v>
      </c>
      <c r="AB146" s="306" t="s">
        <v>1001</v>
      </c>
      <c r="AC146" s="306" t="s">
        <v>937</v>
      </c>
      <c r="AD146" s="137" t="s">
        <v>1002</v>
      </c>
      <c r="AE146" s="99">
        <v>299050714.29000002</v>
      </c>
      <c r="AF146" s="306" t="s">
        <v>61</v>
      </c>
      <c r="AG146" s="306" t="s">
        <v>52</v>
      </c>
      <c r="AH146" s="306"/>
      <c r="AI146" s="99">
        <v>299050714.29000002</v>
      </c>
      <c r="AJ146" s="303">
        <v>825000000</v>
      </c>
      <c r="AK146" s="119"/>
      <c r="AL146" s="119"/>
      <c r="AM146" s="119"/>
      <c r="AN146" s="306" t="s">
        <v>52</v>
      </c>
      <c r="AO146" s="306" t="s">
        <v>1003</v>
      </c>
      <c r="AP146" s="303">
        <v>350157200</v>
      </c>
      <c r="AQ146" s="305">
        <f>+AP146/AJ146</f>
        <v>0.4244329696969697</v>
      </c>
      <c r="AR146" s="303">
        <v>90819700</v>
      </c>
      <c r="AS146" s="305">
        <f>+AR146/AJ146</f>
        <v>0.11008448484848485</v>
      </c>
      <c r="AT146" s="303"/>
      <c r="AU146" s="303"/>
      <c r="AV146" s="303"/>
      <c r="AW146" s="303"/>
      <c r="AX146" s="303"/>
      <c r="AY146" s="303"/>
      <c r="AZ146" s="303"/>
      <c r="BA146" s="303"/>
      <c r="BB146" s="303"/>
      <c r="BC146" s="303"/>
      <c r="BD146" s="303"/>
      <c r="BE146" s="303"/>
      <c r="BF146" s="303"/>
    </row>
    <row r="147" spans="1:58" s="123" customFormat="1" ht="126">
      <c r="A147" s="332"/>
      <c r="B147" s="332"/>
      <c r="C147" s="332"/>
      <c r="D147" s="122" t="s">
        <v>433</v>
      </c>
      <c r="E147" s="306"/>
      <c r="F147" s="324"/>
      <c r="G147" s="306"/>
      <c r="H147" s="306"/>
      <c r="I147" s="306"/>
      <c r="J147" s="95"/>
      <c r="K147" s="122" t="s">
        <v>1004</v>
      </c>
      <c r="L147" s="122"/>
      <c r="M147" s="306"/>
      <c r="N147" s="122">
        <v>2</v>
      </c>
      <c r="O147" s="118">
        <v>1</v>
      </c>
      <c r="P147" s="119"/>
      <c r="Q147" s="119"/>
      <c r="R147" s="119"/>
      <c r="S147" s="118">
        <f t="shared" si="6"/>
        <v>1</v>
      </c>
      <c r="T147" s="120">
        <f t="shared" si="7"/>
        <v>0.5</v>
      </c>
      <c r="U147" s="122" t="s">
        <v>799</v>
      </c>
      <c r="V147" s="122" t="s">
        <v>785</v>
      </c>
      <c r="W147" s="122">
        <v>330</v>
      </c>
      <c r="X147" s="122" t="s">
        <v>722</v>
      </c>
      <c r="Y147" s="122" t="s">
        <v>723</v>
      </c>
      <c r="Z147" s="306"/>
      <c r="AA147" s="306"/>
      <c r="AB147" s="306"/>
      <c r="AC147" s="306"/>
      <c r="AD147" s="137" t="s">
        <v>1005</v>
      </c>
      <c r="AE147" s="99">
        <v>30190230</v>
      </c>
      <c r="AF147" s="306"/>
      <c r="AG147" s="306"/>
      <c r="AH147" s="306"/>
      <c r="AI147" s="99">
        <v>30190230</v>
      </c>
      <c r="AJ147" s="303"/>
      <c r="AK147" s="119"/>
      <c r="AL147" s="119"/>
      <c r="AM147" s="119"/>
      <c r="AN147" s="306"/>
      <c r="AO147" s="306"/>
      <c r="AP147" s="303"/>
      <c r="AQ147" s="305"/>
      <c r="AR147" s="303"/>
      <c r="AS147" s="305"/>
      <c r="AT147" s="303"/>
      <c r="AU147" s="303"/>
      <c r="AV147" s="303"/>
      <c r="AW147" s="303"/>
      <c r="AX147" s="303"/>
      <c r="AY147" s="303"/>
      <c r="AZ147" s="303"/>
      <c r="BA147" s="303"/>
      <c r="BB147" s="303"/>
      <c r="BC147" s="303"/>
      <c r="BD147" s="303"/>
      <c r="BE147" s="303"/>
      <c r="BF147" s="303"/>
    </row>
    <row r="148" spans="1:58" s="123" customFormat="1" ht="90">
      <c r="A148" s="332"/>
      <c r="B148" s="332"/>
      <c r="C148" s="332"/>
      <c r="D148" s="122" t="s">
        <v>435</v>
      </c>
      <c r="E148" s="306"/>
      <c r="F148" s="324"/>
      <c r="G148" s="306"/>
      <c r="H148" s="306"/>
      <c r="I148" s="306" t="s">
        <v>301</v>
      </c>
      <c r="J148" s="95"/>
      <c r="K148" s="122" t="s">
        <v>1006</v>
      </c>
      <c r="L148" s="122"/>
      <c r="M148" s="122" t="s">
        <v>1007</v>
      </c>
      <c r="N148" s="122">
        <v>1</v>
      </c>
      <c r="O148" s="118">
        <v>0</v>
      </c>
      <c r="P148" s="119"/>
      <c r="Q148" s="119"/>
      <c r="R148" s="119"/>
      <c r="S148" s="118">
        <f t="shared" si="6"/>
        <v>0</v>
      </c>
      <c r="T148" s="120">
        <f t="shared" si="7"/>
        <v>0</v>
      </c>
      <c r="U148" s="122" t="s">
        <v>799</v>
      </c>
      <c r="V148" s="122" t="s">
        <v>785</v>
      </c>
      <c r="W148" s="122">
        <v>330</v>
      </c>
      <c r="X148" s="122" t="s">
        <v>722</v>
      </c>
      <c r="Y148" s="122" t="s">
        <v>723</v>
      </c>
      <c r="Z148" s="306"/>
      <c r="AA148" s="306"/>
      <c r="AB148" s="306"/>
      <c r="AC148" s="306"/>
      <c r="AD148" s="137" t="s">
        <v>1005</v>
      </c>
      <c r="AE148" s="99">
        <v>40030469.399999797</v>
      </c>
      <c r="AF148" s="306"/>
      <c r="AG148" s="306"/>
      <c r="AH148" s="306"/>
      <c r="AI148" s="99">
        <v>40030469.399999797</v>
      </c>
      <c r="AJ148" s="303"/>
      <c r="AK148" s="119"/>
      <c r="AL148" s="119"/>
      <c r="AM148" s="119"/>
      <c r="AN148" s="306"/>
      <c r="AO148" s="306"/>
      <c r="AP148" s="303"/>
      <c r="AQ148" s="305"/>
      <c r="AR148" s="303"/>
      <c r="AS148" s="305"/>
      <c r="AT148" s="303"/>
      <c r="AU148" s="303"/>
      <c r="AV148" s="303"/>
      <c r="AW148" s="303"/>
      <c r="AX148" s="303"/>
      <c r="AY148" s="303"/>
      <c r="AZ148" s="303"/>
      <c r="BA148" s="303"/>
      <c r="BB148" s="303"/>
      <c r="BC148" s="303"/>
      <c r="BD148" s="303"/>
      <c r="BE148" s="303"/>
      <c r="BF148" s="303"/>
    </row>
    <row r="149" spans="1:58" s="123" customFormat="1" ht="90">
      <c r="A149" s="332"/>
      <c r="B149" s="332"/>
      <c r="C149" s="332"/>
      <c r="D149" s="122" t="s">
        <v>437</v>
      </c>
      <c r="E149" s="306"/>
      <c r="F149" s="324"/>
      <c r="G149" s="306"/>
      <c r="H149" s="306"/>
      <c r="I149" s="306"/>
      <c r="J149" s="95"/>
      <c r="K149" s="122" t="s">
        <v>1008</v>
      </c>
      <c r="L149" s="122"/>
      <c r="M149" s="122" t="s">
        <v>1009</v>
      </c>
      <c r="N149" s="122">
        <v>1</v>
      </c>
      <c r="O149" s="118">
        <v>7</v>
      </c>
      <c r="P149" s="119"/>
      <c r="Q149" s="119"/>
      <c r="R149" s="119"/>
      <c r="S149" s="118">
        <f t="shared" si="6"/>
        <v>7</v>
      </c>
      <c r="T149" s="120">
        <v>1</v>
      </c>
      <c r="U149" s="122" t="s">
        <v>799</v>
      </c>
      <c r="V149" s="122" t="s">
        <v>785</v>
      </c>
      <c r="W149" s="122">
        <v>330</v>
      </c>
      <c r="X149" s="122" t="s">
        <v>722</v>
      </c>
      <c r="Y149" s="122" t="s">
        <v>723</v>
      </c>
      <c r="Z149" s="306"/>
      <c r="AA149" s="306"/>
      <c r="AB149" s="306"/>
      <c r="AC149" s="306"/>
      <c r="AD149" s="137" t="s">
        <v>1002</v>
      </c>
      <c r="AE149" s="102">
        <v>276235140.72000003</v>
      </c>
      <c r="AF149" s="306"/>
      <c r="AG149" s="306"/>
      <c r="AH149" s="306"/>
      <c r="AI149" s="102">
        <v>276235140.72000003</v>
      </c>
      <c r="AJ149" s="303"/>
      <c r="AK149" s="119"/>
      <c r="AL149" s="119"/>
      <c r="AM149" s="119"/>
      <c r="AN149" s="306"/>
      <c r="AO149" s="306"/>
      <c r="AP149" s="303"/>
      <c r="AQ149" s="305"/>
      <c r="AR149" s="303"/>
      <c r="AS149" s="305"/>
      <c r="AT149" s="303"/>
      <c r="AU149" s="303"/>
      <c r="AV149" s="303"/>
      <c r="AW149" s="303"/>
      <c r="AX149" s="303"/>
      <c r="AY149" s="303"/>
      <c r="AZ149" s="303"/>
      <c r="BA149" s="303"/>
      <c r="BB149" s="303"/>
      <c r="BC149" s="303"/>
      <c r="BD149" s="303"/>
      <c r="BE149" s="303"/>
      <c r="BF149" s="303"/>
    </row>
    <row r="150" spans="1:58" s="123" customFormat="1" ht="126">
      <c r="A150" s="332"/>
      <c r="B150" s="332"/>
      <c r="C150" s="332"/>
      <c r="D150" s="306" t="s">
        <v>439</v>
      </c>
      <c r="E150" s="306"/>
      <c r="F150" s="324"/>
      <c r="G150" s="306"/>
      <c r="H150" s="306" t="s">
        <v>1010</v>
      </c>
      <c r="I150" s="122" t="s">
        <v>1011</v>
      </c>
      <c r="J150" s="95"/>
      <c r="K150" s="122" t="s">
        <v>1012</v>
      </c>
      <c r="L150" s="122"/>
      <c r="M150" s="122" t="s">
        <v>1013</v>
      </c>
      <c r="N150" s="122">
        <v>2</v>
      </c>
      <c r="O150" s="118">
        <v>1</v>
      </c>
      <c r="P150" s="119"/>
      <c r="Q150" s="119"/>
      <c r="R150" s="119"/>
      <c r="S150" s="118">
        <f t="shared" si="6"/>
        <v>1</v>
      </c>
      <c r="T150" s="120">
        <f t="shared" si="7"/>
        <v>0.5</v>
      </c>
      <c r="U150" s="122" t="s">
        <v>799</v>
      </c>
      <c r="V150" s="122" t="s">
        <v>785</v>
      </c>
      <c r="W150" s="122">
        <v>330</v>
      </c>
      <c r="X150" s="122" t="s">
        <v>722</v>
      </c>
      <c r="Y150" s="122" t="s">
        <v>723</v>
      </c>
      <c r="Z150" s="306"/>
      <c r="AA150" s="306"/>
      <c r="AB150" s="306"/>
      <c r="AC150" s="306"/>
      <c r="AD150" s="137" t="s">
        <v>1002</v>
      </c>
      <c r="AE150" s="99">
        <v>93239404.761904746</v>
      </c>
      <c r="AF150" s="306"/>
      <c r="AG150" s="306"/>
      <c r="AH150" s="306"/>
      <c r="AI150" s="99">
        <v>93239404.761904746</v>
      </c>
      <c r="AJ150" s="303"/>
      <c r="AK150" s="119"/>
      <c r="AL150" s="119"/>
      <c r="AM150" s="119"/>
      <c r="AN150" s="306"/>
      <c r="AO150" s="306"/>
      <c r="AP150" s="303"/>
      <c r="AQ150" s="305"/>
      <c r="AR150" s="303"/>
      <c r="AS150" s="305"/>
      <c r="AT150" s="303"/>
      <c r="AU150" s="303"/>
      <c r="AV150" s="303"/>
      <c r="AW150" s="303"/>
      <c r="AX150" s="303"/>
      <c r="AY150" s="303"/>
      <c r="AZ150" s="303"/>
      <c r="BA150" s="303"/>
      <c r="BB150" s="303"/>
      <c r="BC150" s="303"/>
      <c r="BD150" s="303"/>
      <c r="BE150" s="303"/>
      <c r="BF150" s="303"/>
    </row>
    <row r="151" spans="1:58" s="123" customFormat="1" ht="180">
      <c r="A151" s="332"/>
      <c r="B151" s="332"/>
      <c r="C151" s="332"/>
      <c r="D151" s="306"/>
      <c r="E151" s="306"/>
      <c r="F151" s="324"/>
      <c r="G151" s="306"/>
      <c r="H151" s="306"/>
      <c r="I151" s="122" t="s">
        <v>1014</v>
      </c>
      <c r="J151" s="95"/>
      <c r="K151" s="122" t="s">
        <v>1015</v>
      </c>
      <c r="L151" s="122"/>
      <c r="M151" s="122" t="s">
        <v>1016</v>
      </c>
      <c r="N151" s="122">
        <v>0.55000000000000004</v>
      </c>
      <c r="O151" s="118">
        <v>0.05</v>
      </c>
      <c r="P151" s="119"/>
      <c r="Q151" s="119"/>
      <c r="R151" s="119"/>
      <c r="S151" s="118">
        <f t="shared" si="6"/>
        <v>0.05</v>
      </c>
      <c r="T151" s="120">
        <f t="shared" si="7"/>
        <v>9.0909090909090912E-2</v>
      </c>
      <c r="U151" s="122" t="s">
        <v>799</v>
      </c>
      <c r="V151" s="122" t="s">
        <v>785</v>
      </c>
      <c r="W151" s="122">
        <v>330</v>
      </c>
      <c r="X151" s="122" t="s">
        <v>722</v>
      </c>
      <c r="Y151" s="122" t="s">
        <v>723</v>
      </c>
      <c r="Z151" s="306"/>
      <c r="AA151" s="122" t="s">
        <v>1017</v>
      </c>
      <c r="AB151" s="122" t="s">
        <v>1018</v>
      </c>
      <c r="AC151" s="122" t="s">
        <v>937</v>
      </c>
      <c r="AD151" s="122" t="s">
        <v>1002</v>
      </c>
      <c r="AE151" s="99">
        <v>86254040.299999997</v>
      </c>
      <c r="AF151" s="122" t="s">
        <v>61</v>
      </c>
      <c r="AG151" s="122" t="s">
        <v>60</v>
      </c>
      <c r="AH151" s="122"/>
      <c r="AI151" s="99">
        <v>86254040.299999997</v>
      </c>
      <c r="AJ151" s="303"/>
      <c r="AK151" s="119"/>
      <c r="AL151" s="119"/>
      <c r="AM151" s="119"/>
      <c r="AN151" s="122" t="s">
        <v>60</v>
      </c>
      <c r="AO151" s="306"/>
      <c r="AP151" s="303"/>
      <c r="AQ151" s="305"/>
      <c r="AR151" s="303"/>
      <c r="AS151" s="305"/>
      <c r="AT151" s="303"/>
      <c r="AU151" s="303"/>
      <c r="AV151" s="303"/>
      <c r="AW151" s="303"/>
      <c r="AX151" s="303"/>
      <c r="AY151" s="303"/>
      <c r="AZ151" s="303"/>
      <c r="BA151" s="303"/>
      <c r="BB151" s="303"/>
      <c r="BC151" s="303"/>
      <c r="BD151" s="303"/>
      <c r="BE151" s="303"/>
      <c r="BF151" s="303"/>
    </row>
    <row r="152" spans="1:58" s="123" customFormat="1" ht="51" customHeight="1">
      <c r="A152" s="166"/>
      <c r="B152" s="166"/>
      <c r="C152" s="166"/>
      <c r="D152" s="122"/>
      <c r="E152" s="122"/>
      <c r="F152" s="124"/>
      <c r="G152" s="122"/>
      <c r="H152" s="122"/>
      <c r="I152" s="122"/>
      <c r="J152" s="95"/>
      <c r="K152" s="302" t="s">
        <v>1305</v>
      </c>
      <c r="L152" s="302"/>
      <c r="M152" s="302"/>
      <c r="N152" s="302"/>
      <c r="O152" s="302"/>
      <c r="P152" s="302"/>
      <c r="Q152" s="302"/>
      <c r="R152" s="302"/>
      <c r="S152" s="302"/>
      <c r="T152" s="128">
        <f>AVERAGE(T146:T151)</f>
        <v>0.34848484848484845</v>
      </c>
      <c r="U152" s="122"/>
      <c r="V152" s="122"/>
      <c r="W152" s="122"/>
      <c r="X152" s="122"/>
      <c r="Y152" s="122"/>
      <c r="Z152" s="122"/>
      <c r="AA152" s="122"/>
      <c r="AB152" s="122"/>
      <c r="AC152" s="122"/>
      <c r="AD152" s="122"/>
      <c r="AE152" s="304" t="s">
        <v>1306</v>
      </c>
      <c r="AF152" s="304"/>
      <c r="AG152" s="304"/>
      <c r="AH152" s="304"/>
      <c r="AI152" s="304"/>
      <c r="AJ152" s="129">
        <f>+AJ146</f>
        <v>825000000</v>
      </c>
      <c r="AK152" s="187"/>
      <c r="AL152" s="187"/>
      <c r="AM152" s="187"/>
      <c r="AN152" s="172"/>
      <c r="AO152" s="172"/>
      <c r="AP152" s="129">
        <f>+AP146</f>
        <v>350157200</v>
      </c>
      <c r="AQ152" s="140">
        <f t="shared" ref="AQ152:AS152" si="12">+AQ146</f>
        <v>0.4244329696969697</v>
      </c>
      <c r="AR152" s="129">
        <f t="shared" si="12"/>
        <v>90819700</v>
      </c>
      <c r="AS152" s="140">
        <f t="shared" si="12"/>
        <v>0.11008448484848485</v>
      </c>
      <c r="AT152" s="119"/>
      <c r="AU152" s="119"/>
      <c r="AV152" s="119"/>
      <c r="AW152" s="119"/>
      <c r="AX152" s="119"/>
      <c r="AY152" s="119"/>
      <c r="AZ152" s="119"/>
      <c r="BA152" s="119"/>
      <c r="BB152" s="119"/>
      <c r="BC152" s="119"/>
      <c r="BD152" s="119"/>
      <c r="BE152" s="119"/>
      <c r="BF152" s="154"/>
    </row>
    <row r="153" spans="1:58" s="123" customFormat="1" ht="36">
      <c r="A153" s="331"/>
      <c r="B153" s="331" t="s">
        <v>440</v>
      </c>
      <c r="C153" s="331" t="s">
        <v>441</v>
      </c>
      <c r="D153" s="306" t="s">
        <v>443</v>
      </c>
      <c r="E153" s="306" t="s">
        <v>1019</v>
      </c>
      <c r="F153" s="324">
        <v>2024130010159</v>
      </c>
      <c r="G153" s="306" t="s">
        <v>1020</v>
      </c>
      <c r="H153" s="306" t="s">
        <v>1021</v>
      </c>
      <c r="I153" s="306" t="s">
        <v>1022</v>
      </c>
      <c r="J153" s="95">
        <v>0.05</v>
      </c>
      <c r="K153" s="122" t="s">
        <v>1023</v>
      </c>
      <c r="L153" s="122"/>
      <c r="M153" s="122" t="s">
        <v>1024</v>
      </c>
      <c r="N153" s="122">
        <v>1</v>
      </c>
      <c r="O153" s="118" t="s">
        <v>308</v>
      </c>
      <c r="P153" s="119"/>
      <c r="Q153" s="119"/>
      <c r="R153" s="119"/>
      <c r="S153" s="118" t="s">
        <v>308</v>
      </c>
      <c r="T153" s="120" t="s">
        <v>308</v>
      </c>
      <c r="U153" s="122" t="s">
        <v>1025</v>
      </c>
      <c r="V153" s="122" t="s">
        <v>785</v>
      </c>
      <c r="W153" s="122">
        <f>9*30</f>
        <v>270</v>
      </c>
      <c r="X153" s="122" t="s">
        <v>722</v>
      </c>
      <c r="Y153" s="122" t="s">
        <v>723</v>
      </c>
      <c r="Z153" s="306" t="s">
        <v>1026</v>
      </c>
      <c r="AA153" s="306" t="s">
        <v>1027</v>
      </c>
      <c r="AB153" s="306" t="s">
        <v>1028</v>
      </c>
      <c r="AC153" s="306" t="s">
        <v>937</v>
      </c>
      <c r="AD153" s="306" t="s">
        <v>1002</v>
      </c>
      <c r="AE153" s="173">
        <v>18150000</v>
      </c>
      <c r="AF153" s="306" t="s">
        <v>1029</v>
      </c>
      <c r="AG153" s="306" t="s">
        <v>52</v>
      </c>
      <c r="AH153" s="122" t="s">
        <v>1030</v>
      </c>
      <c r="AI153" s="173">
        <v>18150000</v>
      </c>
      <c r="AJ153" s="194">
        <v>37753571.409999996</v>
      </c>
      <c r="AK153" s="119"/>
      <c r="AL153" s="119"/>
      <c r="AM153" s="119"/>
      <c r="AN153" s="306" t="s">
        <v>1031</v>
      </c>
      <c r="AO153" s="306" t="s">
        <v>1032</v>
      </c>
      <c r="AP153" s="309">
        <v>464209890</v>
      </c>
      <c r="AQ153" s="305">
        <f>+AP153/AJ165</f>
        <v>0.32014475172413787</v>
      </c>
      <c r="AR153" s="309">
        <v>118034035</v>
      </c>
      <c r="AS153" s="305">
        <f>+AR153/AJ165</f>
        <v>8.1402782758620673E-2</v>
      </c>
      <c r="AT153" s="309"/>
      <c r="AU153" s="309"/>
      <c r="AV153" s="309"/>
      <c r="AW153" s="309"/>
      <c r="AX153" s="309"/>
      <c r="AY153" s="309">
        <v>5167087.1500000004</v>
      </c>
      <c r="AZ153" s="309"/>
      <c r="BA153" s="309"/>
      <c r="BB153" s="309"/>
      <c r="BC153" s="309"/>
      <c r="BD153" s="309"/>
      <c r="BE153" s="309"/>
      <c r="BF153" s="309"/>
    </row>
    <row r="154" spans="1:58" s="123" customFormat="1" ht="126">
      <c r="A154" s="331"/>
      <c r="B154" s="331"/>
      <c r="C154" s="331"/>
      <c r="D154" s="306"/>
      <c r="E154" s="306"/>
      <c r="F154" s="324"/>
      <c r="G154" s="306"/>
      <c r="H154" s="306"/>
      <c r="I154" s="306"/>
      <c r="J154" s="95">
        <v>0.05</v>
      </c>
      <c r="K154" s="122" t="s">
        <v>1033</v>
      </c>
      <c r="L154" s="122"/>
      <c r="M154" s="122" t="s">
        <v>1034</v>
      </c>
      <c r="N154" s="122">
        <v>2</v>
      </c>
      <c r="O154" s="118" t="s">
        <v>308</v>
      </c>
      <c r="P154" s="119"/>
      <c r="Q154" s="119"/>
      <c r="R154" s="119"/>
      <c r="S154" s="118" t="s">
        <v>308</v>
      </c>
      <c r="T154" s="120" t="s">
        <v>308</v>
      </c>
      <c r="U154" s="122" t="s">
        <v>1025</v>
      </c>
      <c r="V154" s="122" t="s">
        <v>785</v>
      </c>
      <c r="W154" s="122">
        <f>9*30</f>
        <v>270</v>
      </c>
      <c r="X154" s="122" t="s">
        <v>722</v>
      </c>
      <c r="Y154" s="122" t="s">
        <v>723</v>
      </c>
      <c r="Z154" s="306"/>
      <c r="AA154" s="306"/>
      <c r="AB154" s="306"/>
      <c r="AC154" s="306"/>
      <c r="AD154" s="306"/>
      <c r="AE154" s="173">
        <v>164350000</v>
      </c>
      <c r="AF154" s="306"/>
      <c r="AG154" s="306"/>
      <c r="AH154" s="122" t="s">
        <v>1030</v>
      </c>
      <c r="AI154" s="173">
        <v>164350000</v>
      </c>
      <c r="AJ154" s="194">
        <v>174886904.75999999</v>
      </c>
      <c r="AK154" s="119"/>
      <c r="AL154" s="119"/>
      <c r="AM154" s="119"/>
      <c r="AN154" s="306"/>
      <c r="AO154" s="306"/>
      <c r="AP154" s="309"/>
      <c r="AQ154" s="305"/>
      <c r="AR154" s="309"/>
      <c r="AS154" s="305"/>
      <c r="AT154" s="309"/>
      <c r="AU154" s="309"/>
      <c r="AV154" s="309"/>
      <c r="AW154" s="309"/>
      <c r="AX154" s="309"/>
      <c r="AY154" s="309">
        <v>21581371.719999999</v>
      </c>
      <c r="AZ154" s="309"/>
      <c r="BA154" s="309"/>
      <c r="BB154" s="309"/>
      <c r="BC154" s="309"/>
      <c r="BD154" s="309"/>
      <c r="BE154" s="309"/>
      <c r="BF154" s="309"/>
    </row>
    <row r="155" spans="1:58" s="123" customFormat="1" ht="72">
      <c r="A155" s="331"/>
      <c r="B155" s="331"/>
      <c r="C155" s="331"/>
      <c r="D155" s="306"/>
      <c r="E155" s="306"/>
      <c r="F155" s="324"/>
      <c r="G155" s="306"/>
      <c r="H155" s="306"/>
      <c r="I155" s="306"/>
      <c r="J155" s="95">
        <v>0.05</v>
      </c>
      <c r="K155" s="122" t="s">
        <v>1035</v>
      </c>
      <c r="L155" s="122"/>
      <c r="M155" s="122" t="s">
        <v>1036</v>
      </c>
      <c r="N155" s="122">
        <v>8</v>
      </c>
      <c r="O155" s="118">
        <v>2</v>
      </c>
      <c r="P155" s="119"/>
      <c r="Q155" s="119"/>
      <c r="R155" s="119"/>
      <c r="S155" s="118">
        <f t="shared" ref="S155:S222" si="13">SUM(O155:R155)</f>
        <v>2</v>
      </c>
      <c r="T155" s="120">
        <f t="shared" ref="T155:T222" si="14">+S155/N155</f>
        <v>0.25</v>
      </c>
      <c r="U155" s="122" t="s">
        <v>1030</v>
      </c>
      <c r="V155" s="122" t="s">
        <v>785</v>
      </c>
      <c r="W155" s="122">
        <f t="shared" ref="W155:W164" si="15">11*30</f>
        <v>330</v>
      </c>
      <c r="X155" s="122" t="s">
        <v>722</v>
      </c>
      <c r="Y155" s="122" t="s">
        <v>723</v>
      </c>
      <c r="Z155" s="306"/>
      <c r="AA155" s="306"/>
      <c r="AB155" s="306"/>
      <c r="AC155" s="306"/>
      <c r="AD155" s="306"/>
      <c r="AE155" s="173">
        <v>391490000</v>
      </c>
      <c r="AF155" s="306"/>
      <c r="AG155" s="306"/>
      <c r="AH155" s="122" t="s">
        <v>1030</v>
      </c>
      <c r="AI155" s="173">
        <v>391490000</v>
      </c>
      <c r="AJ155" s="194">
        <v>201011904.75999999</v>
      </c>
      <c r="AK155" s="119"/>
      <c r="AL155" s="119"/>
      <c r="AM155" s="119"/>
      <c r="AN155" s="306"/>
      <c r="AO155" s="306"/>
      <c r="AP155" s="309"/>
      <c r="AQ155" s="305"/>
      <c r="AR155" s="309"/>
      <c r="AS155" s="305"/>
      <c r="AT155" s="309"/>
      <c r="AU155" s="309"/>
      <c r="AV155" s="309"/>
      <c r="AW155" s="309"/>
      <c r="AX155" s="309"/>
      <c r="AY155" s="309">
        <v>23041131.719999999</v>
      </c>
      <c r="AZ155" s="309"/>
      <c r="BA155" s="309"/>
      <c r="BB155" s="309"/>
      <c r="BC155" s="309"/>
      <c r="BD155" s="309"/>
      <c r="BE155" s="309"/>
      <c r="BF155" s="309"/>
    </row>
    <row r="156" spans="1:58" s="123" customFormat="1" ht="54">
      <c r="A156" s="331"/>
      <c r="B156" s="331"/>
      <c r="C156" s="331"/>
      <c r="D156" s="306"/>
      <c r="E156" s="306"/>
      <c r="F156" s="324"/>
      <c r="G156" s="306"/>
      <c r="H156" s="306"/>
      <c r="I156" s="306"/>
      <c r="J156" s="95">
        <v>0.1</v>
      </c>
      <c r="K156" s="122" t="s">
        <v>1037</v>
      </c>
      <c r="L156" s="122"/>
      <c r="M156" s="122" t="s">
        <v>1038</v>
      </c>
      <c r="N156" s="122">
        <v>12</v>
      </c>
      <c r="O156" s="118">
        <v>3</v>
      </c>
      <c r="P156" s="119"/>
      <c r="Q156" s="119"/>
      <c r="R156" s="119"/>
      <c r="S156" s="118">
        <f t="shared" si="13"/>
        <v>3</v>
      </c>
      <c r="T156" s="120">
        <f t="shared" si="14"/>
        <v>0.25</v>
      </c>
      <c r="U156" s="122" t="s">
        <v>1030</v>
      </c>
      <c r="V156" s="122" t="s">
        <v>785</v>
      </c>
      <c r="W156" s="122">
        <f t="shared" si="15"/>
        <v>330</v>
      </c>
      <c r="X156" s="122" t="s">
        <v>722</v>
      </c>
      <c r="Y156" s="122" t="s">
        <v>723</v>
      </c>
      <c r="Z156" s="306"/>
      <c r="AA156" s="306"/>
      <c r="AB156" s="306" t="s">
        <v>1039</v>
      </c>
      <c r="AC156" s="306" t="s">
        <v>937</v>
      </c>
      <c r="AD156" s="306" t="s">
        <v>1005</v>
      </c>
      <c r="AE156" s="173">
        <v>218500000</v>
      </c>
      <c r="AF156" s="306"/>
      <c r="AG156" s="306"/>
      <c r="AH156" s="122" t="s">
        <v>1030</v>
      </c>
      <c r="AI156" s="173">
        <v>218500000</v>
      </c>
      <c r="AJ156" s="194">
        <v>408833333.35000002</v>
      </c>
      <c r="AK156" s="119"/>
      <c r="AL156" s="119"/>
      <c r="AM156" s="119"/>
      <c r="AN156" s="306"/>
      <c r="AO156" s="306"/>
      <c r="AP156" s="309"/>
      <c r="AQ156" s="305"/>
      <c r="AR156" s="309"/>
      <c r="AS156" s="305"/>
      <c r="AT156" s="309"/>
      <c r="AU156" s="309"/>
      <c r="AV156" s="309"/>
      <c r="AW156" s="309"/>
      <c r="AX156" s="309"/>
      <c r="AY156" s="309">
        <v>14564284.58</v>
      </c>
      <c r="AZ156" s="309"/>
      <c r="BA156" s="309"/>
      <c r="BB156" s="309"/>
      <c r="BC156" s="309"/>
      <c r="BD156" s="309"/>
      <c r="BE156" s="309"/>
      <c r="BF156" s="309"/>
    </row>
    <row r="157" spans="1:58" s="123" customFormat="1" ht="36">
      <c r="A157" s="331"/>
      <c r="B157" s="331"/>
      <c r="C157" s="331"/>
      <c r="D157" s="306"/>
      <c r="E157" s="306"/>
      <c r="F157" s="324"/>
      <c r="G157" s="306"/>
      <c r="H157" s="306"/>
      <c r="I157" s="306"/>
      <c r="J157" s="95">
        <v>0.05</v>
      </c>
      <c r="K157" s="122" t="s">
        <v>1040</v>
      </c>
      <c r="L157" s="122"/>
      <c r="M157" s="122" t="s">
        <v>1041</v>
      </c>
      <c r="N157" s="122">
        <v>4</v>
      </c>
      <c r="O157" s="118">
        <v>1</v>
      </c>
      <c r="P157" s="119"/>
      <c r="Q157" s="119"/>
      <c r="R157" s="119"/>
      <c r="S157" s="118">
        <f t="shared" si="13"/>
        <v>1</v>
      </c>
      <c r="T157" s="120">
        <f t="shared" si="14"/>
        <v>0.25</v>
      </c>
      <c r="U157" s="122" t="s">
        <v>1030</v>
      </c>
      <c r="V157" s="122" t="s">
        <v>785</v>
      </c>
      <c r="W157" s="122">
        <f t="shared" si="15"/>
        <v>330</v>
      </c>
      <c r="X157" s="122" t="s">
        <v>722</v>
      </c>
      <c r="Y157" s="122" t="s">
        <v>723</v>
      </c>
      <c r="Z157" s="306"/>
      <c r="AA157" s="306"/>
      <c r="AB157" s="306"/>
      <c r="AC157" s="306" t="s">
        <v>937</v>
      </c>
      <c r="AD157" s="306"/>
      <c r="AE157" s="173">
        <v>60500000</v>
      </c>
      <c r="AF157" s="306"/>
      <c r="AG157" s="306"/>
      <c r="AH157" s="122" t="s">
        <v>1030</v>
      </c>
      <c r="AI157" s="173">
        <v>60500000</v>
      </c>
      <c r="AJ157" s="194">
        <v>82500000</v>
      </c>
      <c r="AK157" s="119"/>
      <c r="AL157" s="119"/>
      <c r="AM157" s="119"/>
      <c r="AN157" s="306"/>
      <c r="AO157" s="306"/>
      <c r="AP157" s="309"/>
      <c r="AQ157" s="305"/>
      <c r="AR157" s="309"/>
      <c r="AS157" s="305"/>
      <c r="AT157" s="309"/>
      <c r="AU157" s="309"/>
      <c r="AV157" s="309"/>
      <c r="AW157" s="309"/>
      <c r="AX157" s="309"/>
      <c r="AY157" s="309">
        <v>9826300</v>
      </c>
      <c r="AZ157" s="309"/>
      <c r="BA157" s="309"/>
      <c r="BB157" s="309"/>
      <c r="BC157" s="309"/>
      <c r="BD157" s="309"/>
      <c r="BE157" s="309"/>
      <c r="BF157" s="309"/>
    </row>
    <row r="158" spans="1:58" s="123" customFormat="1" ht="86.25" customHeight="1">
      <c r="A158" s="331"/>
      <c r="B158" s="331"/>
      <c r="C158" s="331"/>
      <c r="D158" s="306"/>
      <c r="E158" s="306"/>
      <c r="F158" s="324"/>
      <c r="G158" s="306"/>
      <c r="H158" s="306"/>
      <c r="I158" s="306"/>
      <c r="J158" s="95">
        <v>0.05</v>
      </c>
      <c r="K158" s="122" t="s">
        <v>1042</v>
      </c>
      <c r="L158" s="122"/>
      <c r="M158" s="122" t="s">
        <v>793</v>
      </c>
      <c r="N158" s="122" t="s">
        <v>270</v>
      </c>
      <c r="O158" s="118" t="s">
        <v>308</v>
      </c>
      <c r="P158" s="119"/>
      <c r="Q158" s="119"/>
      <c r="R158" s="119"/>
      <c r="S158" s="118" t="s">
        <v>308</v>
      </c>
      <c r="T158" s="120" t="s">
        <v>308</v>
      </c>
      <c r="U158" s="122" t="s">
        <v>308</v>
      </c>
      <c r="V158" s="122" t="s">
        <v>308</v>
      </c>
      <c r="W158" s="122" t="s">
        <v>308</v>
      </c>
      <c r="X158" s="122" t="s">
        <v>308</v>
      </c>
      <c r="Y158" s="122" t="s">
        <v>308</v>
      </c>
      <c r="Z158" s="306"/>
      <c r="AA158" s="306"/>
      <c r="AB158" s="306"/>
      <c r="AC158" s="306"/>
      <c r="AD158" s="306"/>
      <c r="AE158" s="122" t="s">
        <v>308</v>
      </c>
      <c r="AF158" s="306"/>
      <c r="AG158" s="306"/>
      <c r="AH158" s="122" t="s">
        <v>308</v>
      </c>
      <c r="AI158" s="122" t="s">
        <v>308</v>
      </c>
      <c r="AJ158" s="135" t="s">
        <v>1043</v>
      </c>
      <c r="AK158" s="119"/>
      <c r="AL158" s="119"/>
      <c r="AM158" s="119"/>
      <c r="AN158" s="306"/>
      <c r="AO158" s="306"/>
      <c r="AP158" s="309"/>
      <c r="AQ158" s="305"/>
      <c r="AR158" s="309"/>
      <c r="AS158" s="305"/>
      <c r="AT158" s="309"/>
      <c r="AU158" s="309"/>
      <c r="AV158" s="309"/>
      <c r="AW158" s="309"/>
      <c r="AX158" s="309"/>
      <c r="AY158" s="309" t="s">
        <v>1043</v>
      </c>
      <c r="AZ158" s="309"/>
      <c r="BA158" s="309"/>
      <c r="BB158" s="309"/>
      <c r="BC158" s="309"/>
      <c r="BD158" s="309"/>
      <c r="BE158" s="309"/>
      <c r="BF158" s="309"/>
    </row>
    <row r="159" spans="1:58" s="123" customFormat="1" ht="108">
      <c r="A159" s="331"/>
      <c r="B159" s="331"/>
      <c r="C159" s="331"/>
      <c r="D159" s="306" t="s">
        <v>446</v>
      </c>
      <c r="E159" s="306"/>
      <c r="F159" s="324"/>
      <c r="G159" s="306"/>
      <c r="H159" s="306" t="s">
        <v>1044</v>
      </c>
      <c r="I159" s="306" t="s">
        <v>1045</v>
      </c>
      <c r="J159" s="95">
        <v>0.2</v>
      </c>
      <c r="K159" s="122" t="s">
        <v>1046</v>
      </c>
      <c r="L159" s="122"/>
      <c r="M159" s="122" t="s">
        <v>1047</v>
      </c>
      <c r="N159" s="122">
        <v>1</v>
      </c>
      <c r="O159" s="118">
        <v>1</v>
      </c>
      <c r="P159" s="119"/>
      <c r="Q159" s="119"/>
      <c r="R159" s="119"/>
      <c r="S159" s="118">
        <f t="shared" si="13"/>
        <v>1</v>
      </c>
      <c r="T159" s="120">
        <f t="shared" si="14"/>
        <v>1</v>
      </c>
      <c r="U159" s="122" t="s">
        <v>1030</v>
      </c>
      <c r="V159" s="122" t="s">
        <v>785</v>
      </c>
      <c r="W159" s="122">
        <f t="shared" si="15"/>
        <v>330</v>
      </c>
      <c r="X159" s="122" t="s">
        <v>722</v>
      </c>
      <c r="Y159" s="122" t="s">
        <v>723</v>
      </c>
      <c r="Z159" s="306"/>
      <c r="AA159" s="306"/>
      <c r="AB159" s="306" t="s">
        <v>1028</v>
      </c>
      <c r="AC159" s="306" t="s">
        <v>937</v>
      </c>
      <c r="AD159" s="306" t="s">
        <v>1002</v>
      </c>
      <c r="AE159" s="173">
        <v>452360000</v>
      </c>
      <c r="AF159" s="306"/>
      <c r="AG159" s="306"/>
      <c r="AH159" s="122" t="s">
        <v>1030</v>
      </c>
      <c r="AI159" s="173">
        <v>452360000</v>
      </c>
      <c r="AJ159" s="194">
        <v>77750000</v>
      </c>
      <c r="AK159" s="119"/>
      <c r="AL159" s="119"/>
      <c r="AM159" s="119"/>
      <c r="AN159" s="306"/>
      <c r="AO159" s="306"/>
      <c r="AP159" s="309"/>
      <c r="AQ159" s="305"/>
      <c r="AR159" s="309"/>
      <c r="AS159" s="305"/>
      <c r="AT159" s="309"/>
      <c r="AU159" s="309"/>
      <c r="AV159" s="309"/>
      <c r="AW159" s="309"/>
      <c r="AX159" s="309"/>
      <c r="AY159" s="309">
        <v>9331560</v>
      </c>
      <c r="AZ159" s="309"/>
      <c r="BA159" s="309"/>
      <c r="BB159" s="309"/>
      <c r="BC159" s="309"/>
      <c r="BD159" s="309"/>
      <c r="BE159" s="309"/>
      <c r="BF159" s="309"/>
    </row>
    <row r="160" spans="1:58" s="123" customFormat="1" ht="396">
      <c r="A160" s="331"/>
      <c r="B160" s="331"/>
      <c r="C160" s="331"/>
      <c r="D160" s="306"/>
      <c r="E160" s="306"/>
      <c r="F160" s="324"/>
      <c r="G160" s="306"/>
      <c r="H160" s="306"/>
      <c r="I160" s="306"/>
      <c r="J160" s="95">
        <v>0.1</v>
      </c>
      <c r="K160" s="122" t="s">
        <v>1048</v>
      </c>
      <c r="L160" s="122"/>
      <c r="M160" s="122" t="s">
        <v>1049</v>
      </c>
      <c r="N160" s="122">
        <v>18</v>
      </c>
      <c r="O160" s="118">
        <v>4</v>
      </c>
      <c r="P160" s="119"/>
      <c r="Q160" s="119"/>
      <c r="R160" s="119"/>
      <c r="S160" s="118">
        <f t="shared" si="13"/>
        <v>4</v>
      </c>
      <c r="T160" s="120">
        <f t="shared" si="14"/>
        <v>0.22222222222222221</v>
      </c>
      <c r="U160" s="122" t="s">
        <v>1030</v>
      </c>
      <c r="V160" s="122" t="s">
        <v>785</v>
      </c>
      <c r="W160" s="122">
        <f t="shared" si="15"/>
        <v>330</v>
      </c>
      <c r="X160" s="122" t="s">
        <v>722</v>
      </c>
      <c r="Y160" s="122" t="s">
        <v>723</v>
      </c>
      <c r="Z160" s="306"/>
      <c r="AA160" s="306"/>
      <c r="AB160" s="306"/>
      <c r="AC160" s="306" t="s">
        <v>937</v>
      </c>
      <c r="AD160" s="306"/>
      <c r="AE160" s="173">
        <v>30250000</v>
      </c>
      <c r="AF160" s="306"/>
      <c r="AG160" s="306"/>
      <c r="AH160" s="122" t="s">
        <v>1030</v>
      </c>
      <c r="AI160" s="173">
        <v>30250000</v>
      </c>
      <c r="AJ160" s="194">
        <v>49500000</v>
      </c>
      <c r="AK160" s="119"/>
      <c r="AL160" s="119"/>
      <c r="AM160" s="119"/>
      <c r="AN160" s="306"/>
      <c r="AO160" s="306"/>
      <c r="AP160" s="309"/>
      <c r="AQ160" s="305"/>
      <c r="AR160" s="309"/>
      <c r="AS160" s="305"/>
      <c r="AT160" s="309"/>
      <c r="AU160" s="309"/>
      <c r="AV160" s="309"/>
      <c r="AW160" s="309"/>
      <c r="AX160" s="309"/>
      <c r="AY160" s="309">
        <v>5904426.25</v>
      </c>
      <c r="AZ160" s="309"/>
      <c r="BA160" s="309"/>
      <c r="BB160" s="309"/>
      <c r="BC160" s="309"/>
      <c r="BD160" s="309"/>
      <c r="BE160" s="309"/>
      <c r="BF160" s="309"/>
    </row>
    <row r="161" spans="1:58" s="123" customFormat="1" ht="198">
      <c r="A161" s="331"/>
      <c r="B161" s="331"/>
      <c r="C161" s="331"/>
      <c r="D161" s="306"/>
      <c r="E161" s="306"/>
      <c r="F161" s="324"/>
      <c r="G161" s="306"/>
      <c r="H161" s="306"/>
      <c r="I161" s="306"/>
      <c r="J161" s="95">
        <v>0.15</v>
      </c>
      <c r="K161" s="122" t="s">
        <v>1050</v>
      </c>
      <c r="L161" s="122"/>
      <c r="M161" s="122" t="s">
        <v>1051</v>
      </c>
      <c r="N161" s="122">
        <v>4</v>
      </c>
      <c r="O161" s="118" t="s">
        <v>308</v>
      </c>
      <c r="P161" s="119"/>
      <c r="Q161" s="119"/>
      <c r="R161" s="119"/>
      <c r="S161" s="118" t="s">
        <v>308</v>
      </c>
      <c r="T161" s="120" t="s">
        <v>308</v>
      </c>
      <c r="U161" s="122" t="s">
        <v>1025</v>
      </c>
      <c r="V161" s="122" t="s">
        <v>785</v>
      </c>
      <c r="W161" s="122">
        <f>9*30</f>
        <v>270</v>
      </c>
      <c r="X161" s="122" t="s">
        <v>722</v>
      </c>
      <c r="Y161" s="122" t="s">
        <v>723</v>
      </c>
      <c r="Z161" s="306"/>
      <c r="AA161" s="306"/>
      <c r="AB161" s="306" t="s">
        <v>1039</v>
      </c>
      <c r="AC161" s="306" t="s">
        <v>937</v>
      </c>
      <c r="AD161" s="306" t="s">
        <v>1002</v>
      </c>
      <c r="AE161" s="173">
        <v>62700000</v>
      </c>
      <c r="AF161" s="306"/>
      <c r="AG161" s="306"/>
      <c r="AH161" s="122" t="s">
        <v>1030</v>
      </c>
      <c r="AI161" s="173">
        <v>62700000</v>
      </c>
      <c r="AJ161" s="194">
        <v>105128571.43000001</v>
      </c>
      <c r="AK161" s="119"/>
      <c r="AL161" s="119"/>
      <c r="AM161" s="119"/>
      <c r="AN161" s="306"/>
      <c r="AO161" s="306"/>
      <c r="AP161" s="309"/>
      <c r="AQ161" s="305"/>
      <c r="AR161" s="309"/>
      <c r="AS161" s="305"/>
      <c r="AT161" s="309"/>
      <c r="AU161" s="309"/>
      <c r="AV161" s="309"/>
      <c r="AW161" s="309"/>
      <c r="AX161" s="309"/>
      <c r="AY161" s="309">
        <v>8216612.1600000001</v>
      </c>
      <c r="AZ161" s="309"/>
      <c r="BA161" s="309"/>
      <c r="BB161" s="309"/>
      <c r="BC161" s="309"/>
      <c r="BD161" s="309"/>
      <c r="BE161" s="309"/>
      <c r="BF161" s="309"/>
    </row>
    <row r="162" spans="1:58" s="123" customFormat="1" ht="306">
      <c r="A162" s="331"/>
      <c r="B162" s="331"/>
      <c r="C162" s="331"/>
      <c r="D162" s="306" t="s">
        <v>453</v>
      </c>
      <c r="E162" s="306"/>
      <c r="F162" s="324"/>
      <c r="G162" s="306"/>
      <c r="H162" s="306" t="s">
        <v>1052</v>
      </c>
      <c r="I162" s="306" t="s">
        <v>1053</v>
      </c>
      <c r="J162" s="95">
        <v>0.1</v>
      </c>
      <c r="K162" s="143" t="s">
        <v>1054</v>
      </c>
      <c r="L162" s="143"/>
      <c r="M162" s="143" t="s">
        <v>1055</v>
      </c>
      <c r="N162" s="143">
        <v>5</v>
      </c>
      <c r="O162" s="135">
        <v>1</v>
      </c>
      <c r="P162" s="119"/>
      <c r="Q162" s="119"/>
      <c r="R162" s="119"/>
      <c r="S162" s="118">
        <f t="shared" si="13"/>
        <v>1</v>
      </c>
      <c r="T162" s="120">
        <f t="shared" si="14"/>
        <v>0.2</v>
      </c>
      <c r="U162" s="122" t="s">
        <v>1030</v>
      </c>
      <c r="V162" s="122" t="s">
        <v>785</v>
      </c>
      <c r="W162" s="122">
        <f t="shared" si="15"/>
        <v>330</v>
      </c>
      <c r="X162" s="122" t="s">
        <v>722</v>
      </c>
      <c r="Y162" s="122" t="s">
        <v>723</v>
      </c>
      <c r="Z162" s="306"/>
      <c r="AA162" s="306"/>
      <c r="AB162" s="306"/>
      <c r="AC162" s="306"/>
      <c r="AD162" s="306"/>
      <c r="AE162" s="173">
        <v>18150000</v>
      </c>
      <c r="AF162" s="306"/>
      <c r="AG162" s="306"/>
      <c r="AH162" s="122" t="s">
        <v>1030</v>
      </c>
      <c r="AI162" s="173">
        <v>18150000</v>
      </c>
      <c r="AJ162" s="194">
        <v>103753571.43000001</v>
      </c>
      <c r="AK162" s="119"/>
      <c r="AL162" s="119"/>
      <c r="AM162" s="119"/>
      <c r="AN162" s="306"/>
      <c r="AO162" s="306"/>
      <c r="AP162" s="309"/>
      <c r="AQ162" s="305"/>
      <c r="AR162" s="309"/>
      <c r="AS162" s="305"/>
      <c r="AT162" s="309"/>
      <c r="AU162" s="309"/>
      <c r="AV162" s="309"/>
      <c r="AW162" s="309"/>
      <c r="AX162" s="309"/>
      <c r="AY162" s="309">
        <v>6917087.1399999997</v>
      </c>
      <c r="AZ162" s="309"/>
      <c r="BA162" s="309"/>
      <c r="BB162" s="309"/>
      <c r="BC162" s="309"/>
      <c r="BD162" s="309"/>
      <c r="BE162" s="309"/>
      <c r="BF162" s="309"/>
    </row>
    <row r="163" spans="1:58" s="123" customFormat="1" ht="90">
      <c r="A163" s="331"/>
      <c r="B163" s="331"/>
      <c r="C163" s="331"/>
      <c r="D163" s="306"/>
      <c r="E163" s="306"/>
      <c r="F163" s="324"/>
      <c r="G163" s="306"/>
      <c r="H163" s="306"/>
      <c r="I163" s="306"/>
      <c r="J163" s="95">
        <v>0.05</v>
      </c>
      <c r="K163" s="143" t="s">
        <v>1056</v>
      </c>
      <c r="L163" s="143"/>
      <c r="M163" s="143" t="s">
        <v>1057</v>
      </c>
      <c r="N163" s="143">
        <v>3</v>
      </c>
      <c r="O163" s="135">
        <v>0</v>
      </c>
      <c r="P163" s="119"/>
      <c r="Q163" s="119"/>
      <c r="R163" s="119"/>
      <c r="S163" s="118">
        <f t="shared" si="13"/>
        <v>0</v>
      </c>
      <c r="T163" s="120">
        <f t="shared" si="14"/>
        <v>0</v>
      </c>
      <c r="U163" s="122" t="s">
        <v>1030</v>
      </c>
      <c r="V163" s="122" t="s">
        <v>785</v>
      </c>
      <c r="W163" s="122">
        <f t="shared" si="15"/>
        <v>330</v>
      </c>
      <c r="X163" s="122" t="s">
        <v>722</v>
      </c>
      <c r="Y163" s="122" t="s">
        <v>723</v>
      </c>
      <c r="Z163" s="306"/>
      <c r="AA163" s="306"/>
      <c r="AB163" s="306"/>
      <c r="AC163" s="306"/>
      <c r="AD163" s="306"/>
      <c r="AE163" s="173">
        <v>15400000</v>
      </c>
      <c r="AF163" s="306"/>
      <c r="AG163" s="306"/>
      <c r="AH163" s="122" t="s">
        <v>1030</v>
      </c>
      <c r="AI163" s="173">
        <v>15400000</v>
      </c>
      <c r="AJ163" s="194">
        <v>103753571.43000001</v>
      </c>
      <c r="AK163" s="119"/>
      <c r="AL163" s="119"/>
      <c r="AM163" s="119"/>
      <c r="AN163" s="306"/>
      <c r="AO163" s="306"/>
      <c r="AP163" s="309"/>
      <c r="AQ163" s="305"/>
      <c r="AR163" s="309"/>
      <c r="AS163" s="305"/>
      <c r="AT163" s="309"/>
      <c r="AU163" s="309"/>
      <c r="AV163" s="309"/>
      <c r="AW163" s="309"/>
      <c r="AX163" s="309"/>
      <c r="AY163" s="309">
        <v>6917087.1399999997</v>
      </c>
      <c r="AZ163" s="309"/>
      <c r="BA163" s="309"/>
      <c r="BB163" s="309"/>
      <c r="BC163" s="309"/>
      <c r="BD163" s="309"/>
      <c r="BE163" s="309"/>
      <c r="BF163" s="309"/>
    </row>
    <row r="164" spans="1:58" s="123" customFormat="1" ht="72">
      <c r="A164" s="331"/>
      <c r="B164" s="331"/>
      <c r="C164" s="331"/>
      <c r="D164" s="306"/>
      <c r="E164" s="306"/>
      <c r="F164" s="324"/>
      <c r="G164" s="306"/>
      <c r="H164" s="306"/>
      <c r="I164" s="306"/>
      <c r="J164" s="95">
        <v>0.05</v>
      </c>
      <c r="K164" s="143" t="s">
        <v>1058</v>
      </c>
      <c r="L164" s="143"/>
      <c r="M164" s="143" t="s">
        <v>1059</v>
      </c>
      <c r="N164" s="143">
        <v>1</v>
      </c>
      <c r="O164" s="135">
        <v>0.3</v>
      </c>
      <c r="P164" s="119"/>
      <c r="Q164" s="119"/>
      <c r="R164" s="119"/>
      <c r="S164" s="118">
        <f t="shared" si="13"/>
        <v>0.3</v>
      </c>
      <c r="T164" s="120">
        <f t="shared" si="14"/>
        <v>0.3</v>
      </c>
      <c r="U164" s="122" t="s">
        <v>1030</v>
      </c>
      <c r="V164" s="122" t="s">
        <v>785</v>
      </c>
      <c r="W164" s="122">
        <f t="shared" si="15"/>
        <v>330</v>
      </c>
      <c r="X164" s="122" t="s">
        <v>722</v>
      </c>
      <c r="Y164" s="122" t="s">
        <v>723</v>
      </c>
      <c r="Z164" s="306"/>
      <c r="AA164" s="306"/>
      <c r="AB164" s="306"/>
      <c r="AC164" s="306"/>
      <c r="AD164" s="306"/>
      <c r="AE164" s="173">
        <v>18150000</v>
      </c>
      <c r="AF164" s="306"/>
      <c r="AG164" s="306"/>
      <c r="AH164" s="122" t="s">
        <v>1030</v>
      </c>
      <c r="AI164" s="173">
        <v>18150000</v>
      </c>
      <c r="AJ164" s="194">
        <v>105128571.43000001</v>
      </c>
      <c r="AK164" s="119"/>
      <c r="AL164" s="119"/>
      <c r="AM164" s="119"/>
      <c r="AN164" s="306"/>
      <c r="AO164" s="306"/>
      <c r="AP164" s="309"/>
      <c r="AQ164" s="305"/>
      <c r="AR164" s="309"/>
      <c r="AS164" s="305"/>
      <c r="AT164" s="309"/>
      <c r="AU164" s="309"/>
      <c r="AV164" s="309"/>
      <c r="AW164" s="309"/>
      <c r="AX164" s="309"/>
      <c r="AY164" s="309">
        <v>6567087.1399999997</v>
      </c>
      <c r="AZ164" s="309"/>
      <c r="BA164" s="309"/>
      <c r="BB164" s="309"/>
      <c r="BC164" s="309"/>
      <c r="BD164" s="309"/>
      <c r="BE164" s="309"/>
      <c r="BF164" s="309"/>
    </row>
    <row r="165" spans="1:58" s="123" customFormat="1" ht="93.75" customHeight="1">
      <c r="A165" s="331"/>
      <c r="B165" s="331"/>
      <c r="C165" s="331"/>
      <c r="D165" s="122"/>
      <c r="E165" s="122"/>
      <c r="F165" s="124"/>
      <c r="G165" s="122"/>
      <c r="H165" s="122"/>
      <c r="I165" s="122"/>
      <c r="J165" s="95"/>
      <c r="K165" s="302" t="s">
        <v>1307</v>
      </c>
      <c r="L165" s="302"/>
      <c r="M165" s="302"/>
      <c r="N165" s="302"/>
      <c r="O165" s="302"/>
      <c r="P165" s="302"/>
      <c r="Q165" s="302"/>
      <c r="R165" s="302"/>
      <c r="S165" s="302"/>
      <c r="T165" s="140">
        <f>AVERAGE(T154:T164)</f>
        <v>0.30902777777777779</v>
      </c>
      <c r="U165" s="122"/>
      <c r="V165" s="122"/>
      <c r="W165" s="122"/>
      <c r="X165" s="122"/>
      <c r="Y165" s="122"/>
      <c r="Z165" s="122"/>
      <c r="AA165" s="122"/>
      <c r="AB165" s="122"/>
      <c r="AC165" s="122"/>
      <c r="AD165" s="122"/>
      <c r="AE165" s="304" t="s">
        <v>1308</v>
      </c>
      <c r="AF165" s="304"/>
      <c r="AG165" s="304"/>
      <c r="AH165" s="304"/>
      <c r="AI165" s="304"/>
      <c r="AJ165" s="195">
        <f>SUM(AJ153:AJ164)</f>
        <v>1450000000.0000002</v>
      </c>
      <c r="AK165" s="171"/>
      <c r="AL165" s="171"/>
      <c r="AM165" s="171"/>
      <c r="AN165" s="172"/>
      <c r="AO165" s="172"/>
      <c r="AP165" s="222">
        <f>SUM(AP153:AP164)</f>
        <v>464209890</v>
      </c>
      <c r="AQ165" s="223">
        <f>+AQ153</f>
        <v>0.32014475172413787</v>
      </c>
      <c r="AR165" s="222">
        <f>+AR153</f>
        <v>118034035</v>
      </c>
      <c r="AS165" s="223">
        <f>+AS153</f>
        <v>8.1402782758620673E-2</v>
      </c>
      <c r="AT165" s="224"/>
      <c r="AU165" s="224"/>
      <c r="AV165" s="224"/>
      <c r="AW165" s="224"/>
      <c r="AX165" s="224"/>
      <c r="AY165" s="224"/>
      <c r="AZ165" s="119"/>
      <c r="BA165" s="119"/>
      <c r="BB165" s="119"/>
      <c r="BC165" s="119"/>
      <c r="BD165" s="119"/>
      <c r="BE165" s="119"/>
      <c r="BF165" s="137"/>
    </row>
    <row r="166" spans="1:58" s="123" customFormat="1" ht="72">
      <c r="A166" s="331"/>
      <c r="B166" s="331"/>
      <c r="C166" s="331"/>
      <c r="D166" s="306" t="s">
        <v>450</v>
      </c>
      <c r="E166" s="306" t="s">
        <v>1310</v>
      </c>
      <c r="F166" s="324">
        <v>2024130010203</v>
      </c>
      <c r="G166" s="306" t="s">
        <v>1060</v>
      </c>
      <c r="H166" s="306" t="s">
        <v>1061</v>
      </c>
      <c r="I166" s="306" t="s">
        <v>451</v>
      </c>
      <c r="J166" s="95"/>
      <c r="K166" s="122" t="s">
        <v>1062</v>
      </c>
      <c r="L166" s="122"/>
      <c r="M166" s="122" t="s">
        <v>1063</v>
      </c>
      <c r="N166" s="122">
        <v>12</v>
      </c>
      <c r="O166" s="118">
        <v>3</v>
      </c>
      <c r="P166" s="119"/>
      <c r="Q166" s="119"/>
      <c r="R166" s="119"/>
      <c r="S166" s="118">
        <f t="shared" si="13"/>
        <v>3</v>
      </c>
      <c r="T166" s="120">
        <f t="shared" si="14"/>
        <v>0.25</v>
      </c>
      <c r="U166" s="122" t="s">
        <v>774</v>
      </c>
      <c r="V166" s="122" t="s">
        <v>785</v>
      </c>
      <c r="W166" s="122">
        <v>345</v>
      </c>
      <c r="X166" s="122" t="s">
        <v>722</v>
      </c>
      <c r="Y166" s="122" t="s">
        <v>723</v>
      </c>
      <c r="Z166" s="306" t="s">
        <v>916</v>
      </c>
      <c r="AA166" s="306" t="s">
        <v>1027</v>
      </c>
      <c r="AB166" s="306" t="s">
        <v>1028</v>
      </c>
      <c r="AC166" s="306" t="s">
        <v>937</v>
      </c>
      <c r="AD166" s="122" t="s">
        <v>1002</v>
      </c>
      <c r="AE166" s="98">
        <v>158575100</v>
      </c>
      <c r="AF166" s="122" t="s">
        <v>75</v>
      </c>
      <c r="AG166" s="306" t="s">
        <v>52</v>
      </c>
      <c r="AH166" s="122" t="s">
        <v>774</v>
      </c>
      <c r="AI166" s="98">
        <v>158575100</v>
      </c>
      <c r="AJ166" s="106">
        <v>158575100</v>
      </c>
      <c r="AK166" s="119"/>
      <c r="AL166" s="119"/>
      <c r="AM166" s="119"/>
      <c r="AN166" s="306" t="s">
        <v>1031</v>
      </c>
      <c r="AO166" s="306" t="s">
        <v>1064</v>
      </c>
      <c r="AP166" s="307">
        <v>422582814</v>
      </c>
      <c r="AQ166" s="308">
        <f>+AP166/AJ171</f>
        <v>0.19899271114161063</v>
      </c>
      <c r="AR166" s="307">
        <v>85815680</v>
      </c>
      <c r="AS166" s="308">
        <f>+AR166/AJ171</f>
        <v>4.0410291795872445E-2</v>
      </c>
      <c r="AT166" s="98"/>
      <c r="AU166" s="98"/>
      <c r="AV166" s="98"/>
      <c r="AW166" s="98"/>
      <c r="AX166" s="98"/>
      <c r="AY166" s="98">
        <v>24817104</v>
      </c>
      <c r="AZ166" s="119"/>
      <c r="BA166" s="119"/>
      <c r="BB166" s="119"/>
      <c r="BC166" s="119"/>
      <c r="BD166" s="119"/>
      <c r="BE166" s="119"/>
      <c r="BF166" s="137"/>
    </row>
    <row r="167" spans="1:58" s="123" customFormat="1" ht="54">
      <c r="A167" s="331"/>
      <c r="B167" s="331"/>
      <c r="C167" s="331"/>
      <c r="D167" s="306"/>
      <c r="E167" s="306"/>
      <c r="F167" s="324"/>
      <c r="G167" s="306"/>
      <c r="H167" s="306"/>
      <c r="I167" s="306"/>
      <c r="J167" s="95"/>
      <c r="K167" s="122" t="s">
        <v>1065</v>
      </c>
      <c r="L167" s="122"/>
      <c r="M167" s="122" t="s">
        <v>1066</v>
      </c>
      <c r="N167" s="122">
        <v>8</v>
      </c>
      <c r="O167" s="118">
        <v>1</v>
      </c>
      <c r="P167" s="119"/>
      <c r="Q167" s="119"/>
      <c r="R167" s="119"/>
      <c r="S167" s="118">
        <f t="shared" si="13"/>
        <v>1</v>
      </c>
      <c r="T167" s="120">
        <f t="shared" si="14"/>
        <v>0.125</v>
      </c>
      <c r="U167" s="122" t="s">
        <v>774</v>
      </c>
      <c r="V167" s="122" t="s">
        <v>785</v>
      </c>
      <c r="W167" s="122">
        <v>345</v>
      </c>
      <c r="X167" s="122" t="s">
        <v>722</v>
      </c>
      <c r="Y167" s="122" t="s">
        <v>723</v>
      </c>
      <c r="Z167" s="306"/>
      <c r="AA167" s="306"/>
      <c r="AB167" s="306"/>
      <c r="AC167" s="306"/>
      <c r="AD167" s="122" t="s">
        <v>1002</v>
      </c>
      <c r="AE167" s="98">
        <v>187943560</v>
      </c>
      <c r="AF167" s="122" t="s">
        <v>75</v>
      </c>
      <c r="AG167" s="306"/>
      <c r="AH167" s="122" t="s">
        <v>774</v>
      </c>
      <c r="AI167" s="98">
        <v>187943560</v>
      </c>
      <c r="AJ167" s="106">
        <v>187943560</v>
      </c>
      <c r="AK167" s="119"/>
      <c r="AL167" s="119"/>
      <c r="AM167" s="119"/>
      <c r="AN167" s="306"/>
      <c r="AO167" s="306"/>
      <c r="AP167" s="307"/>
      <c r="AQ167" s="308"/>
      <c r="AR167" s="307"/>
      <c r="AS167" s="308"/>
      <c r="AT167" s="98"/>
      <c r="AU167" s="98"/>
      <c r="AV167" s="98"/>
      <c r="AW167" s="98"/>
      <c r="AX167" s="98"/>
      <c r="AY167" s="98">
        <v>31576794</v>
      </c>
      <c r="AZ167" s="119"/>
      <c r="BA167" s="119"/>
      <c r="BB167" s="119"/>
      <c r="BC167" s="119"/>
      <c r="BD167" s="119"/>
      <c r="BE167" s="119"/>
      <c r="BF167" s="137"/>
    </row>
    <row r="168" spans="1:58" s="123" customFormat="1" ht="54">
      <c r="A168" s="331"/>
      <c r="B168" s="331"/>
      <c r="C168" s="331"/>
      <c r="D168" s="306"/>
      <c r="E168" s="306"/>
      <c r="F168" s="324"/>
      <c r="G168" s="306"/>
      <c r="H168" s="306"/>
      <c r="I168" s="306"/>
      <c r="J168" s="95"/>
      <c r="K168" s="122" t="s">
        <v>1067</v>
      </c>
      <c r="L168" s="122"/>
      <c r="M168" s="122" t="s">
        <v>1068</v>
      </c>
      <c r="N168" s="122">
        <v>12</v>
      </c>
      <c r="O168" s="118">
        <v>4</v>
      </c>
      <c r="P168" s="119"/>
      <c r="Q168" s="119"/>
      <c r="R168" s="119"/>
      <c r="S168" s="118">
        <f t="shared" si="13"/>
        <v>4</v>
      </c>
      <c r="T168" s="120">
        <f t="shared" si="14"/>
        <v>0.33333333333333331</v>
      </c>
      <c r="U168" s="122" t="s">
        <v>774</v>
      </c>
      <c r="V168" s="122" t="s">
        <v>785</v>
      </c>
      <c r="W168" s="122">
        <v>345</v>
      </c>
      <c r="X168" s="122" t="s">
        <v>722</v>
      </c>
      <c r="Y168" s="122" t="s">
        <v>723</v>
      </c>
      <c r="Z168" s="306"/>
      <c r="AA168" s="306"/>
      <c r="AB168" s="306"/>
      <c r="AC168" s="306"/>
      <c r="AD168" s="122" t="s">
        <v>1002</v>
      </c>
      <c r="AE168" s="98">
        <v>208031155</v>
      </c>
      <c r="AF168" s="122" t="s">
        <v>75</v>
      </c>
      <c r="AG168" s="306"/>
      <c r="AH168" s="122" t="s">
        <v>774</v>
      </c>
      <c r="AI168" s="98">
        <v>208031155</v>
      </c>
      <c r="AJ168" s="106">
        <v>208031155</v>
      </c>
      <c r="AK168" s="119"/>
      <c r="AL168" s="119"/>
      <c r="AM168" s="119"/>
      <c r="AN168" s="306"/>
      <c r="AO168" s="306"/>
      <c r="AP168" s="307"/>
      <c r="AQ168" s="308"/>
      <c r="AR168" s="307"/>
      <c r="AS168" s="308"/>
      <c r="AT168" s="98"/>
      <c r="AU168" s="98"/>
      <c r="AV168" s="98"/>
      <c r="AW168" s="98"/>
      <c r="AX168" s="98"/>
      <c r="AY168" s="98">
        <v>25005955</v>
      </c>
      <c r="AZ168" s="119"/>
      <c r="BA168" s="119"/>
      <c r="BB168" s="119"/>
      <c r="BC168" s="119"/>
      <c r="BD168" s="119"/>
      <c r="BE168" s="119"/>
      <c r="BF168" s="154"/>
    </row>
    <row r="169" spans="1:58" s="123" customFormat="1" ht="108">
      <c r="A169" s="331"/>
      <c r="B169" s="331"/>
      <c r="C169" s="331"/>
      <c r="D169" s="306"/>
      <c r="E169" s="306"/>
      <c r="F169" s="324"/>
      <c r="G169" s="306"/>
      <c r="H169" s="306"/>
      <c r="I169" s="306"/>
      <c r="J169" s="95"/>
      <c r="K169" s="122" t="s">
        <v>1069</v>
      </c>
      <c r="L169" s="122"/>
      <c r="M169" s="122" t="s">
        <v>1070</v>
      </c>
      <c r="N169" s="122">
        <v>2</v>
      </c>
      <c r="O169" s="118">
        <v>0</v>
      </c>
      <c r="P169" s="119"/>
      <c r="Q169" s="119"/>
      <c r="R169" s="119"/>
      <c r="S169" s="118">
        <f t="shared" si="13"/>
        <v>0</v>
      </c>
      <c r="T169" s="120">
        <f t="shared" si="14"/>
        <v>0</v>
      </c>
      <c r="U169" s="122" t="s">
        <v>774</v>
      </c>
      <c r="V169" s="122" t="s">
        <v>785</v>
      </c>
      <c r="W169" s="122">
        <v>345</v>
      </c>
      <c r="X169" s="122" t="s">
        <v>722</v>
      </c>
      <c r="Y169" s="122" t="s">
        <v>723</v>
      </c>
      <c r="Z169" s="306"/>
      <c r="AA169" s="306"/>
      <c r="AB169" s="306"/>
      <c r="AC169" s="306"/>
      <c r="AD169" s="122" t="s">
        <v>1002</v>
      </c>
      <c r="AE169" s="98">
        <v>146255100</v>
      </c>
      <c r="AF169" s="122" t="s">
        <v>75</v>
      </c>
      <c r="AG169" s="306"/>
      <c r="AH169" s="122" t="s">
        <v>774</v>
      </c>
      <c r="AI169" s="98">
        <v>146255100</v>
      </c>
      <c r="AJ169" s="106">
        <v>146255100</v>
      </c>
      <c r="AK169" s="119"/>
      <c r="AL169" s="119"/>
      <c r="AM169" s="119"/>
      <c r="AN169" s="306"/>
      <c r="AO169" s="306"/>
      <c r="AP169" s="307"/>
      <c r="AQ169" s="308"/>
      <c r="AR169" s="307"/>
      <c r="AS169" s="308"/>
      <c r="AT169" s="98"/>
      <c r="AU169" s="98"/>
      <c r="AV169" s="98"/>
      <c r="AW169" s="98"/>
      <c r="AX169" s="98"/>
      <c r="AY169" s="98">
        <v>2971657</v>
      </c>
      <c r="AZ169" s="119"/>
      <c r="BA169" s="119"/>
      <c r="BB169" s="119"/>
      <c r="BC169" s="119"/>
      <c r="BD169" s="119"/>
      <c r="BE169" s="119"/>
      <c r="BF169" s="137"/>
    </row>
    <row r="170" spans="1:58" s="123" customFormat="1" ht="54">
      <c r="A170" s="331"/>
      <c r="B170" s="331"/>
      <c r="C170" s="331"/>
      <c r="D170" s="306"/>
      <c r="E170" s="306"/>
      <c r="F170" s="324"/>
      <c r="G170" s="306"/>
      <c r="H170" s="306"/>
      <c r="I170" s="306"/>
      <c r="J170" s="95"/>
      <c r="K170" s="122" t="s">
        <v>1071</v>
      </c>
      <c r="L170" s="122"/>
      <c r="M170" s="122" t="s">
        <v>1072</v>
      </c>
      <c r="N170" s="122">
        <v>1</v>
      </c>
      <c r="O170" s="118" t="s">
        <v>308</v>
      </c>
      <c r="P170" s="119"/>
      <c r="Q170" s="119"/>
      <c r="R170" s="119"/>
      <c r="S170" s="118" t="s">
        <v>308</v>
      </c>
      <c r="T170" s="120" t="s">
        <v>308</v>
      </c>
      <c r="U170" s="122" t="s">
        <v>1073</v>
      </c>
      <c r="V170" s="122" t="s">
        <v>785</v>
      </c>
      <c r="W170" s="122">
        <v>274</v>
      </c>
      <c r="X170" s="122" t="s">
        <v>722</v>
      </c>
      <c r="Y170" s="122" t="s">
        <v>723</v>
      </c>
      <c r="Z170" s="306"/>
      <c r="AA170" s="306"/>
      <c r="AB170" s="306"/>
      <c r="AC170" s="306"/>
      <c r="AD170" s="122" t="s">
        <v>1074</v>
      </c>
      <c r="AE170" s="98">
        <v>1422804596</v>
      </c>
      <c r="AF170" s="122" t="s">
        <v>59</v>
      </c>
      <c r="AG170" s="306"/>
      <c r="AH170" s="122" t="s">
        <v>1073</v>
      </c>
      <c r="AI170" s="98">
        <v>1422804596</v>
      </c>
      <c r="AJ170" s="106">
        <v>1422804596</v>
      </c>
      <c r="AK170" s="119"/>
      <c r="AL170" s="119"/>
      <c r="AM170" s="119"/>
      <c r="AN170" s="306"/>
      <c r="AO170" s="306"/>
      <c r="AP170" s="307"/>
      <c r="AQ170" s="308"/>
      <c r="AR170" s="307"/>
      <c r="AS170" s="308"/>
      <c r="AT170" s="98"/>
      <c r="AU170" s="98"/>
      <c r="AV170" s="98"/>
      <c r="AW170" s="98"/>
      <c r="AX170" s="98"/>
      <c r="AY170" s="98">
        <v>1444170</v>
      </c>
      <c r="AZ170" s="119"/>
      <c r="BA170" s="119"/>
      <c r="BB170" s="119"/>
      <c r="BC170" s="119"/>
      <c r="BD170" s="119"/>
      <c r="BE170" s="119"/>
      <c r="BF170" s="154"/>
    </row>
    <row r="171" spans="1:58" s="123" customFormat="1" ht="118.5" customHeight="1">
      <c r="A171" s="331"/>
      <c r="B171" s="331"/>
      <c r="C171" s="331"/>
      <c r="D171" s="122"/>
      <c r="E171" s="122"/>
      <c r="F171" s="124"/>
      <c r="G171" s="122"/>
      <c r="H171" s="122"/>
      <c r="I171" s="122"/>
      <c r="J171" s="95"/>
      <c r="K171" s="302" t="s">
        <v>1311</v>
      </c>
      <c r="L171" s="302"/>
      <c r="M171" s="302"/>
      <c r="N171" s="302"/>
      <c r="O171" s="302"/>
      <c r="P171" s="302"/>
      <c r="Q171" s="302"/>
      <c r="R171" s="302"/>
      <c r="S171" s="302"/>
      <c r="T171" s="140">
        <f>AVERAGE(T166:T170)</f>
        <v>0.17708333333333331</v>
      </c>
      <c r="U171" s="122"/>
      <c r="V171" s="122"/>
      <c r="W171" s="122"/>
      <c r="X171" s="122"/>
      <c r="Y171" s="122"/>
      <c r="Z171" s="122"/>
      <c r="AA171" s="122"/>
      <c r="AB171" s="122"/>
      <c r="AC171" s="122"/>
      <c r="AD171" s="122"/>
      <c r="AE171" s="304" t="s">
        <v>1312</v>
      </c>
      <c r="AF171" s="304"/>
      <c r="AG171" s="304"/>
      <c r="AH171" s="304"/>
      <c r="AI171" s="304"/>
      <c r="AJ171" s="196">
        <f>SUM(AJ166:AJ170)</f>
        <v>2123609511</v>
      </c>
      <c r="AK171" s="171"/>
      <c r="AL171" s="171"/>
      <c r="AM171" s="171"/>
      <c r="AN171" s="172"/>
      <c r="AO171" s="172"/>
      <c r="AP171" s="225">
        <f>+AP166</f>
        <v>422582814</v>
      </c>
      <c r="AQ171" s="226">
        <f t="shared" ref="AQ171:AS171" si="16">+AQ166</f>
        <v>0.19899271114161063</v>
      </c>
      <c r="AR171" s="225">
        <f t="shared" si="16"/>
        <v>85815680</v>
      </c>
      <c r="AS171" s="226">
        <f t="shared" si="16"/>
        <v>4.0410291795872445E-2</v>
      </c>
      <c r="AT171" s="98"/>
      <c r="AU171" s="98"/>
      <c r="AV171" s="98"/>
      <c r="AW171" s="98"/>
      <c r="AX171" s="98"/>
      <c r="AY171" s="98"/>
      <c r="AZ171" s="119"/>
      <c r="BA171" s="119"/>
      <c r="BB171" s="119"/>
      <c r="BC171" s="119"/>
      <c r="BD171" s="119"/>
      <c r="BE171" s="119"/>
      <c r="BF171" s="154"/>
    </row>
    <row r="172" spans="1:58" s="123" customFormat="1" ht="198">
      <c r="A172" s="331"/>
      <c r="B172" s="331"/>
      <c r="C172" s="331"/>
      <c r="D172" s="306" t="s">
        <v>457</v>
      </c>
      <c r="E172" s="306" t="s">
        <v>1075</v>
      </c>
      <c r="F172" s="324">
        <v>2024130010200</v>
      </c>
      <c r="G172" s="306" t="s">
        <v>1076</v>
      </c>
      <c r="H172" s="306" t="s">
        <v>1077</v>
      </c>
      <c r="I172" s="306" t="s">
        <v>1078</v>
      </c>
      <c r="J172" s="95"/>
      <c r="K172" s="122" t="s">
        <v>1079</v>
      </c>
      <c r="L172" s="122"/>
      <c r="M172" s="122" t="s">
        <v>1080</v>
      </c>
      <c r="N172" s="122">
        <v>10000</v>
      </c>
      <c r="O172" s="118">
        <v>2319</v>
      </c>
      <c r="P172" s="119"/>
      <c r="Q172" s="119"/>
      <c r="R172" s="119"/>
      <c r="S172" s="118">
        <f t="shared" si="13"/>
        <v>2319</v>
      </c>
      <c r="T172" s="120">
        <f t="shared" si="14"/>
        <v>0.2319</v>
      </c>
      <c r="U172" s="122" t="s">
        <v>1030</v>
      </c>
      <c r="V172" s="122" t="s">
        <v>1081</v>
      </c>
      <c r="W172" s="122">
        <v>330</v>
      </c>
      <c r="X172" s="122" t="s">
        <v>722</v>
      </c>
      <c r="Y172" s="122" t="s">
        <v>723</v>
      </c>
      <c r="Z172" s="306" t="s">
        <v>1082</v>
      </c>
      <c r="AA172" s="306" t="s">
        <v>1083</v>
      </c>
      <c r="AB172" s="306" t="s">
        <v>1084</v>
      </c>
      <c r="AC172" s="306" t="s">
        <v>937</v>
      </c>
      <c r="AD172" s="306" t="s">
        <v>1002</v>
      </c>
      <c r="AE172" s="350">
        <v>2100000000</v>
      </c>
      <c r="AF172" s="306" t="s">
        <v>61</v>
      </c>
      <c r="AG172" s="306" t="s">
        <v>52</v>
      </c>
      <c r="AH172" s="306"/>
      <c r="AI172" s="173">
        <v>1170000000</v>
      </c>
      <c r="AJ172" s="303">
        <v>2100000000</v>
      </c>
      <c r="AK172" s="119"/>
      <c r="AL172" s="119"/>
      <c r="AM172" s="119"/>
      <c r="AN172" s="306" t="s">
        <v>1031</v>
      </c>
      <c r="AO172" s="306" t="s">
        <v>1085</v>
      </c>
      <c r="AP172" s="303">
        <v>1942842110</v>
      </c>
      <c r="AQ172" s="305">
        <f>+AP172/AJ172</f>
        <v>0.92516290952380953</v>
      </c>
      <c r="AR172" s="303">
        <v>488185386</v>
      </c>
      <c r="AS172" s="305">
        <f>+AR172/AJ172</f>
        <v>0.23246923142857143</v>
      </c>
      <c r="AT172" s="303"/>
      <c r="AU172" s="303"/>
      <c r="AV172" s="303"/>
      <c r="AW172" s="303"/>
      <c r="AX172" s="303"/>
      <c r="AY172" s="303"/>
      <c r="AZ172" s="303"/>
      <c r="BA172" s="303"/>
      <c r="BB172" s="303"/>
      <c r="BC172" s="303"/>
      <c r="BD172" s="303"/>
      <c r="BE172" s="303"/>
      <c r="BF172" s="303"/>
    </row>
    <row r="173" spans="1:58" s="123" customFormat="1" ht="90">
      <c r="A173" s="331"/>
      <c r="B173" s="331"/>
      <c r="C173" s="331"/>
      <c r="D173" s="306"/>
      <c r="E173" s="306"/>
      <c r="F173" s="324"/>
      <c r="G173" s="306"/>
      <c r="H173" s="306"/>
      <c r="I173" s="306"/>
      <c r="J173" s="95"/>
      <c r="K173" s="122" t="s">
        <v>1086</v>
      </c>
      <c r="L173" s="122"/>
      <c r="M173" s="122" t="s">
        <v>1087</v>
      </c>
      <c r="N173" s="122">
        <v>7000</v>
      </c>
      <c r="O173" s="118">
        <v>1982</v>
      </c>
      <c r="P173" s="119"/>
      <c r="Q173" s="119"/>
      <c r="R173" s="119"/>
      <c r="S173" s="118">
        <f t="shared" si="13"/>
        <v>1982</v>
      </c>
      <c r="T173" s="120">
        <f t="shared" si="14"/>
        <v>0.28314285714285714</v>
      </c>
      <c r="U173" s="122" t="s">
        <v>1088</v>
      </c>
      <c r="V173" s="122" t="s">
        <v>1081</v>
      </c>
      <c r="W173" s="122">
        <v>330</v>
      </c>
      <c r="X173" s="122" t="s">
        <v>722</v>
      </c>
      <c r="Y173" s="122" t="s">
        <v>723</v>
      </c>
      <c r="Z173" s="306"/>
      <c r="AA173" s="306"/>
      <c r="AB173" s="306"/>
      <c r="AC173" s="306" t="s">
        <v>937</v>
      </c>
      <c r="AD173" s="306"/>
      <c r="AE173" s="350"/>
      <c r="AF173" s="306"/>
      <c r="AG173" s="306"/>
      <c r="AH173" s="306"/>
      <c r="AI173" s="173">
        <v>200000000</v>
      </c>
      <c r="AJ173" s="303"/>
      <c r="AK173" s="119"/>
      <c r="AL173" s="119"/>
      <c r="AM173" s="119"/>
      <c r="AN173" s="306"/>
      <c r="AO173" s="306"/>
      <c r="AP173" s="303"/>
      <c r="AQ173" s="305"/>
      <c r="AR173" s="303"/>
      <c r="AS173" s="305"/>
      <c r="AT173" s="303"/>
      <c r="AU173" s="303"/>
      <c r="AV173" s="303"/>
      <c r="AW173" s="303"/>
      <c r="AX173" s="303"/>
      <c r="AY173" s="303"/>
      <c r="AZ173" s="303"/>
      <c r="BA173" s="303"/>
      <c r="BB173" s="303"/>
      <c r="BC173" s="303"/>
      <c r="BD173" s="303"/>
      <c r="BE173" s="303"/>
      <c r="BF173" s="303"/>
    </row>
    <row r="174" spans="1:58" s="123" customFormat="1" ht="54">
      <c r="A174" s="331"/>
      <c r="B174" s="331"/>
      <c r="C174" s="331"/>
      <c r="D174" s="306"/>
      <c r="E174" s="306"/>
      <c r="F174" s="324"/>
      <c r="G174" s="306"/>
      <c r="H174" s="306"/>
      <c r="I174" s="306"/>
      <c r="J174" s="95"/>
      <c r="K174" s="122" t="s">
        <v>1089</v>
      </c>
      <c r="L174" s="122"/>
      <c r="M174" s="122" t="s">
        <v>1090</v>
      </c>
      <c r="N174" s="122">
        <v>150</v>
      </c>
      <c r="O174" s="118">
        <v>20</v>
      </c>
      <c r="P174" s="119"/>
      <c r="Q174" s="119"/>
      <c r="R174" s="119"/>
      <c r="S174" s="118">
        <f t="shared" si="13"/>
        <v>20</v>
      </c>
      <c r="T174" s="120">
        <f t="shared" si="14"/>
        <v>0.13333333333333333</v>
      </c>
      <c r="U174" s="122" t="s">
        <v>1091</v>
      </c>
      <c r="V174" s="122" t="s">
        <v>1081</v>
      </c>
      <c r="W174" s="122">
        <v>300</v>
      </c>
      <c r="X174" s="122" t="s">
        <v>722</v>
      </c>
      <c r="Y174" s="122" t="s">
        <v>723</v>
      </c>
      <c r="Z174" s="306"/>
      <c r="AA174" s="306"/>
      <c r="AB174" s="306"/>
      <c r="AC174" s="306" t="s">
        <v>937</v>
      </c>
      <c r="AD174" s="306"/>
      <c r="AE174" s="350"/>
      <c r="AF174" s="306"/>
      <c r="AG174" s="306"/>
      <c r="AH174" s="306"/>
      <c r="AI174" s="173">
        <v>150000000</v>
      </c>
      <c r="AJ174" s="303"/>
      <c r="AK174" s="119"/>
      <c r="AL174" s="119"/>
      <c r="AM174" s="119"/>
      <c r="AN174" s="306"/>
      <c r="AO174" s="306"/>
      <c r="AP174" s="303"/>
      <c r="AQ174" s="305"/>
      <c r="AR174" s="303"/>
      <c r="AS174" s="305"/>
      <c r="AT174" s="303"/>
      <c r="AU174" s="303"/>
      <c r="AV174" s="303"/>
      <c r="AW174" s="303"/>
      <c r="AX174" s="303"/>
      <c r="AY174" s="303"/>
      <c r="AZ174" s="303"/>
      <c r="BA174" s="303"/>
      <c r="BB174" s="303"/>
      <c r="BC174" s="303"/>
      <c r="BD174" s="303"/>
      <c r="BE174" s="303"/>
      <c r="BF174" s="303"/>
    </row>
    <row r="175" spans="1:58" s="123" customFormat="1" ht="108">
      <c r="A175" s="331"/>
      <c r="B175" s="331"/>
      <c r="C175" s="331"/>
      <c r="D175" s="306"/>
      <c r="E175" s="306"/>
      <c r="F175" s="324"/>
      <c r="G175" s="306"/>
      <c r="H175" s="306"/>
      <c r="I175" s="306"/>
      <c r="J175" s="95"/>
      <c r="K175" s="122" t="s">
        <v>1092</v>
      </c>
      <c r="L175" s="122"/>
      <c r="M175" s="122" t="s">
        <v>1093</v>
      </c>
      <c r="N175" s="122">
        <v>120</v>
      </c>
      <c r="O175" s="118">
        <v>39</v>
      </c>
      <c r="P175" s="119"/>
      <c r="Q175" s="119"/>
      <c r="R175" s="119"/>
      <c r="S175" s="118">
        <f t="shared" si="13"/>
        <v>39</v>
      </c>
      <c r="T175" s="120">
        <f t="shared" si="14"/>
        <v>0.32500000000000001</v>
      </c>
      <c r="U175" s="122" t="s">
        <v>1094</v>
      </c>
      <c r="V175" s="122" t="s">
        <v>1081</v>
      </c>
      <c r="W175" s="122">
        <f>12*30</f>
        <v>360</v>
      </c>
      <c r="X175" s="122" t="s">
        <v>722</v>
      </c>
      <c r="Y175" s="122" t="s">
        <v>723</v>
      </c>
      <c r="Z175" s="306"/>
      <c r="AA175" s="306"/>
      <c r="AB175" s="306"/>
      <c r="AC175" s="306" t="s">
        <v>937</v>
      </c>
      <c r="AD175" s="306"/>
      <c r="AE175" s="350"/>
      <c r="AF175" s="306"/>
      <c r="AG175" s="306"/>
      <c r="AH175" s="306"/>
      <c r="AI175" s="173">
        <v>200000000</v>
      </c>
      <c r="AJ175" s="303"/>
      <c r="AK175" s="119"/>
      <c r="AL175" s="119"/>
      <c r="AM175" s="119"/>
      <c r="AN175" s="306"/>
      <c r="AO175" s="306"/>
      <c r="AP175" s="303"/>
      <c r="AQ175" s="305"/>
      <c r="AR175" s="303"/>
      <c r="AS175" s="305"/>
      <c r="AT175" s="303"/>
      <c r="AU175" s="303"/>
      <c r="AV175" s="303"/>
      <c r="AW175" s="303"/>
      <c r="AX175" s="303"/>
      <c r="AY175" s="303"/>
      <c r="AZ175" s="303"/>
      <c r="BA175" s="303"/>
      <c r="BB175" s="303"/>
      <c r="BC175" s="303"/>
      <c r="BD175" s="303"/>
      <c r="BE175" s="303"/>
      <c r="BF175" s="303"/>
    </row>
    <row r="176" spans="1:58" s="123" customFormat="1" ht="90">
      <c r="A176" s="331"/>
      <c r="B176" s="331"/>
      <c r="C176" s="331"/>
      <c r="D176" s="306"/>
      <c r="E176" s="306"/>
      <c r="F176" s="324"/>
      <c r="G176" s="306"/>
      <c r="H176" s="306"/>
      <c r="I176" s="306"/>
      <c r="J176" s="95"/>
      <c r="K176" s="122" t="s">
        <v>1095</v>
      </c>
      <c r="L176" s="122"/>
      <c r="M176" s="122" t="s">
        <v>1096</v>
      </c>
      <c r="N176" s="122">
        <v>60</v>
      </c>
      <c r="O176" s="118">
        <v>10</v>
      </c>
      <c r="P176" s="119"/>
      <c r="Q176" s="119"/>
      <c r="R176" s="119"/>
      <c r="S176" s="118">
        <f t="shared" si="13"/>
        <v>10</v>
      </c>
      <c r="T176" s="120">
        <f t="shared" si="14"/>
        <v>0.16666666666666666</v>
      </c>
      <c r="U176" s="122" t="s">
        <v>1097</v>
      </c>
      <c r="V176" s="122" t="s">
        <v>1081</v>
      </c>
      <c r="W176" s="122">
        <v>330</v>
      </c>
      <c r="X176" s="122" t="s">
        <v>722</v>
      </c>
      <c r="Y176" s="122" t="s">
        <v>723</v>
      </c>
      <c r="Z176" s="306"/>
      <c r="AA176" s="306"/>
      <c r="AB176" s="306"/>
      <c r="AC176" s="306" t="s">
        <v>937</v>
      </c>
      <c r="AD176" s="306"/>
      <c r="AE176" s="350"/>
      <c r="AF176" s="306"/>
      <c r="AG176" s="306"/>
      <c r="AH176" s="306"/>
      <c r="AI176" s="173">
        <v>100000000</v>
      </c>
      <c r="AJ176" s="303"/>
      <c r="AK176" s="119"/>
      <c r="AL176" s="119"/>
      <c r="AM176" s="119"/>
      <c r="AN176" s="306"/>
      <c r="AO176" s="306"/>
      <c r="AP176" s="303"/>
      <c r="AQ176" s="305"/>
      <c r="AR176" s="303"/>
      <c r="AS176" s="305"/>
      <c r="AT176" s="303"/>
      <c r="AU176" s="303"/>
      <c r="AV176" s="303"/>
      <c r="AW176" s="303"/>
      <c r="AX176" s="303"/>
      <c r="AY176" s="303"/>
      <c r="AZ176" s="303"/>
      <c r="BA176" s="303"/>
      <c r="BB176" s="303"/>
      <c r="BC176" s="303"/>
      <c r="BD176" s="303"/>
      <c r="BE176" s="303"/>
      <c r="BF176" s="303"/>
    </row>
    <row r="177" spans="1:58" s="123" customFormat="1" ht="72">
      <c r="A177" s="331"/>
      <c r="B177" s="331"/>
      <c r="C177" s="331"/>
      <c r="D177" s="306" t="s">
        <v>461</v>
      </c>
      <c r="E177" s="306"/>
      <c r="F177" s="324"/>
      <c r="G177" s="306"/>
      <c r="H177" s="306" t="s">
        <v>1098</v>
      </c>
      <c r="I177" s="306" t="s">
        <v>1099</v>
      </c>
      <c r="J177" s="95"/>
      <c r="K177" s="122" t="s">
        <v>1100</v>
      </c>
      <c r="L177" s="122"/>
      <c r="M177" s="122" t="s">
        <v>1101</v>
      </c>
      <c r="N177" s="122">
        <v>10</v>
      </c>
      <c r="O177" s="118">
        <v>0</v>
      </c>
      <c r="P177" s="119"/>
      <c r="Q177" s="119"/>
      <c r="R177" s="119"/>
      <c r="S177" s="118">
        <f t="shared" si="13"/>
        <v>0</v>
      </c>
      <c r="T177" s="120">
        <f t="shared" si="14"/>
        <v>0</v>
      </c>
      <c r="U177" s="122" t="s">
        <v>1088</v>
      </c>
      <c r="V177" s="122" t="s">
        <v>1081</v>
      </c>
      <c r="W177" s="122">
        <v>300</v>
      </c>
      <c r="X177" s="122" t="s">
        <v>722</v>
      </c>
      <c r="Y177" s="122" t="s">
        <v>723</v>
      </c>
      <c r="Z177" s="306"/>
      <c r="AA177" s="306"/>
      <c r="AB177" s="306"/>
      <c r="AC177" s="306" t="s">
        <v>937</v>
      </c>
      <c r="AD177" s="306"/>
      <c r="AE177" s="350"/>
      <c r="AF177" s="306"/>
      <c r="AG177" s="306"/>
      <c r="AH177" s="306"/>
      <c r="AI177" s="173">
        <v>160000000</v>
      </c>
      <c r="AJ177" s="303"/>
      <c r="AK177" s="119"/>
      <c r="AL177" s="119"/>
      <c r="AM177" s="119"/>
      <c r="AN177" s="306"/>
      <c r="AO177" s="306"/>
      <c r="AP177" s="303"/>
      <c r="AQ177" s="305"/>
      <c r="AR177" s="303"/>
      <c r="AS177" s="305"/>
      <c r="AT177" s="303"/>
      <c r="AU177" s="303"/>
      <c r="AV177" s="303"/>
      <c r="AW177" s="303"/>
      <c r="AX177" s="303"/>
      <c r="AY177" s="303"/>
      <c r="AZ177" s="303"/>
      <c r="BA177" s="303"/>
      <c r="BB177" s="303"/>
      <c r="BC177" s="303"/>
      <c r="BD177" s="303"/>
      <c r="BE177" s="303"/>
      <c r="BF177" s="303"/>
    </row>
    <row r="178" spans="1:58" s="123" customFormat="1" ht="54">
      <c r="A178" s="331"/>
      <c r="B178" s="331"/>
      <c r="C178" s="331"/>
      <c r="D178" s="306"/>
      <c r="E178" s="306"/>
      <c r="F178" s="324"/>
      <c r="G178" s="306"/>
      <c r="H178" s="306"/>
      <c r="I178" s="306"/>
      <c r="J178" s="95"/>
      <c r="K178" s="122" t="s">
        <v>1102</v>
      </c>
      <c r="L178" s="122"/>
      <c r="M178" s="122" t="s">
        <v>1103</v>
      </c>
      <c r="N178" s="122">
        <v>1</v>
      </c>
      <c r="O178" s="118">
        <v>0</v>
      </c>
      <c r="P178" s="119"/>
      <c r="Q178" s="119"/>
      <c r="R178" s="119"/>
      <c r="S178" s="118">
        <f t="shared" si="13"/>
        <v>0</v>
      </c>
      <c r="T178" s="120">
        <f t="shared" si="14"/>
        <v>0</v>
      </c>
      <c r="U178" s="122" t="s">
        <v>1088</v>
      </c>
      <c r="V178" s="122" t="s">
        <v>785</v>
      </c>
      <c r="W178" s="122">
        <v>300</v>
      </c>
      <c r="X178" s="122" t="s">
        <v>722</v>
      </c>
      <c r="Y178" s="122" t="s">
        <v>723</v>
      </c>
      <c r="Z178" s="306"/>
      <c r="AA178" s="306"/>
      <c r="AB178" s="306"/>
      <c r="AC178" s="306" t="s">
        <v>937</v>
      </c>
      <c r="AD178" s="306"/>
      <c r="AE178" s="350"/>
      <c r="AF178" s="306"/>
      <c r="AG178" s="306"/>
      <c r="AH178" s="306"/>
      <c r="AI178" s="173">
        <v>120000000</v>
      </c>
      <c r="AJ178" s="303"/>
      <c r="AK178" s="119"/>
      <c r="AL178" s="119"/>
      <c r="AM178" s="119"/>
      <c r="AN178" s="306"/>
      <c r="AO178" s="306"/>
      <c r="AP178" s="303"/>
      <c r="AQ178" s="305"/>
      <c r="AR178" s="303"/>
      <c r="AS178" s="305"/>
      <c r="AT178" s="303"/>
      <c r="AU178" s="303"/>
      <c r="AV178" s="303"/>
      <c r="AW178" s="303"/>
      <c r="AX178" s="303"/>
      <c r="AY178" s="303"/>
      <c r="AZ178" s="303"/>
      <c r="BA178" s="303"/>
      <c r="BB178" s="303"/>
      <c r="BC178" s="303"/>
      <c r="BD178" s="303"/>
      <c r="BE178" s="303"/>
      <c r="BF178" s="303"/>
    </row>
    <row r="179" spans="1:58" s="123" customFormat="1" ht="114.75" customHeight="1">
      <c r="A179" s="127"/>
      <c r="B179" s="127"/>
      <c r="C179" s="127"/>
      <c r="D179" s="122"/>
      <c r="E179" s="122"/>
      <c r="F179" s="124"/>
      <c r="G179" s="122"/>
      <c r="H179" s="122"/>
      <c r="I179" s="122"/>
      <c r="J179" s="95"/>
      <c r="K179" s="302" t="s">
        <v>1309</v>
      </c>
      <c r="L179" s="302"/>
      <c r="M179" s="302"/>
      <c r="N179" s="302"/>
      <c r="O179" s="302"/>
      <c r="P179" s="302"/>
      <c r="Q179" s="302"/>
      <c r="R179" s="302"/>
      <c r="S179" s="302"/>
      <c r="T179" s="140">
        <f>AVERAGE(T172:T178)</f>
        <v>0.16286326530612244</v>
      </c>
      <c r="U179" s="122"/>
      <c r="V179" s="122"/>
      <c r="W179" s="122"/>
      <c r="X179" s="122"/>
      <c r="Y179" s="122"/>
      <c r="Z179" s="122"/>
      <c r="AA179" s="122"/>
      <c r="AB179" s="122"/>
      <c r="AC179" s="122"/>
      <c r="AD179" s="122"/>
      <c r="AE179" s="304" t="s">
        <v>1313</v>
      </c>
      <c r="AF179" s="304"/>
      <c r="AG179" s="304"/>
      <c r="AH179" s="304"/>
      <c r="AI179" s="304"/>
      <c r="AJ179" s="129">
        <f>+AJ172</f>
        <v>2100000000</v>
      </c>
      <c r="AK179" s="171"/>
      <c r="AL179" s="171"/>
      <c r="AM179" s="171"/>
      <c r="AN179" s="172"/>
      <c r="AO179" s="172"/>
      <c r="AP179" s="129">
        <f>+AP172</f>
        <v>1942842110</v>
      </c>
      <c r="AQ179" s="130">
        <f>+AQ172</f>
        <v>0.92516290952380953</v>
      </c>
      <c r="AR179" s="129">
        <f>+AR172</f>
        <v>488185386</v>
      </c>
      <c r="AS179" s="130">
        <f>+AS172</f>
        <v>0.23246923142857143</v>
      </c>
      <c r="AT179" s="119"/>
      <c r="AU179" s="119"/>
      <c r="AV179" s="119"/>
      <c r="AW179" s="119"/>
      <c r="AX179" s="119"/>
      <c r="AY179" s="119"/>
      <c r="AZ179" s="119"/>
      <c r="BA179" s="119"/>
      <c r="BB179" s="119"/>
      <c r="BC179" s="119"/>
      <c r="BD179" s="119"/>
      <c r="BE179" s="119"/>
      <c r="BF179" s="137"/>
    </row>
    <row r="180" spans="1:58" s="123" customFormat="1" ht="72">
      <c r="A180" s="355"/>
      <c r="B180" s="331" t="s">
        <v>464</v>
      </c>
      <c r="C180" s="331"/>
      <c r="D180" s="306" t="s">
        <v>471</v>
      </c>
      <c r="E180" s="306" t="s">
        <v>1104</v>
      </c>
      <c r="F180" s="324">
        <v>2024130010011</v>
      </c>
      <c r="G180" s="306" t="s">
        <v>1105</v>
      </c>
      <c r="H180" s="306" t="s">
        <v>1106</v>
      </c>
      <c r="I180" s="306" t="s">
        <v>1107</v>
      </c>
      <c r="J180" s="325">
        <v>0.15</v>
      </c>
      <c r="K180" s="122" t="s">
        <v>1108</v>
      </c>
      <c r="L180" s="122"/>
      <c r="M180" s="122" t="s">
        <v>1109</v>
      </c>
      <c r="N180" s="122">
        <v>23</v>
      </c>
      <c r="O180" s="118">
        <v>23</v>
      </c>
      <c r="P180" s="119"/>
      <c r="Q180" s="119"/>
      <c r="R180" s="119"/>
      <c r="S180" s="118">
        <f t="shared" si="13"/>
        <v>23</v>
      </c>
      <c r="T180" s="120">
        <f>(+S180/N180)/4</f>
        <v>0.25</v>
      </c>
      <c r="U180" s="122" t="s">
        <v>774</v>
      </c>
      <c r="V180" s="122" t="s">
        <v>785</v>
      </c>
      <c r="W180" s="122">
        <v>365</v>
      </c>
      <c r="X180" s="122" t="s">
        <v>722</v>
      </c>
      <c r="Y180" s="122" t="s">
        <v>723</v>
      </c>
      <c r="Z180" s="306" t="s">
        <v>1110</v>
      </c>
      <c r="AA180" s="306" t="s">
        <v>1111</v>
      </c>
      <c r="AB180" s="306" t="s">
        <v>1112</v>
      </c>
      <c r="AC180" s="306" t="s">
        <v>802</v>
      </c>
      <c r="AD180" s="122" t="s">
        <v>1113</v>
      </c>
      <c r="AE180" s="99">
        <v>23250000</v>
      </c>
      <c r="AF180" s="122" t="s">
        <v>1114</v>
      </c>
      <c r="AG180" s="122" t="s">
        <v>1115</v>
      </c>
      <c r="AH180" s="122" t="s">
        <v>774</v>
      </c>
      <c r="AI180" s="173">
        <v>55000000</v>
      </c>
      <c r="AJ180" s="303">
        <v>800000000</v>
      </c>
      <c r="AK180" s="119"/>
      <c r="AL180" s="119"/>
      <c r="AM180" s="119"/>
      <c r="AN180" s="122" t="s">
        <v>1115</v>
      </c>
      <c r="AO180" s="306" t="s">
        <v>1116</v>
      </c>
      <c r="AP180" s="303">
        <v>436118810</v>
      </c>
      <c r="AQ180" s="305">
        <f>+AP180/AJ180</f>
        <v>0.54514851249999996</v>
      </c>
      <c r="AR180" s="303">
        <v>129346270</v>
      </c>
      <c r="AS180" s="305">
        <f>+AR180/AJ180</f>
        <v>0.16168283750000001</v>
      </c>
      <c r="AT180" s="303"/>
      <c r="AU180" s="303"/>
      <c r="AV180" s="303"/>
      <c r="AW180" s="303"/>
      <c r="AX180" s="303"/>
      <c r="AY180" s="303"/>
      <c r="AZ180" s="303"/>
      <c r="BA180" s="303"/>
      <c r="BB180" s="303"/>
      <c r="BC180" s="303"/>
      <c r="BD180" s="303"/>
      <c r="BE180" s="303"/>
      <c r="BF180" s="303"/>
    </row>
    <row r="181" spans="1:58" s="123" customFormat="1" ht="72">
      <c r="A181" s="355"/>
      <c r="B181" s="331"/>
      <c r="C181" s="331"/>
      <c r="D181" s="306"/>
      <c r="E181" s="306"/>
      <c r="F181" s="324"/>
      <c r="G181" s="306"/>
      <c r="H181" s="306"/>
      <c r="I181" s="306"/>
      <c r="J181" s="325">
        <v>0.15</v>
      </c>
      <c r="K181" s="122" t="s">
        <v>1117</v>
      </c>
      <c r="L181" s="122"/>
      <c r="M181" s="122" t="s">
        <v>1118</v>
      </c>
      <c r="N181" s="122">
        <v>1</v>
      </c>
      <c r="O181" s="118">
        <v>1</v>
      </c>
      <c r="P181" s="119"/>
      <c r="Q181" s="119"/>
      <c r="R181" s="119"/>
      <c r="S181" s="118">
        <f t="shared" si="13"/>
        <v>1</v>
      </c>
      <c r="T181" s="120">
        <f t="shared" ref="T181:T194" si="17">(+S181/N181)/4</f>
        <v>0.25</v>
      </c>
      <c r="U181" s="122" t="s">
        <v>774</v>
      </c>
      <c r="V181" s="122" t="s">
        <v>785</v>
      </c>
      <c r="W181" s="122">
        <v>365</v>
      </c>
      <c r="X181" s="122" t="s">
        <v>722</v>
      </c>
      <c r="Y181" s="122" t="s">
        <v>723</v>
      </c>
      <c r="Z181" s="306"/>
      <c r="AA181" s="306"/>
      <c r="AB181" s="306" t="s">
        <v>1112</v>
      </c>
      <c r="AC181" s="306" t="s">
        <v>802</v>
      </c>
      <c r="AD181" s="122" t="s">
        <v>1002</v>
      </c>
      <c r="AE181" s="99">
        <v>57961538.461538464</v>
      </c>
      <c r="AF181" s="122" t="s">
        <v>1119</v>
      </c>
      <c r="AG181" s="122" t="s">
        <v>1115</v>
      </c>
      <c r="AH181" s="122" t="s">
        <v>774</v>
      </c>
      <c r="AI181" s="173">
        <v>60500000</v>
      </c>
      <c r="AJ181" s="303"/>
      <c r="AK181" s="119"/>
      <c r="AL181" s="119"/>
      <c r="AM181" s="119"/>
      <c r="AN181" s="122" t="s">
        <v>1115</v>
      </c>
      <c r="AO181" s="306"/>
      <c r="AP181" s="303"/>
      <c r="AQ181" s="305"/>
      <c r="AR181" s="303"/>
      <c r="AS181" s="305"/>
      <c r="AT181" s="303"/>
      <c r="AU181" s="303"/>
      <c r="AV181" s="303"/>
      <c r="AW181" s="303"/>
      <c r="AX181" s="303"/>
      <c r="AY181" s="303"/>
      <c r="AZ181" s="303"/>
      <c r="BA181" s="303"/>
      <c r="BB181" s="303"/>
      <c r="BC181" s="303"/>
      <c r="BD181" s="303"/>
      <c r="BE181" s="303"/>
      <c r="BF181" s="303"/>
    </row>
    <row r="182" spans="1:58" s="123" customFormat="1" ht="54">
      <c r="A182" s="355"/>
      <c r="B182" s="331"/>
      <c r="C182" s="331"/>
      <c r="D182" s="306"/>
      <c r="E182" s="306"/>
      <c r="F182" s="324"/>
      <c r="G182" s="306"/>
      <c r="H182" s="306"/>
      <c r="I182" s="306"/>
      <c r="J182" s="325">
        <v>0.15</v>
      </c>
      <c r="K182" s="122" t="s">
        <v>1120</v>
      </c>
      <c r="L182" s="122"/>
      <c r="M182" s="122" t="s">
        <v>1121</v>
      </c>
      <c r="N182" s="122">
        <v>12</v>
      </c>
      <c r="O182" s="118">
        <v>3</v>
      </c>
      <c r="P182" s="119"/>
      <c r="Q182" s="119"/>
      <c r="R182" s="119"/>
      <c r="S182" s="118">
        <f t="shared" si="13"/>
        <v>3</v>
      </c>
      <c r="T182" s="120">
        <f>(+S182/N182)</f>
        <v>0.25</v>
      </c>
      <c r="U182" s="122" t="s">
        <v>774</v>
      </c>
      <c r="V182" s="122" t="s">
        <v>785</v>
      </c>
      <c r="W182" s="122">
        <v>365</v>
      </c>
      <c r="X182" s="122" t="s">
        <v>722</v>
      </c>
      <c r="Y182" s="122" t="s">
        <v>723</v>
      </c>
      <c r="Z182" s="306"/>
      <c r="AA182" s="306"/>
      <c r="AB182" s="306" t="s">
        <v>1122</v>
      </c>
      <c r="AC182" s="306" t="s">
        <v>802</v>
      </c>
      <c r="AD182" s="122" t="s">
        <v>1002</v>
      </c>
      <c r="AE182" s="99">
        <v>57961538.461538464</v>
      </c>
      <c r="AF182" s="122" t="s">
        <v>1119</v>
      </c>
      <c r="AG182" s="122" t="s">
        <v>1115</v>
      </c>
      <c r="AH182" s="122" t="s">
        <v>774</v>
      </c>
      <c r="AI182" s="173">
        <v>49500000</v>
      </c>
      <c r="AJ182" s="303"/>
      <c r="AK182" s="119"/>
      <c r="AL182" s="119"/>
      <c r="AM182" s="119"/>
      <c r="AN182" s="122" t="s">
        <v>1115</v>
      </c>
      <c r="AO182" s="306"/>
      <c r="AP182" s="303"/>
      <c r="AQ182" s="305"/>
      <c r="AR182" s="303"/>
      <c r="AS182" s="305"/>
      <c r="AT182" s="303"/>
      <c r="AU182" s="303"/>
      <c r="AV182" s="303"/>
      <c r="AW182" s="303"/>
      <c r="AX182" s="303"/>
      <c r="AY182" s="303"/>
      <c r="AZ182" s="303"/>
      <c r="BA182" s="303"/>
      <c r="BB182" s="303"/>
      <c r="BC182" s="303"/>
      <c r="BD182" s="303"/>
      <c r="BE182" s="303"/>
      <c r="BF182" s="303"/>
    </row>
    <row r="183" spans="1:58" s="123" customFormat="1" ht="72">
      <c r="A183" s="355"/>
      <c r="B183" s="331"/>
      <c r="C183" s="331"/>
      <c r="D183" s="306"/>
      <c r="E183" s="306"/>
      <c r="F183" s="324"/>
      <c r="G183" s="306"/>
      <c r="H183" s="306"/>
      <c r="I183" s="306"/>
      <c r="J183" s="325">
        <v>0.1</v>
      </c>
      <c r="K183" s="122" t="s">
        <v>1123</v>
      </c>
      <c r="L183" s="122"/>
      <c r="M183" s="122" t="s">
        <v>1124</v>
      </c>
      <c r="N183" s="122">
        <v>1</v>
      </c>
      <c r="O183" s="118">
        <v>1</v>
      </c>
      <c r="P183" s="119"/>
      <c r="Q183" s="119"/>
      <c r="R183" s="119"/>
      <c r="S183" s="118">
        <f t="shared" si="13"/>
        <v>1</v>
      </c>
      <c r="T183" s="120">
        <f t="shared" si="17"/>
        <v>0.25</v>
      </c>
      <c r="U183" s="122" t="s">
        <v>774</v>
      </c>
      <c r="V183" s="122" t="s">
        <v>785</v>
      </c>
      <c r="W183" s="122">
        <v>365</v>
      </c>
      <c r="X183" s="122" t="s">
        <v>722</v>
      </c>
      <c r="Y183" s="122" t="s">
        <v>723</v>
      </c>
      <c r="Z183" s="306"/>
      <c r="AA183" s="306"/>
      <c r="AB183" s="306" t="s">
        <v>1125</v>
      </c>
      <c r="AC183" s="306" t="s">
        <v>802</v>
      </c>
      <c r="AD183" s="122" t="s">
        <v>1002</v>
      </c>
      <c r="AE183" s="99">
        <v>57961538.461538464</v>
      </c>
      <c r="AF183" s="122" t="s">
        <v>1119</v>
      </c>
      <c r="AG183" s="122" t="s">
        <v>1115</v>
      </c>
      <c r="AH183" s="122" t="s">
        <v>774</v>
      </c>
      <c r="AI183" s="173">
        <v>30250000</v>
      </c>
      <c r="AJ183" s="303"/>
      <c r="AK183" s="119"/>
      <c r="AL183" s="119"/>
      <c r="AM183" s="119"/>
      <c r="AN183" s="122" t="s">
        <v>1115</v>
      </c>
      <c r="AO183" s="306"/>
      <c r="AP183" s="303"/>
      <c r="AQ183" s="305"/>
      <c r="AR183" s="303"/>
      <c r="AS183" s="305"/>
      <c r="AT183" s="303"/>
      <c r="AU183" s="303"/>
      <c r="AV183" s="303"/>
      <c r="AW183" s="303"/>
      <c r="AX183" s="303"/>
      <c r="AY183" s="303"/>
      <c r="AZ183" s="303"/>
      <c r="BA183" s="303"/>
      <c r="BB183" s="303"/>
      <c r="BC183" s="303"/>
      <c r="BD183" s="303"/>
      <c r="BE183" s="303"/>
      <c r="BF183" s="303"/>
    </row>
    <row r="184" spans="1:58" s="123" customFormat="1" ht="72">
      <c r="A184" s="355"/>
      <c r="B184" s="331"/>
      <c r="C184" s="331"/>
      <c r="D184" s="306"/>
      <c r="E184" s="306"/>
      <c r="F184" s="324"/>
      <c r="G184" s="306"/>
      <c r="H184" s="306"/>
      <c r="I184" s="306"/>
      <c r="J184" s="325">
        <v>0.1</v>
      </c>
      <c r="K184" s="122" t="s">
        <v>1126</v>
      </c>
      <c r="L184" s="122"/>
      <c r="M184" s="122" t="s">
        <v>1121</v>
      </c>
      <c r="N184" s="122">
        <v>1</v>
      </c>
      <c r="O184" s="118">
        <v>1</v>
      </c>
      <c r="P184" s="119"/>
      <c r="Q184" s="119"/>
      <c r="R184" s="119"/>
      <c r="S184" s="118">
        <f t="shared" si="13"/>
        <v>1</v>
      </c>
      <c r="T184" s="120">
        <f t="shared" si="17"/>
        <v>0.25</v>
      </c>
      <c r="U184" s="122" t="s">
        <v>774</v>
      </c>
      <c r="V184" s="122" t="s">
        <v>785</v>
      </c>
      <c r="W184" s="122">
        <v>365</v>
      </c>
      <c r="X184" s="122" t="s">
        <v>722</v>
      </c>
      <c r="Y184" s="122" t="s">
        <v>723</v>
      </c>
      <c r="Z184" s="306"/>
      <c r="AA184" s="306"/>
      <c r="AB184" s="306" t="s">
        <v>1122</v>
      </c>
      <c r="AC184" s="306" t="s">
        <v>802</v>
      </c>
      <c r="AD184" s="122" t="s">
        <v>1002</v>
      </c>
      <c r="AE184" s="99">
        <v>57961538.461538464</v>
      </c>
      <c r="AF184" s="122" t="s">
        <v>1119</v>
      </c>
      <c r="AG184" s="122" t="s">
        <v>1115</v>
      </c>
      <c r="AH184" s="122" t="s">
        <v>774</v>
      </c>
      <c r="AI184" s="173">
        <v>60500000</v>
      </c>
      <c r="AJ184" s="303"/>
      <c r="AK184" s="119"/>
      <c r="AL184" s="119"/>
      <c r="AM184" s="119"/>
      <c r="AN184" s="122" t="s">
        <v>1115</v>
      </c>
      <c r="AO184" s="306"/>
      <c r="AP184" s="303"/>
      <c r="AQ184" s="305"/>
      <c r="AR184" s="303"/>
      <c r="AS184" s="305"/>
      <c r="AT184" s="303"/>
      <c r="AU184" s="303"/>
      <c r="AV184" s="303"/>
      <c r="AW184" s="303"/>
      <c r="AX184" s="303"/>
      <c r="AY184" s="303"/>
      <c r="AZ184" s="303"/>
      <c r="BA184" s="303"/>
      <c r="BB184" s="303"/>
      <c r="BC184" s="303"/>
      <c r="BD184" s="303"/>
      <c r="BE184" s="303"/>
      <c r="BF184" s="303"/>
    </row>
    <row r="185" spans="1:58" s="123" customFormat="1" ht="54">
      <c r="A185" s="355"/>
      <c r="B185" s="331"/>
      <c r="C185" s="331"/>
      <c r="D185" s="306"/>
      <c r="E185" s="306"/>
      <c r="F185" s="324"/>
      <c r="G185" s="306"/>
      <c r="H185" s="306"/>
      <c r="I185" s="306"/>
      <c r="J185" s="325">
        <v>0.3</v>
      </c>
      <c r="K185" s="122" t="s">
        <v>1127</v>
      </c>
      <c r="L185" s="122"/>
      <c r="M185" s="122" t="s">
        <v>1121</v>
      </c>
      <c r="N185" s="122">
        <v>1</v>
      </c>
      <c r="O185" s="118">
        <v>1</v>
      </c>
      <c r="P185" s="119"/>
      <c r="Q185" s="119"/>
      <c r="R185" s="119"/>
      <c r="S185" s="118">
        <f t="shared" si="13"/>
        <v>1</v>
      </c>
      <c r="T185" s="120">
        <f t="shared" si="17"/>
        <v>0.25</v>
      </c>
      <c r="U185" s="122" t="s">
        <v>774</v>
      </c>
      <c r="V185" s="122" t="s">
        <v>785</v>
      </c>
      <c r="W185" s="122">
        <v>365</v>
      </c>
      <c r="X185" s="122" t="s">
        <v>722</v>
      </c>
      <c r="Y185" s="122" t="s">
        <v>723</v>
      </c>
      <c r="Z185" s="306"/>
      <c r="AA185" s="306"/>
      <c r="AB185" s="306" t="s">
        <v>1125</v>
      </c>
      <c r="AC185" s="306" t="s">
        <v>802</v>
      </c>
      <c r="AD185" s="122" t="s">
        <v>1002</v>
      </c>
      <c r="AE185" s="99">
        <v>57961538.461538464</v>
      </c>
      <c r="AF185" s="122" t="s">
        <v>1119</v>
      </c>
      <c r="AG185" s="122" t="s">
        <v>1115</v>
      </c>
      <c r="AH185" s="122" t="s">
        <v>774</v>
      </c>
      <c r="AI185" s="173">
        <v>60500000</v>
      </c>
      <c r="AJ185" s="303"/>
      <c r="AK185" s="119"/>
      <c r="AL185" s="119"/>
      <c r="AM185" s="119"/>
      <c r="AN185" s="122" t="s">
        <v>1115</v>
      </c>
      <c r="AO185" s="306"/>
      <c r="AP185" s="303"/>
      <c r="AQ185" s="305"/>
      <c r="AR185" s="303"/>
      <c r="AS185" s="305"/>
      <c r="AT185" s="303"/>
      <c r="AU185" s="303"/>
      <c r="AV185" s="303"/>
      <c r="AW185" s="303"/>
      <c r="AX185" s="303"/>
      <c r="AY185" s="303"/>
      <c r="AZ185" s="303"/>
      <c r="BA185" s="303"/>
      <c r="BB185" s="303"/>
      <c r="BC185" s="303"/>
      <c r="BD185" s="303"/>
      <c r="BE185" s="303"/>
      <c r="BF185" s="303"/>
    </row>
    <row r="186" spans="1:58" s="123" customFormat="1" ht="72">
      <c r="A186" s="355"/>
      <c r="B186" s="331"/>
      <c r="C186" s="331"/>
      <c r="D186" s="306"/>
      <c r="E186" s="306"/>
      <c r="F186" s="324"/>
      <c r="G186" s="306"/>
      <c r="H186" s="306"/>
      <c r="I186" s="306"/>
      <c r="J186" s="325">
        <v>0.1</v>
      </c>
      <c r="K186" s="122" t="s">
        <v>1128</v>
      </c>
      <c r="L186" s="122"/>
      <c r="M186" s="122" t="s">
        <v>1129</v>
      </c>
      <c r="N186" s="122">
        <v>1</v>
      </c>
      <c r="O186" s="118">
        <v>1</v>
      </c>
      <c r="P186" s="119"/>
      <c r="Q186" s="119"/>
      <c r="R186" s="119"/>
      <c r="S186" s="118">
        <f t="shared" si="13"/>
        <v>1</v>
      </c>
      <c r="T186" s="120">
        <f t="shared" si="17"/>
        <v>0.25</v>
      </c>
      <c r="U186" s="122" t="s">
        <v>774</v>
      </c>
      <c r="V186" s="122" t="s">
        <v>785</v>
      </c>
      <c r="W186" s="122">
        <v>365</v>
      </c>
      <c r="X186" s="122" t="s">
        <v>722</v>
      </c>
      <c r="Y186" s="122" t="s">
        <v>723</v>
      </c>
      <c r="Z186" s="306"/>
      <c r="AA186" s="306"/>
      <c r="AB186" s="306" t="s">
        <v>1125</v>
      </c>
      <c r="AC186" s="306" t="s">
        <v>802</v>
      </c>
      <c r="AD186" s="122" t="s">
        <v>1002</v>
      </c>
      <c r="AE186" s="99">
        <v>57961538.461538464</v>
      </c>
      <c r="AF186" s="122" t="s">
        <v>1119</v>
      </c>
      <c r="AG186" s="122" t="s">
        <v>1115</v>
      </c>
      <c r="AH186" s="122" t="s">
        <v>774</v>
      </c>
      <c r="AI186" s="173">
        <v>0</v>
      </c>
      <c r="AJ186" s="303"/>
      <c r="AK186" s="119"/>
      <c r="AL186" s="119"/>
      <c r="AM186" s="119"/>
      <c r="AN186" s="122" t="s">
        <v>1115</v>
      </c>
      <c r="AO186" s="306"/>
      <c r="AP186" s="303"/>
      <c r="AQ186" s="305"/>
      <c r="AR186" s="303"/>
      <c r="AS186" s="305"/>
      <c r="AT186" s="303"/>
      <c r="AU186" s="303"/>
      <c r="AV186" s="303"/>
      <c r="AW186" s="303"/>
      <c r="AX186" s="303"/>
      <c r="AY186" s="303"/>
      <c r="AZ186" s="303"/>
      <c r="BA186" s="303"/>
      <c r="BB186" s="303"/>
      <c r="BC186" s="303"/>
      <c r="BD186" s="303"/>
      <c r="BE186" s="303"/>
      <c r="BF186" s="303"/>
    </row>
    <row r="187" spans="1:58" s="123" customFormat="1" ht="72">
      <c r="A187" s="355"/>
      <c r="B187" s="331"/>
      <c r="C187" s="331"/>
      <c r="D187" s="306"/>
      <c r="E187" s="306"/>
      <c r="F187" s="324"/>
      <c r="G187" s="306"/>
      <c r="H187" s="306"/>
      <c r="I187" s="306"/>
      <c r="J187" s="325"/>
      <c r="K187" s="122" t="s">
        <v>1130</v>
      </c>
      <c r="L187" s="122"/>
      <c r="M187" s="122" t="s">
        <v>1131</v>
      </c>
      <c r="N187" s="122">
        <v>1</v>
      </c>
      <c r="O187" s="118">
        <v>1</v>
      </c>
      <c r="P187" s="119"/>
      <c r="Q187" s="119"/>
      <c r="R187" s="119"/>
      <c r="S187" s="118">
        <f t="shared" si="13"/>
        <v>1</v>
      </c>
      <c r="T187" s="120">
        <f t="shared" si="17"/>
        <v>0.25</v>
      </c>
      <c r="U187" s="122" t="s">
        <v>774</v>
      </c>
      <c r="V187" s="122" t="s">
        <v>785</v>
      </c>
      <c r="W187" s="122">
        <v>365</v>
      </c>
      <c r="X187" s="122" t="s">
        <v>722</v>
      </c>
      <c r="Y187" s="122" t="s">
        <v>723</v>
      </c>
      <c r="Z187" s="306"/>
      <c r="AA187" s="306"/>
      <c r="AB187" s="306" t="s">
        <v>1125</v>
      </c>
      <c r="AC187" s="306" t="s">
        <v>802</v>
      </c>
      <c r="AD187" s="122" t="s">
        <v>1002</v>
      </c>
      <c r="AE187" s="99">
        <v>57961538.461538464</v>
      </c>
      <c r="AF187" s="122" t="s">
        <v>1119</v>
      </c>
      <c r="AG187" s="122" t="s">
        <v>1115</v>
      </c>
      <c r="AH187" s="122" t="s">
        <v>774</v>
      </c>
      <c r="AI187" s="173">
        <v>52800000</v>
      </c>
      <c r="AJ187" s="303"/>
      <c r="AK187" s="119"/>
      <c r="AL187" s="119"/>
      <c r="AM187" s="119"/>
      <c r="AN187" s="122" t="s">
        <v>1115</v>
      </c>
      <c r="AO187" s="306"/>
      <c r="AP187" s="303"/>
      <c r="AQ187" s="305"/>
      <c r="AR187" s="303"/>
      <c r="AS187" s="305"/>
      <c r="AT187" s="303"/>
      <c r="AU187" s="303"/>
      <c r="AV187" s="303"/>
      <c r="AW187" s="303"/>
      <c r="AX187" s="303"/>
      <c r="AY187" s="303"/>
      <c r="AZ187" s="303"/>
      <c r="BA187" s="303"/>
      <c r="BB187" s="303"/>
      <c r="BC187" s="303"/>
      <c r="BD187" s="303"/>
      <c r="BE187" s="303"/>
      <c r="BF187" s="303"/>
    </row>
    <row r="188" spans="1:58" s="123" customFormat="1" ht="180">
      <c r="A188" s="355"/>
      <c r="B188" s="331"/>
      <c r="C188" s="331"/>
      <c r="D188" s="306"/>
      <c r="E188" s="306"/>
      <c r="F188" s="324"/>
      <c r="G188" s="306"/>
      <c r="H188" s="306"/>
      <c r="I188" s="306"/>
      <c r="J188" s="325"/>
      <c r="K188" s="122" t="s">
        <v>1132</v>
      </c>
      <c r="L188" s="122"/>
      <c r="M188" s="122" t="s">
        <v>1133</v>
      </c>
      <c r="N188" s="122">
        <v>1</v>
      </c>
      <c r="O188" s="118">
        <v>1</v>
      </c>
      <c r="P188" s="119"/>
      <c r="Q188" s="119"/>
      <c r="R188" s="119"/>
      <c r="S188" s="118">
        <f t="shared" si="13"/>
        <v>1</v>
      </c>
      <c r="T188" s="120">
        <f t="shared" si="17"/>
        <v>0.25</v>
      </c>
      <c r="U188" s="122" t="s">
        <v>774</v>
      </c>
      <c r="V188" s="122" t="s">
        <v>785</v>
      </c>
      <c r="W188" s="122">
        <v>365</v>
      </c>
      <c r="X188" s="122" t="s">
        <v>722</v>
      </c>
      <c r="Y188" s="122" t="s">
        <v>723</v>
      </c>
      <c r="Z188" s="306"/>
      <c r="AA188" s="306"/>
      <c r="AB188" s="306" t="s">
        <v>1125</v>
      </c>
      <c r="AC188" s="306" t="s">
        <v>802</v>
      </c>
      <c r="AD188" s="122" t="s">
        <v>1002</v>
      </c>
      <c r="AE188" s="99">
        <v>57961538.461538464</v>
      </c>
      <c r="AF188" s="122" t="s">
        <v>1119</v>
      </c>
      <c r="AG188" s="122" t="s">
        <v>1115</v>
      </c>
      <c r="AH188" s="122" t="s">
        <v>774</v>
      </c>
      <c r="AI188" s="173">
        <v>38500000</v>
      </c>
      <c r="AJ188" s="303"/>
      <c r="AK188" s="119"/>
      <c r="AL188" s="119"/>
      <c r="AM188" s="119"/>
      <c r="AN188" s="122" t="s">
        <v>1115</v>
      </c>
      <c r="AO188" s="306"/>
      <c r="AP188" s="303"/>
      <c r="AQ188" s="305"/>
      <c r="AR188" s="303"/>
      <c r="AS188" s="305"/>
      <c r="AT188" s="303"/>
      <c r="AU188" s="303"/>
      <c r="AV188" s="303"/>
      <c r="AW188" s="303"/>
      <c r="AX188" s="303"/>
      <c r="AY188" s="303"/>
      <c r="AZ188" s="303"/>
      <c r="BA188" s="303"/>
      <c r="BB188" s="303"/>
      <c r="BC188" s="303"/>
      <c r="BD188" s="303"/>
      <c r="BE188" s="303"/>
      <c r="BF188" s="303"/>
    </row>
    <row r="189" spans="1:58" s="123" customFormat="1" ht="54">
      <c r="A189" s="355"/>
      <c r="B189" s="331"/>
      <c r="C189" s="331"/>
      <c r="D189" s="306"/>
      <c r="E189" s="306"/>
      <c r="F189" s="324"/>
      <c r="G189" s="306"/>
      <c r="H189" s="306"/>
      <c r="I189" s="306"/>
      <c r="J189" s="325"/>
      <c r="K189" s="122" t="s">
        <v>1134</v>
      </c>
      <c r="L189" s="122"/>
      <c r="M189" s="122" t="s">
        <v>1121</v>
      </c>
      <c r="N189" s="122">
        <v>12</v>
      </c>
      <c r="O189" s="118">
        <v>3</v>
      </c>
      <c r="P189" s="119"/>
      <c r="Q189" s="119"/>
      <c r="R189" s="119"/>
      <c r="S189" s="118">
        <f t="shared" si="13"/>
        <v>3</v>
      </c>
      <c r="T189" s="120">
        <f>(+S189/N189)</f>
        <v>0.25</v>
      </c>
      <c r="U189" s="122" t="s">
        <v>774</v>
      </c>
      <c r="V189" s="122" t="s">
        <v>785</v>
      </c>
      <c r="W189" s="122">
        <v>365</v>
      </c>
      <c r="X189" s="122" t="s">
        <v>722</v>
      </c>
      <c r="Y189" s="122" t="s">
        <v>723</v>
      </c>
      <c r="Z189" s="306"/>
      <c r="AA189" s="306"/>
      <c r="AB189" s="306" t="s">
        <v>1125</v>
      </c>
      <c r="AC189" s="306" t="s">
        <v>802</v>
      </c>
      <c r="AD189" s="122" t="s">
        <v>1002</v>
      </c>
      <c r="AE189" s="99">
        <v>57961538.461538464</v>
      </c>
      <c r="AF189" s="122" t="s">
        <v>1119</v>
      </c>
      <c r="AG189" s="122" t="s">
        <v>1115</v>
      </c>
      <c r="AH189" s="122" t="s">
        <v>774</v>
      </c>
      <c r="AI189" s="173">
        <v>28750000</v>
      </c>
      <c r="AJ189" s="303"/>
      <c r="AK189" s="119"/>
      <c r="AL189" s="119"/>
      <c r="AM189" s="119"/>
      <c r="AN189" s="122" t="s">
        <v>1115</v>
      </c>
      <c r="AO189" s="306"/>
      <c r="AP189" s="303"/>
      <c r="AQ189" s="305"/>
      <c r="AR189" s="303"/>
      <c r="AS189" s="305"/>
      <c r="AT189" s="303"/>
      <c r="AU189" s="303"/>
      <c r="AV189" s="303"/>
      <c r="AW189" s="303"/>
      <c r="AX189" s="303"/>
      <c r="AY189" s="303"/>
      <c r="AZ189" s="303"/>
      <c r="BA189" s="303"/>
      <c r="BB189" s="303"/>
      <c r="BC189" s="303"/>
      <c r="BD189" s="303"/>
      <c r="BE189" s="303"/>
      <c r="BF189" s="303"/>
    </row>
    <row r="190" spans="1:58" s="123" customFormat="1" ht="90">
      <c r="A190" s="355"/>
      <c r="B190" s="331"/>
      <c r="C190" s="331"/>
      <c r="D190" s="306"/>
      <c r="E190" s="306"/>
      <c r="F190" s="324"/>
      <c r="G190" s="306"/>
      <c r="H190" s="306"/>
      <c r="I190" s="306"/>
      <c r="J190" s="325"/>
      <c r="K190" s="122" t="s">
        <v>1135</v>
      </c>
      <c r="L190" s="122"/>
      <c r="M190" s="122" t="s">
        <v>1136</v>
      </c>
      <c r="N190" s="122">
        <v>1</v>
      </c>
      <c r="O190" s="118">
        <v>1</v>
      </c>
      <c r="P190" s="119"/>
      <c r="Q190" s="119"/>
      <c r="R190" s="119"/>
      <c r="S190" s="118">
        <f t="shared" si="13"/>
        <v>1</v>
      </c>
      <c r="T190" s="120">
        <f t="shared" si="17"/>
        <v>0.25</v>
      </c>
      <c r="U190" s="122" t="s">
        <v>774</v>
      </c>
      <c r="V190" s="122" t="s">
        <v>785</v>
      </c>
      <c r="W190" s="122">
        <v>365</v>
      </c>
      <c r="X190" s="122" t="s">
        <v>722</v>
      </c>
      <c r="Y190" s="122" t="s">
        <v>723</v>
      </c>
      <c r="Z190" s="306"/>
      <c r="AA190" s="306"/>
      <c r="AB190" s="306" t="s">
        <v>1137</v>
      </c>
      <c r="AC190" s="306" t="s">
        <v>802</v>
      </c>
      <c r="AD190" s="122" t="s">
        <v>1002</v>
      </c>
      <c r="AE190" s="99">
        <v>57961538.461538464</v>
      </c>
      <c r="AF190" s="122" t="s">
        <v>1119</v>
      </c>
      <c r="AG190" s="122" t="s">
        <v>1115</v>
      </c>
      <c r="AH190" s="122" t="s">
        <v>774</v>
      </c>
      <c r="AI190" s="173">
        <v>57200000</v>
      </c>
      <c r="AJ190" s="303"/>
      <c r="AK190" s="119"/>
      <c r="AL190" s="119"/>
      <c r="AM190" s="119"/>
      <c r="AN190" s="122" t="s">
        <v>1115</v>
      </c>
      <c r="AO190" s="306"/>
      <c r="AP190" s="303"/>
      <c r="AQ190" s="305"/>
      <c r="AR190" s="303"/>
      <c r="AS190" s="305"/>
      <c r="AT190" s="303"/>
      <c r="AU190" s="303"/>
      <c r="AV190" s="303"/>
      <c r="AW190" s="303"/>
      <c r="AX190" s="303"/>
      <c r="AY190" s="303"/>
      <c r="AZ190" s="303"/>
      <c r="BA190" s="303"/>
      <c r="BB190" s="303"/>
      <c r="BC190" s="303"/>
      <c r="BD190" s="303"/>
      <c r="BE190" s="303"/>
      <c r="BF190" s="303"/>
    </row>
    <row r="191" spans="1:58" s="123" customFormat="1" ht="90">
      <c r="A191" s="355"/>
      <c r="B191" s="331"/>
      <c r="C191" s="331"/>
      <c r="D191" s="306"/>
      <c r="E191" s="306"/>
      <c r="F191" s="324"/>
      <c r="G191" s="306"/>
      <c r="H191" s="306"/>
      <c r="I191" s="306"/>
      <c r="J191" s="325"/>
      <c r="K191" s="122" t="s">
        <v>1138</v>
      </c>
      <c r="L191" s="122"/>
      <c r="M191" s="122" t="s">
        <v>1121</v>
      </c>
      <c r="N191" s="122">
        <v>1</v>
      </c>
      <c r="O191" s="118">
        <v>1</v>
      </c>
      <c r="P191" s="119"/>
      <c r="Q191" s="119"/>
      <c r="R191" s="119"/>
      <c r="S191" s="118">
        <f t="shared" si="13"/>
        <v>1</v>
      </c>
      <c r="T191" s="120">
        <f t="shared" si="17"/>
        <v>0.25</v>
      </c>
      <c r="U191" s="122" t="s">
        <v>774</v>
      </c>
      <c r="V191" s="122" t="s">
        <v>785</v>
      </c>
      <c r="W191" s="122">
        <v>365</v>
      </c>
      <c r="X191" s="122" t="s">
        <v>722</v>
      </c>
      <c r="Y191" s="122" t="s">
        <v>723</v>
      </c>
      <c r="Z191" s="306"/>
      <c r="AA191" s="306"/>
      <c r="AB191" s="306" t="s">
        <v>1122</v>
      </c>
      <c r="AC191" s="306" t="s">
        <v>802</v>
      </c>
      <c r="AD191" s="122" t="s">
        <v>1002</v>
      </c>
      <c r="AE191" s="99">
        <v>57961538.461538464</v>
      </c>
      <c r="AF191" s="122" t="s">
        <v>1119</v>
      </c>
      <c r="AG191" s="122" t="s">
        <v>1115</v>
      </c>
      <c r="AH191" s="122" t="s">
        <v>774</v>
      </c>
      <c r="AI191" s="173">
        <v>60500000</v>
      </c>
      <c r="AJ191" s="303"/>
      <c r="AK191" s="119"/>
      <c r="AL191" s="119"/>
      <c r="AM191" s="119"/>
      <c r="AN191" s="122" t="s">
        <v>1115</v>
      </c>
      <c r="AO191" s="306"/>
      <c r="AP191" s="303"/>
      <c r="AQ191" s="305"/>
      <c r="AR191" s="303"/>
      <c r="AS191" s="305"/>
      <c r="AT191" s="303"/>
      <c r="AU191" s="303"/>
      <c r="AV191" s="303"/>
      <c r="AW191" s="303"/>
      <c r="AX191" s="303"/>
      <c r="AY191" s="303"/>
      <c r="AZ191" s="303"/>
      <c r="BA191" s="303"/>
      <c r="BB191" s="303"/>
      <c r="BC191" s="303"/>
      <c r="BD191" s="303"/>
      <c r="BE191" s="303"/>
      <c r="BF191" s="303"/>
    </row>
    <row r="192" spans="1:58" s="123" customFormat="1" ht="108">
      <c r="A192" s="355"/>
      <c r="B192" s="331"/>
      <c r="C192" s="331"/>
      <c r="D192" s="306" t="s">
        <v>475</v>
      </c>
      <c r="E192" s="306"/>
      <c r="F192" s="324"/>
      <c r="G192" s="306"/>
      <c r="H192" s="306" t="s">
        <v>1139</v>
      </c>
      <c r="I192" s="306" t="s">
        <v>359</v>
      </c>
      <c r="J192" s="325">
        <v>0.15</v>
      </c>
      <c r="K192" s="122" t="s">
        <v>1140</v>
      </c>
      <c r="L192" s="122"/>
      <c r="M192" s="122" t="s">
        <v>1141</v>
      </c>
      <c r="N192" s="122">
        <v>1</v>
      </c>
      <c r="O192" s="118">
        <v>1</v>
      </c>
      <c r="P192" s="119"/>
      <c r="Q192" s="119"/>
      <c r="R192" s="119"/>
      <c r="S192" s="118">
        <f t="shared" si="13"/>
        <v>1</v>
      </c>
      <c r="T192" s="120">
        <f t="shared" si="17"/>
        <v>0.25</v>
      </c>
      <c r="U192" s="122" t="s">
        <v>774</v>
      </c>
      <c r="V192" s="122" t="s">
        <v>785</v>
      </c>
      <c r="W192" s="122">
        <v>365</v>
      </c>
      <c r="X192" s="122" t="s">
        <v>722</v>
      </c>
      <c r="Y192" s="122" t="s">
        <v>723</v>
      </c>
      <c r="Z192" s="306"/>
      <c r="AA192" s="306"/>
      <c r="AB192" s="306" t="s">
        <v>1137</v>
      </c>
      <c r="AC192" s="306" t="s">
        <v>802</v>
      </c>
      <c r="AD192" s="122" t="s">
        <v>1002</v>
      </c>
      <c r="AE192" s="99">
        <v>57961538.461538464</v>
      </c>
      <c r="AF192" s="122" t="s">
        <v>1119</v>
      </c>
      <c r="AG192" s="122" t="s">
        <v>1115</v>
      </c>
      <c r="AH192" s="122" t="s">
        <v>774</v>
      </c>
      <c r="AI192" s="173">
        <v>104800000</v>
      </c>
      <c r="AJ192" s="303"/>
      <c r="AK192" s="119"/>
      <c r="AL192" s="119"/>
      <c r="AM192" s="119"/>
      <c r="AN192" s="122" t="s">
        <v>1115</v>
      </c>
      <c r="AO192" s="306"/>
      <c r="AP192" s="303"/>
      <c r="AQ192" s="305"/>
      <c r="AR192" s="303"/>
      <c r="AS192" s="305"/>
      <c r="AT192" s="303"/>
      <c r="AU192" s="303"/>
      <c r="AV192" s="303"/>
      <c r="AW192" s="303"/>
      <c r="AX192" s="303"/>
      <c r="AY192" s="303"/>
      <c r="AZ192" s="303"/>
      <c r="BA192" s="303"/>
      <c r="BB192" s="303"/>
      <c r="BC192" s="303"/>
      <c r="BD192" s="303"/>
      <c r="BE192" s="303"/>
      <c r="BF192" s="303"/>
    </row>
    <row r="193" spans="1:58" s="123" customFormat="1" ht="306">
      <c r="A193" s="355"/>
      <c r="B193" s="331"/>
      <c r="C193" s="331"/>
      <c r="D193" s="306"/>
      <c r="E193" s="306"/>
      <c r="F193" s="324"/>
      <c r="G193" s="306"/>
      <c r="H193" s="306"/>
      <c r="I193" s="306"/>
      <c r="J193" s="325"/>
      <c r="K193" s="122" t="s">
        <v>1142</v>
      </c>
      <c r="L193" s="122"/>
      <c r="M193" s="122" t="s">
        <v>1143</v>
      </c>
      <c r="N193" s="122">
        <v>375</v>
      </c>
      <c r="O193" s="118">
        <v>80</v>
      </c>
      <c r="P193" s="119"/>
      <c r="Q193" s="119"/>
      <c r="R193" s="119"/>
      <c r="S193" s="118">
        <f t="shared" si="13"/>
        <v>80</v>
      </c>
      <c r="T193" s="120">
        <f>(+S193/N193)</f>
        <v>0.21333333333333335</v>
      </c>
      <c r="U193" s="122" t="s">
        <v>774</v>
      </c>
      <c r="V193" s="122" t="s">
        <v>785</v>
      </c>
      <c r="W193" s="122">
        <v>365</v>
      </c>
      <c r="X193" s="122" t="s">
        <v>722</v>
      </c>
      <c r="Y193" s="122" t="s">
        <v>723</v>
      </c>
      <c r="Z193" s="306"/>
      <c r="AA193" s="306"/>
      <c r="AB193" s="306" t="s">
        <v>1112</v>
      </c>
      <c r="AC193" s="306" t="s">
        <v>802</v>
      </c>
      <c r="AD193" s="122" t="s">
        <v>1113</v>
      </c>
      <c r="AE193" s="99">
        <v>23250000</v>
      </c>
      <c r="AF193" s="122" t="s">
        <v>1114</v>
      </c>
      <c r="AG193" s="122" t="s">
        <v>1115</v>
      </c>
      <c r="AH193" s="122" t="s">
        <v>774</v>
      </c>
      <c r="AI193" s="173">
        <v>62000000</v>
      </c>
      <c r="AJ193" s="303"/>
      <c r="AK193" s="119"/>
      <c r="AL193" s="119"/>
      <c r="AM193" s="119"/>
      <c r="AN193" s="122" t="s">
        <v>1115</v>
      </c>
      <c r="AO193" s="306"/>
      <c r="AP193" s="303"/>
      <c r="AQ193" s="305"/>
      <c r="AR193" s="303"/>
      <c r="AS193" s="305"/>
      <c r="AT193" s="303"/>
      <c r="AU193" s="303"/>
      <c r="AV193" s="303"/>
      <c r="AW193" s="303"/>
      <c r="AX193" s="303"/>
      <c r="AY193" s="303"/>
      <c r="AZ193" s="303"/>
      <c r="BA193" s="303"/>
      <c r="BB193" s="303"/>
      <c r="BC193" s="303"/>
      <c r="BD193" s="303"/>
      <c r="BE193" s="303"/>
      <c r="BF193" s="303"/>
    </row>
    <row r="194" spans="1:58" s="123" customFormat="1" ht="90">
      <c r="A194" s="355"/>
      <c r="B194" s="331"/>
      <c r="C194" s="331"/>
      <c r="D194" s="306"/>
      <c r="E194" s="306"/>
      <c r="F194" s="324"/>
      <c r="G194" s="306"/>
      <c r="H194" s="306"/>
      <c r="I194" s="306"/>
      <c r="J194" s="325"/>
      <c r="K194" s="122" t="s">
        <v>1144</v>
      </c>
      <c r="L194" s="122"/>
      <c r="M194" s="122" t="s">
        <v>1145</v>
      </c>
      <c r="N194" s="122">
        <v>1</v>
      </c>
      <c r="O194" s="118">
        <v>1</v>
      </c>
      <c r="P194" s="119"/>
      <c r="Q194" s="119"/>
      <c r="R194" s="119"/>
      <c r="S194" s="118">
        <f t="shared" si="13"/>
        <v>1</v>
      </c>
      <c r="T194" s="120">
        <f t="shared" si="17"/>
        <v>0.25</v>
      </c>
      <c r="U194" s="122" t="s">
        <v>774</v>
      </c>
      <c r="V194" s="122" t="s">
        <v>785</v>
      </c>
      <c r="W194" s="122">
        <v>365</v>
      </c>
      <c r="X194" s="122" t="s">
        <v>722</v>
      </c>
      <c r="Y194" s="122" t="s">
        <v>723</v>
      </c>
      <c r="Z194" s="306"/>
      <c r="AA194" s="306"/>
      <c r="AB194" s="306" t="s">
        <v>1125</v>
      </c>
      <c r="AC194" s="306" t="s">
        <v>802</v>
      </c>
      <c r="AD194" s="122" t="s">
        <v>1002</v>
      </c>
      <c r="AE194" s="99">
        <v>57961538.461538464</v>
      </c>
      <c r="AF194" s="122" t="s">
        <v>1119</v>
      </c>
      <c r="AG194" s="122" t="s">
        <v>1115</v>
      </c>
      <c r="AH194" s="122" t="s">
        <v>774</v>
      </c>
      <c r="AI194" s="173">
        <v>79200000</v>
      </c>
      <c r="AJ194" s="303"/>
      <c r="AK194" s="119"/>
      <c r="AL194" s="119"/>
      <c r="AM194" s="119"/>
      <c r="AN194" s="122" t="s">
        <v>1115</v>
      </c>
      <c r="AO194" s="306"/>
      <c r="AP194" s="303"/>
      <c r="AQ194" s="305"/>
      <c r="AR194" s="303"/>
      <c r="AS194" s="305"/>
      <c r="AT194" s="303"/>
      <c r="AU194" s="303"/>
      <c r="AV194" s="303"/>
      <c r="AW194" s="303"/>
      <c r="AX194" s="303"/>
      <c r="AY194" s="303"/>
      <c r="AZ194" s="303"/>
      <c r="BA194" s="303"/>
      <c r="BB194" s="303"/>
      <c r="BC194" s="303"/>
      <c r="BD194" s="303"/>
      <c r="BE194" s="303"/>
      <c r="BF194" s="303"/>
    </row>
    <row r="195" spans="1:58" s="123" customFormat="1" ht="118.5" customHeight="1">
      <c r="A195" s="355"/>
      <c r="B195" s="331"/>
      <c r="C195" s="331"/>
      <c r="D195" s="122"/>
      <c r="E195" s="122"/>
      <c r="F195" s="124"/>
      <c r="G195" s="122"/>
      <c r="H195" s="122"/>
      <c r="I195" s="122"/>
      <c r="J195" s="95"/>
      <c r="K195" s="302" t="s">
        <v>1314</v>
      </c>
      <c r="L195" s="302"/>
      <c r="M195" s="302"/>
      <c r="N195" s="302"/>
      <c r="O195" s="302"/>
      <c r="P195" s="302"/>
      <c r="Q195" s="302"/>
      <c r="R195" s="302"/>
      <c r="S195" s="302"/>
      <c r="T195" s="140">
        <f>AVERAGE(T180:T194)</f>
        <v>0.24755555555555556</v>
      </c>
      <c r="U195" s="122"/>
      <c r="V195" s="122"/>
      <c r="W195" s="122"/>
      <c r="X195" s="122"/>
      <c r="Y195" s="122"/>
      <c r="Z195" s="122"/>
      <c r="AA195" s="122"/>
      <c r="AB195" s="122"/>
      <c r="AC195" s="122"/>
      <c r="AD195" s="122"/>
      <c r="AE195" s="304" t="s">
        <v>1315</v>
      </c>
      <c r="AF195" s="304"/>
      <c r="AG195" s="304"/>
      <c r="AH195" s="304"/>
      <c r="AI195" s="304"/>
      <c r="AJ195" s="141">
        <f>+AJ180</f>
        <v>800000000</v>
      </c>
      <c r="AK195" s="198"/>
      <c r="AL195" s="198"/>
      <c r="AM195" s="198"/>
      <c r="AN195" s="199"/>
      <c r="AO195" s="199"/>
      <c r="AP195" s="141">
        <f>+AP180</f>
        <v>436118810</v>
      </c>
      <c r="AQ195" s="128">
        <f t="shared" ref="AQ195:AS195" si="18">+AQ180</f>
        <v>0.54514851249999996</v>
      </c>
      <c r="AR195" s="141">
        <f t="shared" si="18"/>
        <v>129346270</v>
      </c>
      <c r="AS195" s="128">
        <f t="shared" si="18"/>
        <v>0.16168283750000001</v>
      </c>
      <c r="AT195" s="198"/>
      <c r="AU195" s="198"/>
      <c r="AV195" s="198"/>
      <c r="AW195" s="198"/>
      <c r="AX195" s="198"/>
      <c r="AY195" s="198"/>
      <c r="AZ195" s="198"/>
      <c r="BA195" s="198"/>
      <c r="BB195" s="198"/>
      <c r="BC195" s="198"/>
      <c r="BD195" s="198"/>
      <c r="BE195" s="198"/>
      <c r="BF195" s="199"/>
    </row>
    <row r="196" spans="1:58" ht="409.5">
      <c r="A196" s="355"/>
      <c r="B196" s="331"/>
      <c r="C196" s="331"/>
      <c r="D196" s="306" t="s">
        <v>468</v>
      </c>
      <c r="E196" s="306" t="s">
        <v>1146</v>
      </c>
      <c r="F196" s="324">
        <v>2024130010225</v>
      </c>
      <c r="G196" s="306" t="s">
        <v>1147</v>
      </c>
      <c r="H196" s="306" t="s">
        <v>1148</v>
      </c>
      <c r="I196" s="306" t="s">
        <v>469</v>
      </c>
      <c r="J196" s="325">
        <v>0.1</v>
      </c>
      <c r="K196" s="122" t="s">
        <v>1149</v>
      </c>
      <c r="L196" s="122"/>
      <c r="M196" s="122" t="s">
        <v>1150</v>
      </c>
      <c r="N196" s="127">
        <v>4</v>
      </c>
      <c r="O196" s="200">
        <v>1</v>
      </c>
      <c r="P196" s="200"/>
      <c r="Q196" s="200"/>
      <c r="R196" s="200"/>
      <c r="S196" s="118">
        <f t="shared" si="13"/>
        <v>1</v>
      </c>
      <c r="T196" s="120">
        <f t="shared" si="14"/>
        <v>0.25</v>
      </c>
      <c r="U196" s="201">
        <v>46054</v>
      </c>
      <c r="V196" s="201">
        <v>46357</v>
      </c>
      <c r="W196" s="122">
        <v>330</v>
      </c>
      <c r="X196" s="122" t="s">
        <v>722</v>
      </c>
      <c r="Y196" s="122" t="s">
        <v>723</v>
      </c>
      <c r="Z196" s="306" t="s">
        <v>44</v>
      </c>
      <c r="AA196" s="306" t="s">
        <v>1151</v>
      </c>
      <c r="AB196" s="306" t="s">
        <v>1152</v>
      </c>
      <c r="AC196" s="306" t="s">
        <v>802</v>
      </c>
      <c r="AD196" s="122" t="s">
        <v>1153</v>
      </c>
      <c r="AE196" s="107">
        <v>108458750</v>
      </c>
      <c r="AF196" s="122" t="s">
        <v>1119</v>
      </c>
      <c r="AG196" s="306" t="s">
        <v>736</v>
      </c>
      <c r="AH196" s="331"/>
      <c r="AI196" s="173">
        <v>108458750</v>
      </c>
      <c r="AJ196" s="303">
        <v>1650000000</v>
      </c>
      <c r="AK196" s="200"/>
      <c r="AL196" s="200"/>
      <c r="AM196" s="200"/>
      <c r="AN196" s="306" t="s">
        <v>736</v>
      </c>
      <c r="AO196" s="306" t="s">
        <v>1154</v>
      </c>
      <c r="AP196" s="303">
        <v>1108001223</v>
      </c>
      <c r="AQ196" s="305">
        <f>+AP196/AJ196</f>
        <v>0.67151589272727275</v>
      </c>
      <c r="AR196" s="303">
        <v>305698796</v>
      </c>
      <c r="AS196" s="305">
        <f>+AR196/AJ196</f>
        <v>0.18527199757575757</v>
      </c>
      <c r="AT196" s="303"/>
      <c r="AU196" s="303"/>
      <c r="AV196" s="303"/>
      <c r="AW196" s="303"/>
      <c r="AX196" s="303"/>
      <c r="AY196" s="303"/>
      <c r="AZ196" s="303"/>
      <c r="BA196" s="303"/>
      <c r="BB196" s="303"/>
      <c r="BC196" s="303"/>
      <c r="BD196" s="303"/>
      <c r="BE196" s="303"/>
      <c r="BF196" s="303"/>
    </row>
    <row r="197" spans="1:58" ht="409.5">
      <c r="A197" s="355"/>
      <c r="B197" s="331"/>
      <c r="C197" s="331"/>
      <c r="D197" s="306"/>
      <c r="E197" s="306"/>
      <c r="F197" s="324"/>
      <c r="G197" s="306"/>
      <c r="H197" s="306"/>
      <c r="I197" s="306"/>
      <c r="J197" s="325"/>
      <c r="K197" s="122" t="s">
        <v>1155</v>
      </c>
      <c r="L197" s="122"/>
      <c r="M197" s="122" t="s">
        <v>1156</v>
      </c>
      <c r="N197" s="127">
        <v>4</v>
      </c>
      <c r="O197" s="200">
        <v>1</v>
      </c>
      <c r="P197" s="200"/>
      <c r="Q197" s="200"/>
      <c r="R197" s="200"/>
      <c r="S197" s="118">
        <f t="shared" si="13"/>
        <v>1</v>
      </c>
      <c r="T197" s="120">
        <f t="shared" si="14"/>
        <v>0.25</v>
      </c>
      <c r="U197" s="201">
        <v>46054</v>
      </c>
      <c r="V197" s="201">
        <v>46357</v>
      </c>
      <c r="W197" s="122">
        <v>330</v>
      </c>
      <c r="X197" s="122" t="s">
        <v>722</v>
      </c>
      <c r="Y197" s="122" t="s">
        <v>723</v>
      </c>
      <c r="Z197" s="306"/>
      <c r="AA197" s="306"/>
      <c r="AB197" s="306"/>
      <c r="AC197" s="306" t="s">
        <v>802</v>
      </c>
      <c r="AD197" s="122" t="s">
        <v>1153</v>
      </c>
      <c r="AE197" s="107">
        <v>83000000</v>
      </c>
      <c r="AF197" s="122" t="s">
        <v>1119</v>
      </c>
      <c r="AG197" s="306"/>
      <c r="AH197" s="331"/>
      <c r="AI197" s="173">
        <v>83000000</v>
      </c>
      <c r="AJ197" s="303"/>
      <c r="AK197" s="200"/>
      <c r="AL197" s="200"/>
      <c r="AM197" s="200"/>
      <c r="AN197" s="306"/>
      <c r="AO197" s="306"/>
      <c r="AP197" s="303"/>
      <c r="AQ197" s="305"/>
      <c r="AR197" s="303"/>
      <c r="AS197" s="305"/>
      <c r="AT197" s="303"/>
      <c r="AU197" s="303"/>
      <c r="AV197" s="303"/>
      <c r="AW197" s="303"/>
      <c r="AX197" s="303"/>
      <c r="AY197" s="303"/>
      <c r="AZ197" s="303"/>
      <c r="BA197" s="303"/>
      <c r="BB197" s="303"/>
      <c r="BC197" s="303"/>
      <c r="BD197" s="303"/>
      <c r="BE197" s="303"/>
      <c r="BF197" s="303"/>
    </row>
    <row r="198" spans="1:58" ht="409.5">
      <c r="A198" s="355"/>
      <c r="B198" s="331"/>
      <c r="C198" s="331"/>
      <c r="D198" s="306"/>
      <c r="E198" s="306"/>
      <c r="F198" s="324"/>
      <c r="G198" s="306"/>
      <c r="H198" s="306"/>
      <c r="I198" s="306"/>
      <c r="J198" s="325"/>
      <c r="K198" s="122" t="s">
        <v>1157</v>
      </c>
      <c r="L198" s="122"/>
      <c r="M198" s="122" t="s">
        <v>1158</v>
      </c>
      <c r="N198" s="127">
        <v>4</v>
      </c>
      <c r="O198" s="200">
        <v>1</v>
      </c>
      <c r="P198" s="200"/>
      <c r="Q198" s="200"/>
      <c r="R198" s="200"/>
      <c r="S198" s="118">
        <f t="shared" si="13"/>
        <v>1</v>
      </c>
      <c r="T198" s="120">
        <f t="shared" si="14"/>
        <v>0.25</v>
      </c>
      <c r="U198" s="201">
        <v>46054</v>
      </c>
      <c r="V198" s="201">
        <v>46357</v>
      </c>
      <c r="W198" s="122">
        <v>330</v>
      </c>
      <c r="X198" s="122" t="s">
        <v>722</v>
      </c>
      <c r="Y198" s="122" t="s">
        <v>723</v>
      </c>
      <c r="Z198" s="306"/>
      <c r="AA198" s="306"/>
      <c r="AB198" s="306"/>
      <c r="AC198" s="306" t="s">
        <v>802</v>
      </c>
      <c r="AD198" s="122" t="s">
        <v>1153</v>
      </c>
      <c r="AE198" s="107">
        <v>102650000</v>
      </c>
      <c r="AF198" s="122" t="s">
        <v>1119</v>
      </c>
      <c r="AG198" s="306"/>
      <c r="AH198" s="331"/>
      <c r="AI198" s="173">
        <v>102650000</v>
      </c>
      <c r="AJ198" s="303"/>
      <c r="AK198" s="200"/>
      <c r="AL198" s="200"/>
      <c r="AM198" s="200"/>
      <c r="AN198" s="306"/>
      <c r="AO198" s="306"/>
      <c r="AP198" s="303"/>
      <c r="AQ198" s="305"/>
      <c r="AR198" s="303"/>
      <c r="AS198" s="305"/>
      <c r="AT198" s="303"/>
      <c r="AU198" s="303"/>
      <c r="AV198" s="303"/>
      <c r="AW198" s="303"/>
      <c r="AX198" s="303"/>
      <c r="AY198" s="303"/>
      <c r="AZ198" s="303"/>
      <c r="BA198" s="303"/>
      <c r="BB198" s="303"/>
      <c r="BC198" s="303"/>
      <c r="BD198" s="303"/>
      <c r="BE198" s="303"/>
      <c r="BF198" s="303"/>
    </row>
    <row r="199" spans="1:58" ht="306">
      <c r="A199" s="355"/>
      <c r="B199" s="331"/>
      <c r="C199" s="331"/>
      <c r="D199" s="306"/>
      <c r="E199" s="306"/>
      <c r="F199" s="324"/>
      <c r="G199" s="306"/>
      <c r="H199" s="306"/>
      <c r="I199" s="306"/>
      <c r="J199" s="325"/>
      <c r="K199" s="122" t="s">
        <v>1159</v>
      </c>
      <c r="L199" s="122"/>
      <c r="M199" s="122" t="s">
        <v>1160</v>
      </c>
      <c r="N199" s="127">
        <v>4</v>
      </c>
      <c r="O199" s="200">
        <v>1</v>
      </c>
      <c r="P199" s="200"/>
      <c r="Q199" s="200"/>
      <c r="R199" s="200"/>
      <c r="S199" s="118">
        <f t="shared" si="13"/>
        <v>1</v>
      </c>
      <c r="T199" s="120">
        <f t="shared" si="14"/>
        <v>0.25</v>
      </c>
      <c r="U199" s="201">
        <v>46054</v>
      </c>
      <c r="V199" s="201">
        <v>46357</v>
      </c>
      <c r="W199" s="122">
        <v>330</v>
      </c>
      <c r="X199" s="122" t="s">
        <v>722</v>
      </c>
      <c r="Y199" s="122" t="s">
        <v>723</v>
      </c>
      <c r="Z199" s="306"/>
      <c r="AA199" s="306"/>
      <c r="AB199" s="306"/>
      <c r="AC199" s="306" t="s">
        <v>802</v>
      </c>
      <c r="AD199" s="122" t="s">
        <v>1153</v>
      </c>
      <c r="AE199" s="107">
        <v>50000000</v>
      </c>
      <c r="AF199" s="122" t="s">
        <v>1119</v>
      </c>
      <c r="AG199" s="306"/>
      <c r="AH199" s="331"/>
      <c r="AI199" s="173">
        <v>50000000</v>
      </c>
      <c r="AJ199" s="303"/>
      <c r="AK199" s="200"/>
      <c r="AL199" s="200"/>
      <c r="AM199" s="200"/>
      <c r="AN199" s="306"/>
      <c r="AO199" s="306"/>
      <c r="AP199" s="303"/>
      <c r="AQ199" s="305"/>
      <c r="AR199" s="303"/>
      <c r="AS199" s="305"/>
      <c r="AT199" s="303"/>
      <c r="AU199" s="303"/>
      <c r="AV199" s="303"/>
      <c r="AW199" s="303"/>
      <c r="AX199" s="303"/>
      <c r="AY199" s="303"/>
      <c r="AZ199" s="303"/>
      <c r="BA199" s="303"/>
      <c r="BB199" s="303"/>
      <c r="BC199" s="303"/>
      <c r="BD199" s="303"/>
      <c r="BE199" s="303"/>
      <c r="BF199" s="303"/>
    </row>
    <row r="200" spans="1:58" ht="72">
      <c r="A200" s="355"/>
      <c r="B200" s="331"/>
      <c r="C200" s="331"/>
      <c r="D200" s="306"/>
      <c r="E200" s="306"/>
      <c r="F200" s="324"/>
      <c r="G200" s="306"/>
      <c r="H200" s="306" t="s">
        <v>1161</v>
      </c>
      <c r="I200" s="306" t="s">
        <v>1162</v>
      </c>
      <c r="J200" s="325"/>
      <c r="K200" s="122" t="s">
        <v>1163</v>
      </c>
      <c r="L200" s="119"/>
      <c r="M200" s="122" t="s">
        <v>1164</v>
      </c>
      <c r="N200" s="122">
        <v>5</v>
      </c>
      <c r="O200" s="200">
        <v>1</v>
      </c>
      <c r="P200" s="200"/>
      <c r="Q200" s="200"/>
      <c r="R200" s="200"/>
      <c r="S200" s="118">
        <f t="shared" si="13"/>
        <v>1</v>
      </c>
      <c r="T200" s="120">
        <f t="shared" si="14"/>
        <v>0.2</v>
      </c>
      <c r="U200" s="201">
        <v>46023</v>
      </c>
      <c r="V200" s="201">
        <v>46357</v>
      </c>
      <c r="W200" s="122">
        <v>330</v>
      </c>
      <c r="X200" s="122" t="s">
        <v>722</v>
      </c>
      <c r="Y200" s="122" t="s">
        <v>723</v>
      </c>
      <c r="Z200" s="306"/>
      <c r="AA200" s="306"/>
      <c r="AB200" s="306"/>
      <c r="AC200" s="306" t="s">
        <v>802</v>
      </c>
      <c r="AD200" s="122" t="s">
        <v>1153</v>
      </c>
      <c r="AE200" s="107">
        <v>114264000</v>
      </c>
      <c r="AF200" s="122" t="s">
        <v>1119</v>
      </c>
      <c r="AG200" s="306"/>
      <c r="AH200" s="331"/>
      <c r="AI200" s="173">
        <v>114264000</v>
      </c>
      <c r="AJ200" s="303"/>
      <c r="AK200" s="200"/>
      <c r="AL200" s="200"/>
      <c r="AM200" s="200"/>
      <c r="AN200" s="306"/>
      <c r="AO200" s="306"/>
      <c r="AP200" s="303"/>
      <c r="AQ200" s="305"/>
      <c r="AR200" s="303"/>
      <c r="AS200" s="305"/>
      <c r="AT200" s="303"/>
      <c r="AU200" s="303"/>
      <c r="AV200" s="303"/>
      <c r="AW200" s="303"/>
      <c r="AX200" s="303"/>
      <c r="AY200" s="303"/>
      <c r="AZ200" s="303"/>
      <c r="BA200" s="303"/>
      <c r="BB200" s="303"/>
      <c r="BC200" s="303"/>
      <c r="BD200" s="303"/>
      <c r="BE200" s="303"/>
      <c r="BF200" s="303"/>
    </row>
    <row r="201" spans="1:58" ht="144">
      <c r="A201" s="355"/>
      <c r="B201" s="331"/>
      <c r="C201" s="331"/>
      <c r="D201" s="306"/>
      <c r="E201" s="306"/>
      <c r="F201" s="324"/>
      <c r="G201" s="306"/>
      <c r="H201" s="306"/>
      <c r="I201" s="306"/>
      <c r="J201" s="325"/>
      <c r="K201" s="122" t="s">
        <v>1165</v>
      </c>
      <c r="L201" s="122"/>
      <c r="M201" s="122" t="s">
        <v>1166</v>
      </c>
      <c r="N201" s="122">
        <v>5</v>
      </c>
      <c r="O201" s="200">
        <v>2</v>
      </c>
      <c r="P201" s="200"/>
      <c r="Q201" s="200"/>
      <c r="R201" s="200"/>
      <c r="S201" s="118">
        <f t="shared" si="13"/>
        <v>2</v>
      </c>
      <c r="T201" s="120">
        <f t="shared" si="14"/>
        <v>0.4</v>
      </c>
      <c r="U201" s="201">
        <v>46023</v>
      </c>
      <c r="V201" s="201">
        <v>46357</v>
      </c>
      <c r="W201" s="122">
        <v>330</v>
      </c>
      <c r="X201" s="122" t="s">
        <v>722</v>
      </c>
      <c r="Y201" s="122" t="s">
        <v>723</v>
      </c>
      <c r="Z201" s="306"/>
      <c r="AA201" s="306"/>
      <c r="AB201" s="306"/>
      <c r="AC201" s="306" t="s">
        <v>802</v>
      </c>
      <c r="AD201" s="122" t="s">
        <v>1153</v>
      </c>
      <c r="AE201" s="107">
        <v>104742000</v>
      </c>
      <c r="AF201" s="122" t="s">
        <v>1119</v>
      </c>
      <c r="AG201" s="306"/>
      <c r="AH201" s="331"/>
      <c r="AI201" s="173">
        <v>104742000</v>
      </c>
      <c r="AJ201" s="303"/>
      <c r="AK201" s="200"/>
      <c r="AL201" s="200"/>
      <c r="AM201" s="200"/>
      <c r="AN201" s="306"/>
      <c r="AO201" s="306"/>
      <c r="AP201" s="303"/>
      <c r="AQ201" s="305"/>
      <c r="AR201" s="303"/>
      <c r="AS201" s="305"/>
      <c r="AT201" s="303"/>
      <c r="AU201" s="303"/>
      <c r="AV201" s="303"/>
      <c r="AW201" s="303"/>
      <c r="AX201" s="303"/>
      <c r="AY201" s="303"/>
      <c r="AZ201" s="303"/>
      <c r="BA201" s="303"/>
      <c r="BB201" s="303"/>
      <c r="BC201" s="303"/>
      <c r="BD201" s="303"/>
      <c r="BE201" s="303"/>
      <c r="BF201" s="303"/>
    </row>
    <row r="202" spans="1:58" ht="144">
      <c r="A202" s="355"/>
      <c r="B202" s="331"/>
      <c r="C202" s="331"/>
      <c r="D202" s="306" t="s">
        <v>478</v>
      </c>
      <c r="E202" s="306"/>
      <c r="F202" s="324"/>
      <c r="G202" s="306"/>
      <c r="H202" s="306"/>
      <c r="I202" s="306"/>
      <c r="J202" s="325">
        <v>0.1</v>
      </c>
      <c r="K202" s="122" t="s">
        <v>1167</v>
      </c>
      <c r="L202" s="122"/>
      <c r="M202" s="122" t="s">
        <v>1168</v>
      </c>
      <c r="N202" s="122">
        <v>4</v>
      </c>
      <c r="O202" s="200">
        <v>0</v>
      </c>
      <c r="P202" s="200"/>
      <c r="Q202" s="200"/>
      <c r="R202" s="200"/>
      <c r="S202" s="118">
        <f t="shared" si="13"/>
        <v>0</v>
      </c>
      <c r="T202" s="120">
        <f t="shared" si="14"/>
        <v>0</v>
      </c>
      <c r="U202" s="201">
        <v>46204</v>
      </c>
      <c r="V202" s="201">
        <v>46357</v>
      </c>
      <c r="W202" s="122">
        <v>180</v>
      </c>
      <c r="X202" s="122" t="s">
        <v>722</v>
      </c>
      <c r="Y202" s="122" t="s">
        <v>723</v>
      </c>
      <c r="Z202" s="306"/>
      <c r="AA202" s="306"/>
      <c r="AB202" s="306"/>
      <c r="AC202" s="306" t="s">
        <v>802</v>
      </c>
      <c r="AD202" s="122" t="s">
        <v>1169</v>
      </c>
      <c r="AE202" s="107">
        <v>100000000</v>
      </c>
      <c r="AF202" s="122" t="s">
        <v>1119</v>
      </c>
      <c r="AG202" s="122" t="s">
        <v>52</v>
      </c>
      <c r="AH202" s="331"/>
      <c r="AI202" s="173">
        <v>100000000</v>
      </c>
      <c r="AJ202" s="303"/>
      <c r="AK202" s="200"/>
      <c r="AL202" s="200"/>
      <c r="AM202" s="200"/>
      <c r="AN202" s="122" t="s">
        <v>699</v>
      </c>
      <c r="AO202" s="306"/>
      <c r="AP202" s="303"/>
      <c r="AQ202" s="305"/>
      <c r="AR202" s="303"/>
      <c r="AS202" s="305"/>
      <c r="AT202" s="303"/>
      <c r="AU202" s="303"/>
      <c r="AV202" s="303"/>
      <c r="AW202" s="303"/>
      <c r="AX202" s="303"/>
      <c r="AY202" s="303"/>
      <c r="AZ202" s="303"/>
      <c r="BA202" s="303"/>
      <c r="BB202" s="303"/>
      <c r="BC202" s="303"/>
      <c r="BD202" s="303"/>
      <c r="BE202" s="303"/>
      <c r="BF202" s="303"/>
    </row>
    <row r="203" spans="1:58" ht="126">
      <c r="A203" s="355"/>
      <c r="B203" s="331"/>
      <c r="C203" s="331"/>
      <c r="D203" s="306"/>
      <c r="E203" s="306"/>
      <c r="F203" s="324"/>
      <c r="G203" s="306"/>
      <c r="H203" s="306"/>
      <c r="I203" s="306"/>
      <c r="J203" s="325"/>
      <c r="K203" s="122" t="s">
        <v>1170</v>
      </c>
      <c r="L203" s="122"/>
      <c r="M203" s="122" t="s">
        <v>1171</v>
      </c>
      <c r="N203" s="122">
        <f>4*3</f>
        <v>12</v>
      </c>
      <c r="O203" s="200">
        <v>3</v>
      </c>
      <c r="P203" s="200"/>
      <c r="Q203" s="200"/>
      <c r="R203" s="200"/>
      <c r="S203" s="118">
        <f t="shared" si="13"/>
        <v>3</v>
      </c>
      <c r="T203" s="120">
        <f t="shared" si="14"/>
        <v>0.25</v>
      </c>
      <c r="U203" s="201">
        <v>46023</v>
      </c>
      <c r="V203" s="201">
        <v>46357</v>
      </c>
      <c r="W203" s="122">
        <v>330</v>
      </c>
      <c r="X203" s="122" t="s">
        <v>722</v>
      </c>
      <c r="Y203" s="122" t="s">
        <v>723</v>
      </c>
      <c r="Z203" s="306"/>
      <c r="AA203" s="306"/>
      <c r="AB203" s="306"/>
      <c r="AC203" s="306" t="s">
        <v>802</v>
      </c>
      <c r="AD203" s="122" t="s">
        <v>1153</v>
      </c>
      <c r="AE203" s="99">
        <v>97132000</v>
      </c>
      <c r="AF203" s="122" t="s">
        <v>1119</v>
      </c>
      <c r="AG203" s="306" t="s">
        <v>736</v>
      </c>
      <c r="AH203" s="331"/>
      <c r="AI203" s="173">
        <v>97132000</v>
      </c>
      <c r="AJ203" s="303"/>
      <c r="AK203" s="200"/>
      <c r="AL203" s="200"/>
      <c r="AM203" s="200"/>
      <c r="AN203" s="306" t="s">
        <v>736</v>
      </c>
      <c r="AO203" s="306"/>
      <c r="AP203" s="303"/>
      <c r="AQ203" s="305"/>
      <c r="AR203" s="303"/>
      <c r="AS203" s="305"/>
      <c r="AT203" s="303"/>
      <c r="AU203" s="303"/>
      <c r="AV203" s="303"/>
      <c r="AW203" s="303"/>
      <c r="AX203" s="303"/>
      <c r="AY203" s="303"/>
      <c r="AZ203" s="303"/>
      <c r="BA203" s="303"/>
      <c r="BB203" s="303"/>
      <c r="BC203" s="303"/>
      <c r="BD203" s="303"/>
      <c r="BE203" s="303"/>
      <c r="BF203" s="303"/>
    </row>
    <row r="204" spans="1:58" ht="144">
      <c r="A204" s="355"/>
      <c r="B204" s="331"/>
      <c r="C204" s="331"/>
      <c r="D204" s="306"/>
      <c r="E204" s="306"/>
      <c r="F204" s="324"/>
      <c r="G204" s="306"/>
      <c r="H204" s="306" t="s">
        <v>1172</v>
      </c>
      <c r="I204" s="306" t="s">
        <v>482</v>
      </c>
      <c r="J204" s="325"/>
      <c r="K204" s="122" t="s">
        <v>1173</v>
      </c>
      <c r="L204" s="122"/>
      <c r="M204" s="122" t="s">
        <v>1168</v>
      </c>
      <c r="N204" s="122">
        <v>4</v>
      </c>
      <c r="O204" s="200">
        <v>1</v>
      </c>
      <c r="P204" s="200"/>
      <c r="Q204" s="200"/>
      <c r="R204" s="200"/>
      <c r="S204" s="118">
        <f t="shared" si="13"/>
        <v>1</v>
      </c>
      <c r="T204" s="120">
        <f t="shared" si="14"/>
        <v>0.25</v>
      </c>
      <c r="U204" s="201">
        <v>46054</v>
      </c>
      <c r="V204" s="201">
        <v>46357</v>
      </c>
      <c r="W204" s="122">
        <v>330</v>
      </c>
      <c r="X204" s="122" t="s">
        <v>722</v>
      </c>
      <c r="Y204" s="122" t="s">
        <v>723</v>
      </c>
      <c r="Z204" s="306"/>
      <c r="AA204" s="306"/>
      <c r="AB204" s="306"/>
      <c r="AC204" s="306" t="s">
        <v>802</v>
      </c>
      <c r="AD204" s="122" t="s">
        <v>1153</v>
      </c>
      <c r="AE204" s="99">
        <v>173032000</v>
      </c>
      <c r="AF204" s="122" t="s">
        <v>1119</v>
      </c>
      <c r="AG204" s="306"/>
      <c r="AH204" s="331"/>
      <c r="AI204" s="173">
        <v>173032000</v>
      </c>
      <c r="AJ204" s="303"/>
      <c r="AK204" s="200"/>
      <c r="AL204" s="200"/>
      <c r="AM204" s="200"/>
      <c r="AN204" s="306"/>
      <c r="AO204" s="306"/>
      <c r="AP204" s="303"/>
      <c r="AQ204" s="305"/>
      <c r="AR204" s="303"/>
      <c r="AS204" s="305"/>
      <c r="AT204" s="303"/>
      <c r="AU204" s="303"/>
      <c r="AV204" s="303"/>
      <c r="AW204" s="303"/>
      <c r="AX204" s="303"/>
      <c r="AY204" s="303"/>
      <c r="AZ204" s="303"/>
      <c r="BA204" s="303"/>
      <c r="BB204" s="303"/>
      <c r="BC204" s="303"/>
      <c r="BD204" s="303"/>
      <c r="BE204" s="303"/>
      <c r="BF204" s="303"/>
    </row>
    <row r="205" spans="1:58" ht="54">
      <c r="A205" s="355"/>
      <c r="B205" s="331"/>
      <c r="C205" s="331"/>
      <c r="D205" s="306"/>
      <c r="E205" s="306"/>
      <c r="F205" s="324"/>
      <c r="G205" s="306"/>
      <c r="H205" s="306"/>
      <c r="I205" s="306"/>
      <c r="J205" s="325"/>
      <c r="K205" s="122" t="s">
        <v>1174</v>
      </c>
      <c r="L205" s="122"/>
      <c r="M205" s="122" t="s">
        <v>1175</v>
      </c>
      <c r="N205" s="122">
        <v>4</v>
      </c>
      <c r="O205" s="200">
        <v>0</v>
      </c>
      <c r="P205" s="200"/>
      <c r="Q205" s="200"/>
      <c r="R205" s="200"/>
      <c r="S205" s="118">
        <f t="shared" si="13"/>
        <v>0</v>
      </c>
      <c r="T205" s="120">
        <f t="shared" si="14"/>
        <v>0</v>
      </c>
      <c r="U205" s="201">
        <v>46204</v>
      </c>
      <c r="V205" s="201">
        <v>46357</v>
      </c>
      <c r="W205" s="122">
        <v>180</v>
      </c>
      <c r="X205" s="122" t="s">
        <v>722</v>
      </c>
      <c r="Y205" s="122" t="s">
        <v>723</v>
      </c>
      <c r="Z205" s="306"/>
      <c r="AA205" s="306"/>
      <c r="AB205" s="306"/>
      <c r="AC205" s="306" t="s">
        <v>802</v>
      </c>
      <c r="AD205" s="122" t="s">
        <v>1169</v>
      </c>
      <c r="AE205" s="99">
        <v>100000000</v>
      </c>
      <c r="AF205" s="122" t="s">
        <v>1119</v>
      </c>
      <c r="AG205" s="306"/>
      <c r="AH205" s="331"/>
      <c r="AI205" s="173">
        <v>100000000</v>
      </c>
      <c r="AJ205" s="303"/>
      <c r="AK205" s="200"/>
      <c r="AL205" s="200"/>
      <c r="AM205" s="200"/>
      <c r="AN205" s="306"/>
      <c r="AO205" s="306"/>
      <c r="AP205" s="303"/>
      <c r="AQ205" s="305"/>
      <c r="AR205" s="303"/>
      <c r="AS205" s="305"/>
      <c r="AT205" s="303"/>
      <c r="AU205" s="303"/>
      <c r="AV205" s="303"/>
      <c r="AW205" s="303"/>
      <c r="AX205" s="303"/>
      <c r="AY205" s="303"/>
      <c r="AZ205" s="303"/>
      <c r="BA205" s="303"/>
      <c r="BB205" s="303"/>
      <c r="BC205" s="303"/>
      <c r="BD205" s="303"/>
      <c r="BE205" s="303"/>
      <c r="BF205" s="303"/>
    </row>
    <row r="206" spans="1:58" ht="162">
      <c r="A206" s="355"/>
      <c r="B206" s="331"/>
      <c r="C206" s="331"/>
      <c r="D206" s="306" t="s">
        <v>481</v>
      </c>
      <c r="E206" s="306"/>
      <c r="F206" s="324"/>
      <c r="G206" s="306"/>
      <c r="H206" s="306" t="s">
        <v>1176</v>
      </c>
      <c r="I206" s="306" t="s">
        <v>485</v>
      </c>
      <c r="J206" s="325">
        <v>0.1</v>
      </c>
      <c r="K206" s="122" t="s">
        <v>1177</v>
      </c>
      <c r="L206" s="122"/>
      <c r="M206" s="122" t="s">
        <v>1178</v>
      </c>
      <c r="N206" s="122">
        <v>12</v>
      </c>
      <c r="O206" s="200">
        <v>3</v>
      </c>
      <c r="P206" s="200"/>
      <c r="Q206" s="200"/>
      <c r="R206" s="200"/>
      <c r="S206" s="118">
        <f t="shared" si="13"/>
        <v>3</v>
      </c>
      <c r="T206" s="120">
        <f t="shared" si="14"/>
        <v>0.25</v>
      </c>
      <c r="U206" s="201">
        <v>46023</v>
      </c>
      <c r="V206" s="201">
        <v>46357</v>
      </c>
      <c r="W206" s="122">
        <v>330</v>
      </c>
      <c r="X206" s="122" t="s">
        <v>722</v>
      </c>
      <c r="Y206" s="122" t="s">
        <v>723</v>
      </c>
      <c r="Z206" s="306"/>
      <c r="AA206" s="306"/>
      <c r="AB206" s="306"/>
      <c r="AC206" s="306" t="s">
        <v>802</v>
      </c>
      <c r="AD206" s="122" t="s">
        <v>1153</v>
      </c>
      <c r="AE206" s="99">
        <v>161874000</v>
      </c>
      <c r="AF206" s="122" t="s">
        <v>1119</v>
      </c>
      <c r="AG206" s="306"/>
      <c r="AH206" s="331"/>
      <c r="AI206" s="173">
        <v>161874000</v>
      </c>
      <c r="AJ206" s="303"/>
      <c r="AK206" s="200"/>
      <c r="AL206" s="200"/>
      <c r="AM206" s="200"/>
      <c r="AN206" s="306"/>
      <c r="AO206" s="306"/>
      <c r="AP206" s="303"/>
      <c r="AQ206" s="305"/>
      <c r="AR206" s="303"/>
      <c r="AS206" s="305"/>
      <c r="AT206" s="303"/>
      <c r="AU206" s="303"/>
      <c r="AV206" s="303"/>
      <c r="AW206" s="303"/>
      <c r="AX206" s="303"/>
      <c r="AY206" s="303"/>
      <c r="AZ206" s="303"/>
      <c r="BA206" s="303"/>
      <c r="BB206" s="303"/>
      <c r="BC206" s="303"/>
      <c r="BD206" s="303"/>
      <c r="BE206" s="303"/>
      <c r="BF206" s="303"/>
    </row>
    <row r="207" spans="1:58" ht="162">
      <c r="A207" s="355"/>
      <c r="B207" s="331"/>
      <c r="C207" s="331"/>
      <c r="D207" s="306"/>
      <c r="E207" s="306"/>
      <c r="F207" s="324"/>
      <c r="G207" s="306"/>
      <c r="H207" s="306"/>
      <c r="I207" s="306"/>
      <c r="J207" s="325"/>
      <c r="K207" s="122" t="s">
        <v>1179</v>
      </c>
      <c r="L207" s="122"/>
      <c r="M207" s="122" t="s">
        <v>1180</v>
      </c>
      <c r="N207" s="122" t="s">
        <v>270</v>
      </c>
      <c r="O207" s="200" t="s">
        <v>308</v>
      </c>
      <c r="P207" s="200"/>
      <c r="Q207" s="200"/>
      <c r="R207" s="200"/>
      <c r="S207" s="118" t="s">
        <v>308</v>
      </c>
      <c r="T207" s="120" t="s">
        <v>308</v>
      </c>
      <c r="U207" s="201">
        <v>46054</v>
      </c>
      <c r="V207" s="201">
        <v>46357</v>
      </c>
      <c r="W207" s="122">
        <v>330</v>
      </c>
      <c r="X207" s="122" t="s">
        <v>722</v>
      </c>
      <c r="Y207" s="122" t="s">
        <v>723</v>
      </c>
      <c r="Z207" s="306"/>
      <c r="AA207" s="306"/>
      <c r="AB207" s="306"/>
      <c r="AC207" s="306" t="s">
        <v>802</v>
      </c>
      <c r="AD207" s="122"/>
      <c r="AE207" s="99">
        <v>0</v>
      </c>
      <c r="AF207" s="122" t="s">
        <v>1119</v>
      </c>
      <c r="AG207" s="306"/>
      <c r="AH207" s="331"/>
      <c r="AI207" s="173">
        <v>0</v>
      </c>
      <c r="AJ207" s="303"/>
      <c r="AK207" s="200"/>
      <c r="AL207" s="200"/>
      <c r="AM207" s="200"/>
      <c r="AN207" s="306"/>
      <c r="AO207" s="306"/>
      <c r="AP207" s="303"/>
      <c r="AQ207" s="305"/>
      <c r="AR207" s="303"/>
      <c r="AS207" s="305"/>
      <c r="AT207" s="303"/>
      <c r="AU207" s="303"/>
      <c r="AV207" s="303"/>
      <c r="AW207" s="303"/>
      <c r="AX207" s="303"/>
      <c r="AY207" s="303"/>
      <c r="AZ207" s="303"/>
      <c r="BA207" s="303"/>
      <c r="BB207" s="303"/>
      <c r="BC207" s="303"/>
      <c r="BD207" s="303"/>
      <c r="BE207" s="303"/>
      <c r="BF207" s="303"/>
    </row>
    <row r="208" spans="1:58" ht="90">
      <c r="A208" s="355"/>
      <c r="B208" s="331"/>
      <c r="C208" s="331"/>
      <c r="D208" s="306"/>
      <c r="E208" s="306"/>
      <c r="F208" s="324"/>
      <c r="G208" s="306"/>
      <c r="H208" s="306"/>
      <c r="I208" s="306"/>
      <c r="J208" s="325"/>
      <c r="K208" s="122" t="s">
        <v>1181</v>
      </c>
      <c r="L208" s="122"/>
      <c r="M208" s="122" t="s">
        <v>1182</v>
      </c>
      <c r="N208" s="122">
        <v>4</v>
      </c>
      <c r="O208" s="200">
        <v>1</v>
      </c>
      <c r="P208" s="200"/>
      <c r="Q208" s="200"/>
      <c r="R208" s="200"/>
      <c r="S208" s="118">
        <f t="shared" si="13"/>
        <v>1</v>
      </c>
      <c r="T208" s="120">
        <f t="shared" si="14"/>
        <v>0.25</v>
      </c>
      <c r="U208" s="201">
        <v>46023</v>
      </c>
      <c r="V208" s="201">
        <v>46357</v>
      </c>
      <c r="W208" s="122">
        <v>330</v>
      </c>
      <c r="X208" s="122" t="s">
        <v>722</v>
      </c>
      <c r="Y208" s="122" t="s">
        <v>723</v>
      </c>
      <c r="Z208" s="306"/>
      <c r="AA208" s="306"/>
      <c r="AB208" s="306"/>
      <c r="AC208" s="306" t="s">
        <v>802</v>
      </c>
      <c r="AD208" s="122" t="s">
        <v>1153</v>
      </c>
      <c r="AE208" s="99">
        <v>94610000</v>
      </c>
      <c r="AF208" s="122" t="s">
        <v>1119</v>
      </c>
      <c r="AG208" s="306"/>
      <c r="AH208" s="331"/>
      <c r="AI208" s="173">
        <v>94610000</v>
      </c>
      <c r="AJ208" s="303"/>
      <c r="AK208" s="200"/>
      <c r="AL208" s="200"/>
      <c r="AM208" s="200"/>
      <c r="AN208" s="306"/>
      <c r="AO208" s="306"/>
      <c r="AP208" s="303"/>
      <c r="AQ208" s="305"/>
      <c r="AR208" s="303"/>
      <c r="AS208" s="305"/>
      <c r="AT208" s="303"/>
      <c r="AU208" s="303"/>
      <c r="AV208" s="303"/>
      <c r="AW208" s="303"/>
      <c r="AX208" s="303"/>
      <c r="AY208" s="303"/>
      <c r="AZ208" s="303"/>
      <c r="BA208" s="303"/>
      <c r="BB208" s="303"/>
      <c r="BC208" s="303"/>
      <c r="BD208" s="303"/>
      <c r="BE208" s="303"/>
      <c r="BF208" s="303"/>
    </row>
    <row r="209" spans="1:58" ht="90">
      <c r="A209" s="355"/>
      <c r="B209" s="331"/>
      <c r="C209" s="331"/>
      <c r="D209" s="306"/>
      <c r="E209" s="306"/>
      <c r="F209" s="324"/>
      <c r="G209" s="306"/>
      <c r="H209" s="306"/>
      <c r="I209" s="306"/>
      <c r="J209" s="325"/>
      <c r="K209" s="122" t="s">
        <v>1183</v>
      </c>
      <c r="L209" s="122"/>
      <c r="M209" s="122" t="s">
        <v>1184</v>
      </c>
      <c r="N209" s="122">
        <v>12</v>
      </c>
      <c r="O209" s="200">
        <v>3</v>
      </c>
      <c r="P209" s="200"/>
      <c r="Q209" s="200"/>
      <c r="R209" s="200"/>
      <c r="S209" s="118">
        <f t="shared" si="13"/>
        <v>3</v>
      </c>
      <c r="T209" s="120">
        <f t="shared" si="14"/>
        <v>0.25</v>
      </c>
      <c r="U209" s="201">
        <v>46023</v>
      </c>
      <c r="V209" s="201">
        <v>46357</v>
      </c>
      <c r="W209" s="122">
        <v>330</v>
      </c>
      <c r="X209" s="122" t="s">
        <v>722</v>
      </c>
      <c r="Y209" s="122" t="s">
        <v>723</v>
      </c>
      <c r="Z209" s="306"/>
      <c r="AA209" s="306"/>
      <c r="AB209" s="306"/>
      <c r="AC209" s="306" t="s">
        <v>802</v>
      </c>
      <c r="AD209" s="122" t="s">
        <v>1153</v>
      </c>
      <c r="AE209" s="99">
        <v>86756000</v>
      </c>
      <c r="AF209" s="122" t="s">
        <v>1119</v>
      </c>
      <c r="AG209" s="306"/>
      <c r="AH209" s="331"/>
      <c r="AI209" s="173">
        <v>86756000</v>
      </c>
      <c r="AJ209" s="303"/>
      <c r="AK209" s="200"/>
      <c r="AL209" s="200"/>
      <c r="AM209" s="200"/>
      <c r="AN209" s="306"/>
      <c r="AO209" s="306"/>
      <c r="AP209" s="303"/>
      <c r="AQ209" s="305"/>
      <c r="AR209" s="303"/>
      <c r="AS209" s="305"/>
      <c r="AT209" s="303"/>
      <c r="AU209" s="303"/>
      <c r="AV209" s="303"/>
      <c r="AW209" s="303"/>
      <c r="AX209" s="303"/>
      <c r="AY209" s="303"/>
      <c r="AZ209" s="303"/>
      <c r="BA209" s="303"/>
      <c r="BB209" s="303"/>
      <c r="BC209" s="303"/>
      <c r="BD209" s="303"/>
      <c r="BE209" s="303"/>
      <c r="BF209" s="303"/>
    </row>
    <row r="210" spans="1:58" ht="90">
      <c r="A210" s="355"/>
      <c r="B210" s="331"/>
      <c r="C210" s="331"/>
      <c r="D210" s="306" t="s">
        <v>484</v>
      </c>
      <c r="E210" s="306"/>
      <c r="F210" s="324"/>
      <c r="G210" s="306"/>
      <c r="H210" s="306"/>
      <c r="I210" s="306"/>
      <c r="J210" s="325">
        <v>0.3</v>
      </c>
      <c r="K210" s="122" t="s">
        <v>1185</v>
      </c>
      <c r="L210" s="122"/>
      <c r="M210" s="122" t="s">
        <v>1186</v>
      </c>
      <c r="N210" s="122">
        <v>4</v>
      </c>
      <c r="O210" s="200">
        <v>1</v>
      </c>
      <c r="P210" s="200"/>
      <c r="Q210" s="200"/>
      <c r="R210" s="200"/>
      <c r="S210" s="118">
        <f t="shared" si="13"/>
        <v>1</v>
      </c>
      <c r="T210" s="120">
        <f t="shared" si="14"/>
        <v>0.25</v>
      </c>
      <c r="U210" s="201">
        <v>46023</v>
      </c>
      <c r="V210" s="201">
        <v>46357</v>
      </c>
      <c r="W210" s="122">
        <v>330</v>
      </c>
      <c r="X210" s="122" t="s">
        <v>722</v>
      </c>
      <c r="Y210" s="122" t="s">
        <v>723</v>
      </c>
      <c r="Z210" s="306"/>
      <c r="AA210" s="306"/>
      <c r="AB210" s="306"/>
      <c r="AC210" s="306" t="s">
        <v>802</v>
      </c>
      <c r="AD210" s="122" t="s">
        <v>1153</v>
      </c>
      <c r="AE210" s="99">
        <v>57132000</v>
      </c>
      <c r="AF210" s="122" t="s">
        <v>1119</v>
      </c>
      <c r="AG210" s="306"/>
      <c r="AH210" s="331"/>
      <c r="AI210" s="173">
        <v>57132000</v>
      </c>
      <c r="AJ210" s="303"/>
      <c r="AK210" s="200"/>
      <c r="AL210" s="200"/>
      <c r="AM210" s="200"/>
      <c r="AN210" s="306"/>
      <c r="AO210" s="306"/>
      <c r="AP210" s="303"/>
      <c r="AQ210" s="305"/>
      <c r="AR210" s="303"/>
      <c r="AS210" s="305"/>
      <c r="AT210" s="303"/>
      <c r="AU210" s="303"/>
      <c r="AV210" s="303"/>
      <c r="AW210" s="303"/>
      <c r="AX210" s="303"/>
      <c r="AY210" s="303"/>
      <c r="AZ210" s="303"/>
      <c r="BA210" s="303"/>
      <c r="BB210" s="303"/>
      <c r="BC210" s="303"/>
      <c r="BD210" s="303"/>
      <c r="BE210" s="303"/>
      <c r="BF210" s="303"/>
    </row>
    <row r="211" spans="1:58" ht="90">
      <c r="A211" s="355"/>
      <c r="B211" s="331"/>
      <c r="C211" s="331"/>
      <c r="D211" s="306"/>
      <c r="E211" s="306"/>
      <c r="F211" s="324"/>
      <c r="G211" s="306"/>
      <c r="H211" s="306"/>
      <c r="I211" s="306"/>
      <c r="J211" s="325"/>
      <c r="K211" s="122" t="s">
        <v>1187</v>
      </c>
      <c r="L211" s="122"/>
      <c r="M211" s="122" t="s">
        <v>1184</v>
      </c>
      <c r="N211" s="122">
        <v>12</v>
      </c>
      <c r="O211" s="200">
        <v>2</v>
      </c>
      <c r="P211" s="200"/>
      <c r="Q211" s="200"/>
      <c r="R211" s="200"/>
      <c r="S211" s="118">
        <f t="shared" si="13"/>
        <v>2</v>
      </c>
      <c r="T211" s="120">
        <f t="shared" si="14"/>
        <v>0.16666666666666666</v>
      </c>
      <c r="U211" s="201">
        <v>46023</v>
      </c>
      <c r="V211" s="201">
        <v>46357</v>
      </c>
      <c r="W211" s="122">
        <v>330</v>
      </c>
      <c r="X211" s="122" t="s">
        <v>722</v>
      </c>
      <c r="Y211" s="122" t="s">
        <v>723</v>
      </c>
      <c r="Z211" s="306"/>
      <c r="AA211" s="306"/>
      <c r="AB211" s="306"/>
      <c r="AC211" s="306" t="s">
        <v>802</v>
      </c>
      <c r="AD211" s="122" t="s">
        <v>1153</v>
      </c>
      <c r="AE211" s="99">
        <v>92610000</v>
      </c>
      <c r="AF211" s="122" t="s">
        <v>1119</v>
      </c>
      <c r="AG211" s="306"/>
      <c r="AH211" s="331"/>
      <c r="AI211" s="173">
        <v>92610000</v>
      </c>
      <c r="AJ211" s="303"/>
      <c r="AK211" s="200"/>
      <c r="AL211" s="200"/>
      <c r="AM211" s="200"/>
      <c r="AN211" s="306"/>
      <c r="AO211" s="306"/>
      <c r="AP211" s="303"/>
      <c r="AQ211" s="305"/>
      <c r="AR211" s="303"/>
      <c r="AS211" s="305"/>
      <c r="AT211" s="303"/>
      <c r="AU211" s="303"/>
      <c r="AV211" s="303"/>
      <c r="AW211" s="303"/>
      <c r="AX211" s="303"/>
      <c r="AY211" s="303"/>
      <c r="AZ211" s="303"/>
      <c r="BA211" s="303"/>
      <c r="BB211" s="303"/>
      <c r="BC211" s="303"/>
      <c r="BD211" s="303"/>
      <c r="BE211" s="303"/>
      <c r="BF211" s="303"/>
    </row>
    <row r="212" spans="1:58" ht="90">
      <c r="A212" s="355"/>
      <c r="B212" s="331"/>
      <c r="C212" s="331"/>
      <c r="D212" s="306"/>
      <c r="E212" s="306"/>
      <c r="F212" s="324"/>
      <c r="G212" s="306"/>
      <c r="H212" s="306"/>
      <c r="I212" s="306"/>
      <c r="J212" s="325"/>
      <c r="K212" s="137" t="s">
        <v>1188</v>
      </c>
      <c r="L212" s="122"/>
      <c r="M212" s="122" t="s">
        <v>1184</v>
      </c>
      <c r="N212" s="122">
        <v>5</v>
      </c>
      <c r="O212" s="200">
        <v>0</v>
      </c>
      <c r="P212" s="200"/>
      <c r="Q212" s="200"/>
      <c r="R212" s="200"/>
      <c r="S212" s="118">
        <f t="shared" si="13"/>
        <v>0</v>
      </c>
      <c r="T212" s="120">
        <f t="shared" si="14"/>
        <v>0</v>
      </c>
      <c r="U212" s="201">
        <v>46023</v>
      </c>
      <c r="V212" s="201">
        <v>46357</v>
      </c>
      <c r="W212" s="122">
        <v>330</v>
      </c>
      <c r="X212" s="122" t="s">
        <v>722</v>
      </c>
      <c r="Y212" s="122" t="s">
        <v>723</v>
      </c>
      <c r="Z212" s="306"/>
      <c r="AA212" s="306"/>
      <c r="AB212" s="306"/>
      <c r="AC212" s="306"/>
      <c r="AD212" s="122" t="s">
        <v>1189</v>
      </c>
      <c r="AE212" s="99">
        <v>123739250</v>
      </c>
      <c r="AF212" s="122" t="s">
        <v>1119</v>
      </c>
      <c r="AG212" s="306"/>
      <c r="AH212" s="331"/>
      <c r="AI212" s="173">
        <v>123739250</v>
      </c>
      <c r="AJ212" s="303"/>
      <c r="AK212" s="200"/>
      <c r="AL212" s="200"/>
      <c r="AM212" s="200"/>
      <c r="AN212" s="306"/>
      <c r="AO212" s="306"/>
      <c r="AP212" s="303"/>
      <c r="AQ212" s="305"/>
      <c r="AR212" s="303"/>
      <c r="AS212" s="305"/>
      <c r="AT212" s="303"/>
      <c r="AU212" s="303"/>
      <c r="AV212" s="303"/>
      <c r="AW212" s="303"/>
      <c r="AX212" s="303"/>
      <c r="AY212" s="303"/>
      <c r="AZ212" s="303"/>
      <c r="BA212" s="303"/>
      <c r="BB212" s="303"/>
      <c r="BC212" s="303"/>
      <c r="BD212" s="303"/>
      <c r="BE212" s="303"/>
      <c r="BF212" s="303"/>
    </row>
    <row r="213" spans="1:58" ht="105.75" customHeight="1">
      <c r="A213" s="197"/>
      <c r="B213" s="127"/>
      <c r="C213" s="127"/>
      <c r="D213" s="122"/>
      <c r="E213" s="122"/>
      <c r="F213" s="124"/>
      <c r="G213" s="122"/>
      <c r="H213" s="122"/>
      <c r="I213" s="122"/>
      <c r="J213" s="95"/>
      <c r="K213" s="302" t="s">
        <v>1316</v>
      </c>
      <c r="L213" s="302"/>
      <c r="M213" s="302"/>
      <c r="N213" s="302"/>
      <c r="O213" s="302"/>
      <c r="P213" s="302"/>
      <c r="Q213" s="302"/>
      <c r="R213" s="302"/>
      <c r="S213" s="302"/>
      <c r="T213" s="140">
        <f>AVERAGE(T196:T212)</f>
        <v>0.20416666666666666</v>
      </c>
      <c r="U213" s="201"/>
      <c r="V213" s="201"/>
      <c r="W213" s="122"/>
      <c r="X213" s="122"/>
      <c r="Y213" s="122"/>
      <c r="Z213" s="122"/>
      <c r="AA213" s="122"/>
      <c r="AB213" s="122"/>
      <c r="AC213" s="122"/>
      <c r="AD213" s="122"/>
      <c r="AE213" s="304" t="s">
        <v>1317</v>
      </c>
      <c r="AF213" s="304"/>
      <c r="AG213" s="304"/>
      <c r="AH213" s="304"/>
      <c r="AI213" s="304"/>
      <c r="AJ213" s="202">
        <f>+AJ196</f>
        <v>1650000000</v>
      </c>
      <c r="AK213" s="203"/>
      <c r="AL213" s="203"/>
      <c r="AM213" s="203"/>
      <c r="AN213" s="172"/>
      <c r="AO213" s="172"/>
      <c r="AP213" s="202">
        <f>+AP196</f>
        <v>1108001223</v>
      </c>
      <c r="AQ213" s="140">
        <f>+AQ196</f>
        <v>0.67151589272727275</v>
      </c>
      <c r="AR213" s="202">
        <f>+AR196</f>
        <v>305698796</v>
      </c>
      <c r="AS213" s="140">
        <f>+AS196</f>
        <v>0.18527199757575757</v>
      </c>
      <c r="AT213" s="200"/>
      <c r="AU213" s="200"/>
      <c r="AV213" s="200"/>
      <c r="AW213" s="200"/>
      <c r="AX213" s="200"/>
      <c r="AY213" s="200"/>
      <c r="AZ213" s="200"/>
      <c r="BA213" s="200"/>
      <c r="BB213" s="200"/>
      <c r="BC213" s="200"/>
      <c r="BD213" s="200"/>
      <c r="BE213" s="200"/>
      <c r="BF213" s="200"/>
    </row>
    <row r="214" spans="1:58" ht="198">
      <c r="A214" s="355"/>
      <c r="B214" s="331" t="s">
        <v>489</v>
      </c>
      <c r="C214" s="332" t="s">
        <v>490</v>
      </c>
      <c r="D214" s="306" t="s">
        <v>493</v>
      </c>
      <c r="E214" s="306" t="s">
        <v>1190</v>
      </c>
      <c r="F214" s="324">
        <v>2024130010261</v>
      </c>
      <c r="G214" s="306" t="s">
        <v>1191</v>
      </c>
      <c r="H214" s="306" t="s">
        <v>1192</v>
      </c>
      <c r="I214" s="306" t="s">
        <v>1193</v>
      </c>
      <c r="J214" s="95"/>
      <c r="K214" s="122" t="s">
        <v>1194</v>
      </c>
      <c r="L214" s="122"/>
      <c r="M214" s="122" t="s">
        <v>1195</v>
      </c>
      <c r="N214" s="122">
        <v>100</v>
      </c>
      <c r="O214" s="200">
        <v>13</v>
      </c>
      <c r="P214" s="200"/>
      <c r="Q214" s="200"/>
      <c r="R214" s="200"/>
      <c r="S214" s="118">
        <f t="shared" si="13"/>
        <v>13</v>
      </c>
      <c r="T214" s="120">
        <f t="shared" si="14"/>
        <v>0.13</v>
      </c>
      <c r="U214" s="122" t="s">
        <v>799</v>
      </c>
      <c r="V214" s="122" t="s">
        <v>785</v>
      </c>
      <c r="W214" s="122">
        <v>330</v>
      </c>
      <c r="X214" s="122" t="s">
        <v>722</v>
      </c>
      <c r="Y214" s="122" t="s">
        <v>723</v>
      </c>
      <c r="Z214" s="306" t="s">
        <v>44</v>
      </c>
      <c r="AA214" s="122" t="s">
        <v>1196</v>
      </c>
      <c r="AB214" s="122" t="s">
        <v>1197</v>
      </c>
      <c r="AC214" s="122" t="s">
        <v>937</v>
      </c>
      <c r="AD214" s="122" t="s">
        <v>1002</v>
      </c>
      <c r="AE214" s="98">
        <v>380000000</v>
      </c>
      <c r="AF214" s="122" t="s">
        <v>75</v>
      </c>
      <c r="AG214" s="122" t="s">
        <v>52</v>
      </c>
      <c r="AH214" s="204">
        <v>45659</v>
      </c>
      <c r="AI214" s="98">
        <v>380000000</v>
      </c>
      <c r="AJ214" s="303">
        <v>1000000000</v>
      </c>
      <c r="AK214" s="200"/>
      <c r="AL214" s="200"/>
      <c r="AM214" s="200"/>
      <c r="AN214" s="122" t="s">
        <v>699</v>
      </c>
      <c r="AO214" s="306" t="s">
        <v>1198</v>
      </c>
      <c r="AP214" s="303">
        <v>263658600</v>
      </c>
      <c r="AQ214" s="305">
        <f>+AP214/AJ214</f>
        <v>0.26365860000000002</v>
      </c>
      <c r="AR214" s="303">
        <v>45871200</v>
      </c>
      <c r="AS214" s="305">
        <f>+AR214/AJ214</f>
        <v>4.5871200000000001E-2</v>
      </c>
      <c r="AT214" s="303"/>
      <c r="AU214" s="303"/>
      <c r="AV214" s="303"/>
      <c r="AW214" s="303"/>
      <c r="AX214" s="303"/>
      <c r="AY214" s="303">
        <v>13115094</v>
      </c>
      <c r="AZ214" s="303"/>
      <c r="BA214" s="303"/>
      <c r="BB214" s="303"/>
      <c r="BC214" s="303"/>
      <c r="BD214" s="303"/>
      <c r="BE214" s="303"/>
      <c r="BF214" s="303"/>
    </row>
    <row r="215" spans="1:58" ht="198">
      <c r="A215" s="355"/>
      <c r="B215" s="331"/>
      <c r="C215" s="332"/>
      <c r="D215" s="306"/>
      <c r="E215" s="306"/>
      <c r="F215" s="324"/>
      <c r="G215" s="306"/>
      <c r="H215" s="306"/>
      <c r="I215" s="306"/>
      <c r="J215" s="95"/>
      <c r="K215" s="122" t="s">
        <v>1199</v>
      </c>
      <c r="L215" s="122"/>
      <c r="M215" s="122" t="s">
        <v>1200</v>
      </c>
      <c r="N215" s="122">
        <v>5</v>
      </c>
      <c r="O215" s="200">
        <v>0</v>
      </c>
      <c r="P215" s="200"/>
      <c r="Q215" s="200"/>
      <c r="R215" s="200"/>
      <c r="S215" s="118">
        <f t="shared" si="13"/>
        <v>0</v>
      </c>
      <c r="T215" s="120">
        <f t="shared" si="14"/>
        <v>0</v>
      </c>
      <c r="U215" s="122" t="s">
        <v>799</v>
      </c>
      <c r="V215" s="122" t="s">
        <v>785</v>
      </c>
      <c r="W215" s="122">
        <v>330</v>
      </c>
      <c r="X215" s="122" t="s">
        <v>722</v>
      </c>
      <c r="Y215" s="122" t="s">
        <v>723</v>
      </c>
      <c r="Z215" s="306"/>
      <c r="AA215" s="122" t="s">
        <v>1196</v>
      </c>
      <c r="AB215" s="122" t="s">
        <v>1197</v>
      </c>
      <c r="AC215" s="122" t="s">
        <v>937</v>
      </c>
      <c r="AD215" s="122" t="s">
        <v>1002</v>
      </c>
      <c r="AE215" s="99">
        <v>570000000</v>
      </c>
      <c r="AF215" s="122" t="s">
        <v>75</v>
      </c>
      <c r="AG215" s="122" t="s">
        <v>52</v>
      </c>
      <c r="AH215" s="204">
        <v>45659</v>
      </c>
      <c r="AI215" s="99">
        <v>570000000</v>
      </c>
      <c r="AJ215" s="303"/>
      <c r="AK215" s="200"/>
      <c r="AL215" s="200"/>
      <c r="AM215" s="200"/>
      <c r="AN215" s="122" t="s">
        <v>699</v>
      </c>
      <c r="AO215" s="306"/>
      <c r="AP215" s="303">
        <v>0</v>
      </c>
      <c r="AQ215" s="305"/>
      <c r="AR215" s="303"/>
      <c r="AS215" s="305"/>
      <c r="AT215" s="303"/>
      <c r="AU215" s="303"/>
      <c r="AV215" s="303"/>
      <c r="AW215" s="303"/>
      <c r="AX215" s="303"/>
      <c r="AY215" s="303">
        <v>0</v>
      </c>
      <c r="AZ215" s="303"/>
      <c r="BA215" s="303"/>
      <c r="BB215" s="303"/>
      <c r="BC215" s="303"/>
      <c r="BD215" s="303"/>
      <c r="BE215" s="303"/>
      <c r="BF215" s="303"/>
    </row>
    <row r="216" spans="1:58" ht="198">
      <c r="A216" s="355"/>
      <c r="B216" s="331"/>
      <c r="C216" s="332"/>
      <c r="D216" s="122" t="s">
        <v>495</v>
      </c>
      <c r="E216" s="306"/>
      <c r="F216" s="324"/>
      <c r="G216" s="306"/>
      <c r="H216" s="306"/>
      <c r="I216" s="306"/>
      <c r="J216" s="95"/>
      <c r="K216" s="122" t="s">
        <v>1201</v>
      </c>
      <c r="L216" s="122"/>
      <c r="M216" s="122" t="s">
        <v>1202</v>
      </c>
      <c r="N216" s="122">
        <v>3</v>
      </c>
      <c r="O216" s="200">
        <v>1</v>
      </c>
      <c r="P216" s="200"/>
      <c r="Q216" s="200"/>
      <c r="R216" s="200"/>
      <c r="S216" s="118">
        <f t="shared" si="13"/>
        <v>1</v>
      </c>
      <c r="T216" s="120">
        <f t="shared" si="14"/>
        <v>0.33333333333333331</v>
      </c>
      <c r="U216" s="122" t="s">
        <v>799</v>
      </c>
      <c r="V216" s="122" t="s">
        <v>785</v>
      </c>
      <c r="W216" s="122">
        <v>330</v>
      </c>
      <c r="X216" s="122" t="s">
        <v>722</v>
      </c>
      <c r="Y216" s="122" t="s">
        <v>723</v>
      </c>
      <c r="Z216" s="306"/>
      <c r="AA216" s="122" t="s">
        <v>1203</v>
      </c>
      <c r="AB216" s="122" t="s">
        <v>1197</v>
      </c>
      <c r="AC216" s="122" t="s">
        <v>937</v>
      </c>
      <c r="AD216" s="122" t="s">
        <v>1002</v>
      </c>
      <c r="AE216" s="98">
        <v>50000000</v>
      </c>
      <c r="AF216" s="122" t="s">
        <v>75</v>
      </c>
      <c r="AG216" s="122" t="s">
        <v>60</v>
      </c>
      <c r="AH216" s="204">
        <v>45659</v>
      </c>
      <c r="AI216" s="98">
        <v>50000000</v>
      </c>
      <c r="AJ216" s="303"/>
      <c r="AK216" s="200"/>
      <c r="AL216" s="200"/>
      <c r="AM216" s="200"/>
      <c r="AN216" s="122" t="s">
        <v>1204</v>
      </c>
      <c r="AO216" s="306"/>
      <c r="AP216" s="303">
        <v>166104918</v>
      </c>
      <c r="AQ216" s="305"/>
      <c r="AR216" s="303"/>
      <c r="AS216" s="305"/>
      <c r="AT216" s="303"/>
      <c r="AU216" s="303"/>
      <c r="AV216" s="303"/>
      <c r="AW216" s="303"/>
      <c r="AX216" s="303"/>
      <c r="AY216" s="303">
        <v>22331106</v>
      </c>
      <c r="AZ216" s="303"/>
      <c r="BA216" s="303"/>
      <c r="BB216" s="303"/>
      <c r="BC216" s="303"/>
      <c r="BD216" s="303"/>
      <c r="BE216" s="303"/>
      <c r="BF216" s="303"/>
    </row>
    <row r="217" spans="1:58" ht="65.25" customHeight="1">
      <c r="A217" s="197"/>
      <c r="B217" s="127"/>
      <c r="C217" s="166"/>
      <c r="D217" s="122"/>
      <c r="E217" s="122"/>
      <c r="F217" s="124"/>
      <c r="G217" s="122"/>
      <c r="H217" s="122"/>
      <c r="I217" s="122"/>
      <c r="J217" s="95"/>
      <c r="K217" s="302" t="s">
        <v>1318</v>
      </c>
      <c r="L217" s="302"/>
      <c r="M217" s="302"/>
      <c r="N217" s="302"/>
      <c r="O217" s="302"/>
      <c r="P217" s="302"/>
      <c r="Q217" s="302"/>
      <c r="R217" s="302"/>
      <c r="S217" s="302"/>
      <c r="T217" s="140">
        <f>AVERAGE(T214:T216)</f>
        <v>0.15444444444444444</v>
      </c>
      <c r="U217" s="122"/>
      <c r="V217" s="122"/>
      <c r="W217" s="122"/>
      <c r="X217" s="122"/>
      <c r="Y217" s="122"/>
      <c r="Z217" s="122"/>
      <c r="AA217" s="122"/>
      <c r="AB217" s="122"/>
      <c r="AC217" s="122"/>
      <c r="AD217" s="122"/>
      <c r="AE217" s="304" t="s">
        <v>1319</v>
      </c>
      <c r="AF217" s="304"/>
      <c r="AG217" s="304"/>
      <c r="AH217" s="304"/>
      <c r="AI217" s="304"/>
      <c r="AJ217" s="202">
        <f>+AJ214</f>
        <v>1000000000</v>
      </c>
      <c r="AK217" s="203"/>
      <c r="AL217" s="203"/>
      <c r="AM217" s="203"/>
      <c r="AN217" s="172"/>
      <c r="AO217" s="172"/>
      <c r="AP217" s="202">
        <f>+AP214</f>
        <v>263658600</v>
      </c>
      <c r="AQ217" s="140">
        <f>+AQ214</f>
        <v>0.26365860000000002</v>
      </c>
      <c r="AR217" s="202">
        <f>+AR214</f>
        <v>45871200</v>
      </c>
      <c r="AS217" s="140">
        <f>+AS214</f>
        <v>4.5871200000000001E-2</v>
      </c>
      <c r="AT217" s="205"/>
      <c r="AU217" s="205"/>
      <c r="AV217" s="205"/>
      <c r="AW217" s="205"/>
      <c r="AX217" s="205"/>
      <c r="AY217" s="206"/>
      <c r="AZ217" s="200"/>
      <c r="BA217" s="200"/>
      <c r="BB217" s="200"/>
      <c r="BC217" s="200"/>
      <c r="BD217" s="200"/>
      <c r="BE217" s="200"/>
      <c r="BF217" s="200"/>
    </row>
    <row r="218" spans="1:58" ht="72">
      <c r="A218" s="214"/>
      <c r="B218" s="331" t="s">
        <v>496</v>
      </c>
      <c r="C218" s="331" t="s">
        <v>497</v>
      </c>
      <c r="D218" s="306" t="s">
        <v>507</v>
      </c>
      <c r="E218" s="306" t="s">
        <v>1205</v>
      </c>
      <c r="F218" s="324">
        <v>2024130010260</v>
      </c>
      <c r="G218" s="306" t="s">
        <v>1206</v>
      </c>
      <c r="H218" s="306" t="s">
        <v>507</v>
      </c>
      <c r="I218" s="306" t="s">
        <v>882</v>
      </c>
      <c r="J218" s="95"/>
      <c r="K218" s="122" t="s">
        <v>1207</v>
      </c>
      <c r="L218" s="122"/>
      <c r="M218" s="122" t="s">
        <v>1208</v>
      </c>
      <c r="N218" s="122">
        <v>4</v>
      </c>
      <c r="O218" s="200">
        <v>1</v>
      </c>
      <c r="P218" s="200"/>
      <c r="Q218" s="200"/>
      <c r="R218" s="200"/>
      <c r="S218" s="118">
        <f t="shared" si="13"/>
        <v>1</v>
      </c>
      <c r="T218" s="120">
        <f t="shared" si="14"/>
        <v>0.25</v>
      </c>
      <c r="U218" s="122" t="s">
        <v>799</v>
      </c>
      <c r="V218" s="122" t="s">
        <v>785</v>
      </c>
      <c r="W218" s="122">
        <v>330</v>
      </c>
      <c r="X218" s="122" t="s">
        <v>722</v>
      </c>
      <c r="Y218" s="122" t="s">
        <v>723</v>
      </c>
      <c r="Z218" s="306" t="s">
        <v>44</v>
      </c>
      <c r="AA218" s="306" t="s">
        <v>1209</v>
      </c>
      <c r="AB218" s="306" t="s">
        <v>1210</v>
      </c>
      <c r="AC218" s="306" t="s">
        <v>937</v>
      </c>
      <c r="AD218" s="306" t="s">
        <v>1002</v>
      </c>
      <c r="AE218" s="173">
        <v>50000000</v>
      </c>
      <c r="AF218" s="306" t="s">
        <v>1029</v>
      </c>
      <c r="AG218" s="306" t="s">
        <v>52</v>
      </c>
      <c r="AH218" s="122" t="s">
        <v>799</v>
      </c>
      <c r="AI218" s="173">
        <v>50000000</v>
      </c>
      <c r="AJ218" s="303">
        <v>400000000</v>
      </c>
      <c r="AK218" s="200"/>
      <c r="AL218" s="200"/>
      <c r="AM218" s="200"/>
      <c r="AN218" s="306" t="s">
        <v>699</v>
      </c>
      <c r="AO218" s="306" t="s">
        <v>1211</v>
      </c>
      <c r="AP218" s="303">
        <v>174509200</v>
      </c>
      <c r="AQ218" s="305">
        <f>+AP218/AJ218</f>
        <v>0.43627300000000002</v>
      </c>
      <c r="AR218" s="303">
        <v>42939800</v>
      </c>
      <c r="AS218" s="305">
        <f>+AR218/AJ218</f>
        <v>0.1073495</v>
      </c>
      <c r="AT218" s="303"/>
      <c r="AU218" s="303"/>
      <c r="AV218" s="303"/>
      <c r="AW218" s="303"/>
      <c r="AX218" s="303"/>
      <c r="AY218" s="303"/>
      <c r="AZ218" s="303"/>
      <c r="BA218" s="303"/>
      <c r="BB218" s="303"/>
      <c r="BC218" s="303"/>
      <c r="BD218" s="303"/>
      <c r="BE218" s="303"/>
      <c r="BF218" s="303"/>
    </row>
    <row r="219" spans="1:58" ht="108">
      <c r="A219" s="214"/>
      <c r="B219" s="331"/>
      <c r="C219" s="331"/>
      <c r="D219" s="306"/>
      <c r="E219" s="306"/>
      <c r="F219" s="324"/>
      <c r="G219" s="306"/>
      <c r="H219" s="306"/>
      <c r="I219" s="306"/>
      <c r="J219" s="95"/>
      <c r="K219" s="122" t="s">
        <v>1212</v>
      </c>
      <c r="L219" s="122"/>
      <c r="M219" s="122" t="s">
        <v>1213</v>
      </c>
      <c r="N219" s="122">
        <v>1</v>
      </c>
      <c r="O219" s="200">
        <v>1</v>
      </c>
      <c r="P219" s="200"/>
      <c r="Q219" s="200"/>
      <c r="R219" s="200"/>
      <c r="S219" s="118">
        <f t="shared" si="13"/>
        <v>1</v>
      </c>
      <c r="T219" s="120">
        <f t="shared" si="14"/>
        <v>1</v>
      </c>
      <c r="U219" s="122" t="s">
        <v>799</v>
      </c>
      <c r="V219" s="122" t="s">
        <v>785</v>
      </c>
      <c r="W219" s="122">
        <v>330</v>
      </c>
      <c r="X219" s="122" t="s">
        <v>722</v>
      </c>
      <c r="Y219" s="122" t="s">
        <v>723</v>
      </c>
      <c r="Z219" s="306"/>
      <c r="AA219" s="306"/>
      <c r="AB219" s="306"/>
      <c r="AC219" s="306"/>
      <c r="AD219" s="306"/>
      <c r="AE219" s="173">
        <v>83000000</v>
      </c>
      <c r="AF219" s="306"/>
      <c r="AG219" s="306"/>
      <c r="AH219" s="122" t="s">
        <v>799</v>
      </c>
      <c r="AI219" s="173">
        <v>83000000</v>
      </c>
      <c r="AJ219" s="303"/>
      <c r="AK219" s="200"/>
      <c r="AL219" s="200"/>
      <c r="AM219" s="200"/>
      <c r="AN219" s="306"/>
      <c r="AO219" s="306"/>
      <c r="AP219" s="303"/>
      <c r="AQ219" s="305"/>
      <c r="AR219" s="303"/>
      <c r="AS219" s="305"/>
      <c r="AT219" s="303"/>
      <c r="AU219" s="303"/>
      <c r="AV219" s="303"/>
      <c r="AW219" s="303"/>
      <c r="AX219" s="303"/>
      <c r="AY219" s="303"/>
      <c r="AZ219" s="303"/>
      <c r="BA219" s="303"/>
      <c r="BB219" s="303"/>
      <c r="BC219" s="303"/>
      <c r="BD219" s="303"/>
      <c r="BE219" s="303"/>
      <c r="BF219" s="303"/>
    </row>
    <row r="220" spans="1:58" ht="108">
      <c r="A220" s="214"/>
      <c r="B220" s="331"/>
      <c r="C220" s="331"/>
      <c r="D220" s="306"/>
      <c r="E220" s="306"/>
      <c r="F220" s="324"/>
      <c r="G220" s="306"/>
      <c r="H220" s="306"/>
      <c r="I220" s="306"/>
      <c r="J220" s="95"/>
      <c r="K220" s="122" t="s">
        <v>1214</v>
      </c>
      <c r="L220" s="122"/>
      <c r="M220" s="122" t="s">
        <v>1213</v>
      </c>
      <c r="N220" s="122">
        <v>1</v>
      </c>
      <c r="O220" s="200">
        <v>0</v>
      </c>
      <c r="P220" s="200"/>
      <c r="Q220" s="200"/>
      <c r="R220" s="200"/>
      <c r="S220" s="118">
        <f t="shared" si="13"/>
        <v>0</v>
      </c>
      <c r="T220" s="120">
        <f t="shared" si="14"/>
        <v>0</v>
      </c>
      <c r="U220" s="122" t="s">
        <v>799</v>
      </c>
      <c r="V220" s="122" t="s">
        <v>785</v>
      </c>
      <c r="W220" s="122">
        <v>330</v>
      </c>
      <c r="X220" s="122" t="s">
        <v>722</v>
      </c>
      <c r="Y220" s="122" t="s">
        <v>723</v>
      </c>
      <c r="Z220" s="306"/>
      <c r="AA220" s="306"/>
      <c r="AB220" s="306"/>
      <c r="AC220" s="306"/>
      <c r="AD220" s="306"/>
      <c r="AE220" s="173">
        <v>40000000</v>
      </c>
      <c r="AF220" s="306"/>
      <c r="AG220" s="306"/>
      <c r="AH220" s="122" t="s">
        <v>799</v>
      </c>
      <c r="AI220" s="173">
        <v>40000000</v>
      </c>
      <c r="AJ220" s="303"/>
      <c r="AK220" s="200"/>
      <c r="AL220" s="200"/>
      <c r="AM220" s="200"/>
      <c r="AN220" s="306"/>
      <c r="AO220" s="306"/>
      <c r="AP220" s="303"/>
      <c r="AQ220" s="305"/>
      <c r="AR220" s="303"/>
      <c r="AS220" s="305"/>
      <c r="AT220" s="303"/>
      <c r="AU220" s="303"/>
      <c r="AV220" s="303"/>
      <c r="AW220" s="303"/>
      <c r="AX220" s="303"/>
      <c r="AY220" s="303"/>
      <c r="AZ220" s="303"/>
      <c r="BA220" s="303"/>
      <c r="BB220" s="303"/>
      <c r="BC220" s="303"/>
      <c r="BD220" s="303"/>
      <c r="BE220" s="303"/>
      <c r="BF220" s="303"/>
    </row>
    <row r="221" spans="1:58" ht="72">
      <c r="A221" s="214"/>
      <c r="B221" s="331"/>
      <c r="C221" s="331"/>
      <c r="D221" s="306"/>
      <c r="E221" s="306"/>
      <c r="F221" s="324"/>
      <c r="G221" s="306"/>
      <c r="H221" s="306"/>
      <c r="I221" s="306"/>
      <c r="J221" s="95"/>
      <c r="K221" s="122" t="s">
        <v>1215</v>
      </c>
      <c r="L221" s="122"/>
      <c r="M221" s="122" t="s">
        <v>1216</v>
      </c>
      <c r="N221" s="122">
        <v>1</v>
      </c>
      <c r="O221" s="200">
        <v>0</v>
      </c>
      <c r="P221" s="200"/>
      <c r="Q221" s="200"/>
      <c r="R221" s="200"/>
      <c r="S221" s="118">
        <f t="shared" si="13"/>
        <v>0</v>
      </c>
      <c r="T221" s="120">
        <f t="shared" si="14"/>
        <v>0</v>
      </c>
      <c r="U221" s="122" t="s">
        <v>799</v>
      </c>
      <c r="V221" s="122" t="s">
        <v>785</v>
      </c>
      <c r="W221" s="122">
        <v>330</v>
      </c>
      <c r="X221" s="122" t="s">
        <v>722</v>
      </c>
      <c r="Y221" s="122" t="s">
        <v>723</v>
      </c>
      <c r="Z221" s="306"/>
      <c r="AA221" s="306"/>
      <c r="AB221" s="306"/>
      <c r="AC221" s="306"/>
      <c r="AD221" s="306"/>
      <c r="AE221" s="173">
        <v>110000000</v>
      </c>
      <c r="AF221" s="306"/>
      <c r="AG221" s="306"/>
      <c r="AH221" s="122" t="s">
        <v>799</v>
      </c>
      <c r="AI221" s="173">
        <v>110000000</v>
      </c>
      <c r="AJ221" s="303"/>
      <c r="AK221" s="200"/>
      <c r="AL221" s="200"/>
      <c r="AM221" s="200"/>
      <c r="AN221" s="306"/>
      <c r="AO221" s="306"/>
      <c r="AP221" s="303"/>
      <c r="AQ221" s="305"/>
      <c r="AR221" s="303"/>
      <c r="AS221" s="305"/>
      <c r="AT221" s="303"/>
      <c r="AU221" s="303"/>
      <c r="AV221" s="303"/>
      <c r="AW221" s="303"/>
      <c r="AX221" s="303"/>
      <c r="AY221" s="303"/>
      <c r="AZ221" s="303"/>
      <c r="BA221" s="303"/>
      <c r="BB221" s="303"/>
      <c r="BC221" s="303"/>
      <c r="BD221" s="303"/>
      <c r="BE221" s="303"/>
      <c r="BF221" s="303"/>
    </row>
    <row r="222" spans="1:58" ht="72">
      <c r="A222" s="214"/>
      <c r="B222" s="331"/>
      <c r="C222" s="331"/>
      <c r="D222" s="306"/>
      <c r="E222" s="306"/>
      <c r="F222" s="324"/>
      <c r="G222" s="306"/>
      <c r="H222" s="306"/>
      <c r="I222" s="306"/>
      <c r="J222" s="95"/>
      <c r="K222" s="122" t="s">
        <v>1217</v>
      </c>
      <c r="L222" s="122"/>
      <c r="M222" s="122" t="s">
        <v>1218</v>
      </c>
      <c r="N222" s="122">
        <v>1</v>
      </c>
      <c r="O222" s="200">
        <v>0</v>
      </c>
      <c r="P222" s="200"/>
      <c r="Q222" s="200"/>
      <c r="R222" s="200"/>
      <c r="S222" s="118">
        <f t="shared" si="13"/>
        <v>0</v>
      </c>
      <c r="T222" s="120">
        <f t="shared" si="14"/>
        <v>0</v>
      </c>
      <c r="U222" s="122" t="s">
        <v>799</v>
      </c>
      <c r="V222" s="122" t="s">
        <v>785</v>
      </c>
      <c r="W222" s="122">
        <v>330</v>
      </c>
      <c r="X222" s="122" t="s">
        <v>722</v>
      </c>
      <c r="Y222" s="122" t="s">
        <v>723</v>
      </c>
      <c r="Z222" s="306"/>
      <c r="AA222" s="306"/>
      <c r="AB222" s="306"/>
      <c r="AC222" s="306"/>
      <c r="AD222" s="306"/>
      <c r="AE222" s="173">
        <v>37000000</v>
      </c>
      <c r="AF222" s="306"/>
      <c r="AG222" s="306"/>
      <c r="AH222" s="122" t="s">
        <v>799</v>
      </c>
      <c r="AI222" s="173">
        <v>37000000</v>
      </c>
      <c r="AJ222" s="303"/>
      <c r="AK222" s="200"/>
      <c r="AL222" s="200"/>
      <c r="AM222" s="200"/>
      <c r="AN222" s="306"/>
      <c r="AO222" s="306"/>
      <c r="AP222" s="303"/>
      <c r="AQ222" s="305"/>
      <c r="AR222" s="303"/>
      <c r="AS222" s="305"/>
      <c r="AT222" s="303"/>
      <c r="AU222" s="303"/>
      <c r="AV222" s="303"/>
      <c r="AW222" s="303"/>
      <c r="AX222" s="303"/>
      <c r="AY222" s="303"/>
      <c r="AZ222" s="303"/>
      <c r="BA222" s="303"/>
      <c r="BB222" s="303"/>
      <c r="BC222" s="303"/>
      <c r="BD222" s="303"/>
      <c r="BE222" s="303"/>
      <c r="BF222" s="303"/>
    </row>
    <row r="223" spans="1:58" ht="108">
      <c r="A223" s="214"/>
      <c r="B223" s="331"/>
      <c r="C223" s="331"/>
      <c r="D223" s="306"/>
      <c r="E223" s="306"/>
      <c r="F223" s="324"/>
      <c r="G223" s="306"/>
      <c r="H223" s="306"/>
      <c r="I223" s="306"/>
      <c r="J223" s="95"/>
      <c r="K223" s="122" t="s">
        <v>1219</v>
      </c>
      <c r="L223" s="122"/>
      <c r="M223" s="122" t="s">
        <v>1220</v>
      </c>
      <c r="N223" s="122">
        <v>3</v>
      </c>
      <c r="O223" s="200">
        <v>0</v>
      </c>
      <c r="P223" s="200"/>
      <c r="Q223" s="200"/>
      <c r="R223" s="200"/>
      <c r="S223" s="118">
        <f t="shared" ref="S223:S232" si="19">SUM(O223:R223)</f>
        <v>0</v>
      </c>
      <c r="T223" s="120">
        <f t="shared" ref="T223:T232" si="20">+S223/N223</f>
        <v>0</v>
      </c>
      <c r="U223" s="122" t="s">
        <v>799</v>
      </c>
      <c r="V223" s="122" t="s">
        <v>785</v>
      </c>
      <c r="W223" s="122">
        <v>330</v>
      </c>
      <c r="X223" s="122" t="s">
        <v>722</v>
      </c>
      <c r="Y223" s="122" t="s">
        <v>723</v>
      </c>
      <c r="Z223" s="306"/>
      <c r="AA223" s="306"/>
      <c r="AB223" s="306"/>
      <c r="AC223" s="306"/>
      <c r="AD223" s="306"/>
      <c r="AE223" s="173">
        <v>80000000</v>
      </c>
      <c r="AF223" s="306"/>
      <c r="AG223" s="306"/>
      <c r="AH223" s="122" t="s">
        <v>799</v>
      </c>
      <c r="AI223" s="173">
        <v>80000000</v>
      </c>
      <c r="AJ223" s="303"/>
      <c r="AK223" s="200"/>
      <c r="AL223" s="200"/>
      <c r="AM223" s="200"/>
      <c r="AN223" s="306"/>
      <c r="AO223" s="306"/>
      <c r="AP223" s="303"/>
      <c r="AQ223" s="305"/>
      <c r="AR223" s="303"/>
      <c r="AS223" s="305"/>
      <c r="AT223" s="303"/>
      <c r="AU223" s="303"/>
      <c r="AV223" s="303"/>
      <c r="AW223" s="303"/>
      <c r="AX223" s="303"/>
      <c r="AY223" s="303"/>
      <c r="AZ223" s="303"/>
      <c r="BA223" s="303"/>
      <c r="BB223" s="303"/>
      <c r="BC223" s="303"/>
      <c r="BD223" s="303"/>
      <c r="BE223" s="303"/>
      <c r="BF223" s="303"/>
    </row>
    <row r="224" spans="1:58" ht="80.25" customHeight="1">
      <c r="A224" s="214"/>
      <c r="B224" s="127"/>
      <c r="C224" s="127"/>
      <c r="D224" s="122"/>
      <c r="E224" s="122"/>
      <c r="F224" s="124"/>
      <c r="G224" s="122"/>
      <c r="H224" s="122"/>
      <c r="I224" s="122"/>
      <c r="J224" s="95"/>
      <c r="K224" s="302" t="s">
        <v>1320</v>
      </c>
      <c r="L224" s="302"/>
      <c r="M224" s="302"/>
      <c r="N224" s="302"/>
      <c r="O224" s="302"/>
      <c r="P224" s="302"/>
      <c r="Q224" s="302"/>
      <c r="R224" s="302"/>
      <c r="S224" s="302"/>
      <c r="T224" s="140">
        <f>AVERAGE(T218:T223)</f>
        <v>0.20833333333333334</v>
      </c>
      <c r="U224" s="122"/>
      <c r="V224" s="122"/>
      <c r="W224" s="122"/>
      <c r="X224" s="122"/>
      <c r="Y224" s="122"/>
      <c r="Z224" s="122"/>
      <c r="AA224" s="122"/>
      <c r="AB224" s="122"/>
      <c r="AC224" s="122"/>
      <c r="AD224" s="122"/>
      <c r="AE224" s="304" t="s">
        <v>1321</v>
      </c>
      <c r="AF224" s="304"/>
      <c r="AG224" s="304"/>
      <c r="AH224" s="304"/>
      <c r="AI224" s="304"/>
      <c r="AJ224" s="202">
        <f>+AJ218</f>
        <v>400000000</v>
      </c>
      <c r="AK224" s="203"/>
      <c r="AL224" s="203"/>
      <c r="AM224" s="203"/>
      <c r="AN224" s="172"/>
      <c r="AO224" s="172"/>
      <c r="AP224" s="202">
        <f>+AP218</f>
        <v>174509200</v>
      </c>
      <c r="AQ224" s="140">
        <f>+AQ218</f>
        <v>0.43627300000000002</v>
      </c>
      <c r="AR224" s="202">
        <f>+AR218</f>
        <v>42939800</v>
      </c>
      <c r="AS224" s="140">
        <f>+AS218</f>
        <v>0.1073495</v>
      </c>
      <c r="AT224" s="200"/>
      <c r="AU224" s="200"/>
      <c r="AV224" s="200"/>
      <c r="AW224" s="200"/>
      <c r="AX224" s="200"/>
      <c r="AY224" s="200"/>
      <c r="AZ224" s="200"/>
      <c r="BA224" s="200"/>
      <c r="BB224" s="200"/>
      <c r="BC224" s="200"/>
      <c r="BD224" s="200"/>
      <c r="BE224" s="200"/>
      <c r="BF224" s="200"/>
    </row>
    <row r="225" spans="1:58" ht="324">
      <c r="A225" s="306"/>
      <c r="B225" s="331" t="s">
        <v>508</v>
      </c>
      <c r="C225" s="331" t="s">
        <v>509</v>
      </c>
      <c r="D225" s="306" t="s">
        <v>510</v>
      </c>
      <c r="E225" s="306" t="s">
        <v>1221</v>
      </c>
      <c r="F225" s="324">
        <v>2024130010132</v>
      </c>
      <c r="G225" s="306" t="s">
        <v>1222</v>
      </c>
      <c r="H225" s="306" t="s">
        <v>1223</v>
      </c>
      <c r="I225" s="306" t="s">
        <v>1224</v>
      </c>
      <c r="J225" s="95"/>
      <c r="K225" s="122" t="s">
        <v>1225</v>
      </c>
      <c r="L225" s="122" t="s">
        <v>692</v>
      </c>
      <c r="M225" s="175" t="s">
        <v>1226</v>
      </c>
      <c r="N225" s="175" t="s">
        <v>270</v>
      </c>
      <c r="O225" s="200" t="s">
        <v>308</v>
      </c>
      <c r="P225" s="200"/>
      <c r="Q225" s="200"/>
      <c r="R225" s="200"/>
      <c r="S225" s="118" t="s">
        <v>308</v>
      </c>
      <c r="T225" s="120" t="s">
        <v>308</v>
      </c>
      <c r="U225" s="175" t="s">
        <v>308</v>
      </c>
      <c r="V225" s="175" t="s">
        <v>308</v>
      </c>
      <c r="W225" s="175" t="s">
        <v>308</v>
      </c>
      <c r="X225" s="175" t="s">
        <v>308</v>
      </c>
      <c r="Y225" s="175" t="s">
        <v>308</v>
      </c>
      <c r="Z225" s="306" t="s">
        <v>1026</v>
      </c>
      <c r="AA225" s="306" t="s">
        <v>1227</v>
      </c>
      <c r="AB225" s="306" t="s">
        <v>1228</v>
      </c>
      <c r="AC225" s="306" t="s">
        <v>734</v>
      </c>
      <c r="AD225" s="122" t="s">
        <v>1229</v>
      </c>
      <c r="AE225" s="103">
        <v>1400000000</v>
      </c>
      <c r="AF225" s="122" t="s">
        <v>1230</v>
      </c>
      <c r="AG225" s="306" t="s">
        <v>52</v>
      </c>
      <c r="AH225" s="306"/>
      <c r="AI225" s="103">
        <v>1400000000</v>
      </c>
      <c r="AJ225" s="303">
        <v>8050000000</v>
      </c>
      <c r="AK225" s="200"/>
      <c r="AL225" s="200"/>
      <c r="AM225" s="200"/>
      <c r="AN225" s="306" t="s">
        <v>1031</v>
      </c>
      <c r="AO225" s="306" t="s">
        <v>1231</v>
      </c>
      <c r="AP225" s="303">
        <v>7938875000</v>
      </c>
      <c r="AQ225" s="305">
        <f>+AP225/AJ225</f>
        <v>0.98619565217391303</v>
      </c>
      <c r="AR225" s="303">
        <v>76106000</v>
      </c>
      <c r="AS225" s="305">
        <f>+AR225/AJ225</f>
        <v>9.4541614906832293E-3</v>
      </c>
      <c r="AT225" s="303"/>
      <c r="AU225" s="303"/>
      <c r="AV225" s="303"/>
      <c r="AW225" s="303"/>
      <c r="AX225" s="303"/>
      <c r="AY225" s="303"/>
      <c r="AZ225" s="303"/>
      <c r="BA225" s="303"/>
      <c r="BB225" s="303"/>
      <c r="BC225" s="303"/>
      <c r="BD225" s="303"/>
      <c r="BE225" s="303"/>
      <c r="BF225" s="303"/>
    </row>
    <row r="226" spans="1:58" ht="409.5">
      <c r="A226" s="306"/>
      <c r="B226" s="331"/>
      <c r="C226" s="331"/>
      <c r="D226" s="306"/>
      <c r="E226" s="306"/>
      <c r="F226" s="324"/>
      <c r="G226" s="306"/>
      <c r="H226" s="306"/>
      <c r="I226" s="306"/>
      <c r="J226" s="95"/>
      <c r="K226" s="122" t="s">
        <v>1232</v>
      </c>
      <c r="L226" s="122" t="s">
        <v>692</v>
      </c>
      <c r="M226" s="122" t="s">
        <v>1233</v>
      </c>
      <c r="N226" s="175">
        <v>3</v>
      </c>
      <c r="O226" s="146" t="s">
        <v>1234</v>
      </c>
      <c r="P226" s="200"/>
      <c r="Q226" s="200"/>
      <c r="R226" s="200"/>
      <c r="S226" s="118">
        <v>2</v>
      </c>
      <c r="T226" s="120">
        <f t="shared" si="20"/>
        <v>0.66666666666666663</v>
      </c>
      <c r="U226" s="204">
        <v>46054</v>
      </c>
      <c r="V226" s="204">
        <v>46356</v>
      </c>
      <c r="W226" s="122">
        <v>302</v>
      </c>
      <c r="X226" s="122" t="s">
        <v>722</v>
      </c>
      <c r="Y226" s="122" t="s">
        <v>723</v>
      </c>
      <c r="Z226" s="306"/>
      <c r="AA226" s="306"/>
      <c r="AB226" s="306"/>
      <c r="AC226" s="306"/>
      <c r="AD226" s="122" t="s">
        <v>1235</v>
      </c>
      <c r="AE226" s="103">
        <v>600000000</v>
      </c>
      <c r="AF226" s="122" t="s">
        <v>1230</v>
      </c>
      <c r="AG226" s="306"/>
      <c r="AH226" s="306"/>
      <c r="AI226" s="103">
        <v>600000000</v>
      </c>
      <c r="AJ226" s="303"/>
      <c r="AK226" s="200"/>
      <c r="AL226" s="200"/>
      <c r="AM226" s="200"/>
      <c r="AN226" s="306"/>
      <c r="AO226" s="306"/>
      <c r="AP226" s="303"/>
      <c r="AQ226" s="305"/>
      <c r="AR226" s="303"/>
      <c r="AS226" s="305"/>
      <c r="AT226" s="303"/>
      <c r="AU226" s="303"/>
      <c r="AV226" s="303"/>
      <c r="AW226" s="303"/>
      <c r="AX226" s="303"/>
      <c r="AY226" s="303"/>
      <c r="AZ226" s="303"/>
      <c r="BA226" s="303"/>
      <c r="BB226" s="303"/>
      <c r="BC226" s="303"/>
      <c r="BD226" s="303"/>
      <c r="BE226" s="303"/>
      <c r="BF226" s="303"/>
    </row>
    <row r="227" spans="1:58" ht="270">
      <c r="A227" s="306"/>
      <c r="B227" s="331"/>
      <c r="C227" s="331"/>
      <c r="D227" s="306"/>
      <c r="E227" s="306"/>
      <c r="F227" s="324"/>
      <c r="G227" s="306"/>
      <c r="H227" s="306"/>
      <c r="I227" s="306" t="s">
        <v>1236</v>
      </c>
      <c r="J227" s="95"/>
      <c r="K227" s="122" t="s">
        <v>1237</v>
      </c>
      <c r="L227" s="122" t="s">
        <v>692</v>
      </c>
      <c r="M227" s="122" t="s">
        <v>1238</v>
      </c>
      <c r="N227" s="175">
        <v>1</v>
      </c>
      <c r="O227" s="200">
        <v>1</v>
      </c>
      <c r="P227" s="200"/>
      <c r="Q227" s="200"/>
      <c r="R227" s="200"/>
      <c r="S227" s="118">
        <f t="shared" si="19"/>
        <v>1</v>
      </c>
      <c r="T227" s="120">
        <f t="shared" si="20"/>
        <v>1</v>
      </c>
      <c r="U227" s="204">
        <v>46054</v>
      </c>
      <c r="V227" s="204">
        <v>46371</v>
      </c>
      <c r="W227" s="122">
        <v>317</v>
      </c>
      <c r="X227" s="122" t="s">
        <v>722</v>
      </c>
      <c r="Y227" s="122" t="s">
        <v>723</v>
      </c>
      <c r="Z227" s="306"/>
      <c r="AA227" s="306" t="s">
        <v>1239</v>
      </c>
      <c r="AB227" s="306" t="s">
        <v>1240</v>
      </c>
      <c r="AC227" s="306"/>
      <c r="AD227" s="122" t="s">
        <v>1241</v>
      </c>
      <c r="AE227" s="103">
        <v>611000000</v>
      </c>
      <c r="AF227" s="122" t="s">
        <v>1153</v>
      </c>
      <c r="AG227" s="306"/>
      <c r="AH227" s="306"/>
      <c r="AI227" s="103">
        <v>611000000</v>
      </c>
      <c r="AJ227" s="303"/>
      <c r="AK227" s="200"/>
      <c r="AL227" s="200"/>
      <c r="AM227" s="200"/>
      <c r="AN227" s="306"/>
      <c r="AO227" s="306"/>
      <c r="AP227" s="303"/>
      <c r="AQ227" s="305"/>
      <c r="AR227" s="303"/>
      <c r="AS227" s="305"/>
      <c r="AT227" s="303"/>
      <c r="AU227" s="303"/>
      <c r="AV227" s="303"/>
      <c r="AW227" s="303"/>
      <c r="AX227" s="303"/>
      <c r="AY227" s="303"/>
      <c r="AZ227" s="303"/>
      <c r="BA227" s="303"/>
      <c r="BB227" s="303"/>
      <c r="BC227" s="303"/>
      <c r="BD227" s="303"/>
      <c r="BE227" s="303"/>
      <c r="BF227" s="303"/>
    </row>
    <row r="228" spans="1:58" ht="108">
      <c r="A228" s="306"/>
      <c r="B228" s="331"/>
      <c r="C228" s="331"/>
      <c r="D228" s="306"/>
      <c r="E228" s="306"/>
      <c r="F228" s="324"/>
      <c r="G228" s="306"/>
      <c r="H228" s="306"/>
      <c r="I228" s="306"/>
      <c r="J228" s="95"/>
      <c r="K228" s="122" t="s">
        <v>1242</v>
      </c>
      <c r="L228" s="122" t="s">
        <v>692</v>
      </c>
      <c r="M228" s="122" t="s">
        <v>1243</v>
      </c>
      <c r="N228" s="122">
        <v>10</v>
      </c>
      <c r="O228" s="200">
        <v>2</v>
      </c>
      <c r="P228" s="200"/>
      <c r="Q228" s="200"/>
      <c r="R228" s="200"/>
      <c r="S228" s="118">
        <f t="shared" si="19"/>
        <v>2</v>
      </c>
      <c r="T228" s="120">
        <f t="shared" si="20"/>
        <v>0.2</v>
      </c>
      <c r="U228" s="204">
        <v>46082</v>
      </c>
      <c r="V228" s="204">
        <v>46387</v>
      </c>
      <c r="W228" s="122">
        <v>305</v>
      </c>
      <c r="X228" s="122" t="s">
        <v>722</v>
      </c>
      <c r="Y228" s="122" t="s">
        <v>723</v>
      </c>
      <c r="Z228" s="306"/>
      <c r="AA228" s="306"/>
      <c r="AB228" s="306"/>
      <c r="AC228" s="306"/>
      <c r="AD228" s="306" t="s">
        <v>1229</v>
      </c>
      <c r="AE228" s="350">
        <v>3825000000</v>
      </c>
      <c r="AF228" s="306" t="s">
        <v>1230</v>
      </c>
      <c r="AG228" s="306"/>
      <c r="AH228" s="306"/>
      <c r="AI228" s="350">
        <v>3825000000</v>
      </c>
      <c r="AJ228" s="303"/>
      <c r="AK228" s="200"/>
      <c r="AL228" s="200"/>
      <c r="AM228" s="200"/>
      <c r="AN228" s="306"/>
      <c r="AO228" s="306"/>
      <c r="AP228" s="303"/>
      <c r="AQ228" s="305"/>
      <c r="AR228" s="303"/>
      <c r="AS228" s="305"/>
      <c r="AT228" s="303"/>
      <c r="AU228" s="303"/>
      <c r="AV228" s="303"/>
      <c r="AW228" s="303"/>
      <c r="AX228" s="303"/>
      <c r="AY228" s="303"/>
      <c r="AZ228" s="303"/>
      <c r="BA228" s="303"/>
      <c r="BB228" s="303"/>
      <c r="BC228" s="303"/>
      <c r="BD228" s="303"/>
      <c r="BE228" s="303"/>
      <c r="BF228" s="303"/>
    </row>
    <row r="229" spans="1:58" ht="72">
      <c r="A229" s="306"/>
      <c r="B229" s="331"/>
      <c r="C229" s="331"/>
      <c r="D229" s="306"/>
      <c r="E229" s="306"/>
      <c r="F229" s="324"/>
      <c r="G229" s="306"/>
      <c r="H229" s="306"/>
      <c r="I229" s="306"/>
      <c r="J229" s="95"/>
      <c r="K229" s="122" t="s">
        <v>1244</v>
      </c>
      <c r="L229" s="122" t="s">
        <v>692</v>
      </c>
      <c r="M229" s="122" t="s">
        <v>1245</v>
      </c>
      <c r="N229" s="122">
        <v>10</v>
      </c>
      <c r="O229" s="200">
        <v>2</v>
      </c>
      <c r="P229" s="200"/>
      <c r="Q229" s="200"/>
      <c r="R229" s="200"/>
      <c r="S229" s="118">
        <f t="shared" si="19"/>
        <v>2</v>
      </c>
      <c r="T229" s="120">
        <f t="shared" si="20"/>
        <v>0.2</v>
      </c>
      <c r="U229" s="204">
        <v>46054</v>
      </c>
      <c r="V229" s="204">
        <v>46371</v>
      </c>
      <c r="W229" s="122">
        <v>317</v>
      </c>
      <c r="X229" s="122" t="s">
        <v>722</v>
      </c>
      <c r="Y229" s="122" t="s">
        <v>723</v>
      </c>
      <c r="Z229" s="306"/>
      <c r="AA229" s="306"/>
      <c r="AB229" s="306"/>
      <c r="AC229" s="306"/>
      <c r="AD229" s="306"/>
      <c r="AE229" s="350"/>
      <c r="AF229" s="306"/>
      <c r="AG229" s="306"/>
      <c r="AH229" s="306"/>
      <c r="AI229" s="350"/>
      <c r="AJ229" s="303"/>
      <c r="AK229" s="200"/>
      <c r="AL229" s="200"/>
      <c r="AM229" s="200"/>
      <c r="AN229" s="306"/>
      <c r="AO229" s="306"/>
      <c r="AP229" s="303"/>
      <c r="AQ229" s="305"/>
      <c r="AR229" s="303"/>
      <c r="AS229" s="305"/>
      <c r="AT229" s="303"/>
      <c r="AU229" s="303"/>
      <c r="AV229" s="303"/>
      <c r="AW229" s="303"/>
      <c r="AX229" s="303"/>
      <c r="AY229" s="303"/>
      <c r="AZ229" s="303"/>
      <c r="BA229" s="303"/>
      <c r="BB229" s="303"/>
      <c r="BC229" s="303"/>
      <c r="BD229" s="303"/>
      <c r="BE229" s="303"/>
      <c r="BF229" s="303"/>
    </row>
    <row r="230" spans="1:58" ht="216">
      <c r="A230" s="306"/>
      <c r="B230" s="331"/>
      <c r="C230" s="331"/>
      <c r="D230" s="306"/>
      <c r="E230" s="306"/>
      <c r="F230" s="324"/>
      <c r="G230" s="306"/>
      <c r="H230" s="306"/>
      <c r="I230" s="306"/>
      <c r="J230" s="95"/>
      <c r="K230" s="122" t="s">
        <v>1246</v>
      </c>
      <c r="L230" s="122" t="s">
        <v>692</v>
      </c>
      <c r="M230" s="122" t="s">
        <v>1247</v>
      </c>
      <c r="N230" s="122">
        <v>10</v>
      </c>
      <c r="O230" s="200">
        <v>2</v>
      </c>
      <c r="P230" s="200"/>
      <c r="Q230" s="200"/>
      <c r="R230" s="200"/>
      <c r="S230" s="118">
        <f t="shared" si="19"/>
        <v>2</v>
      </c>
      <c r="T230" s="120">
        <f t="shared" si="20"/>
        <v>0.2</v>
      </c>
      <c r="U230" s="204">
        <v>46054</v>
      </c>
      <c r="V230" s="204">
        <v>46371</v>
      </c>
      <c r="W230" s="122">
        <v>317</v>
      </c>
      <c r="X230" s="122" t="s">
        <v>722</v>
      </c>
      <c r="Y230" s="122" t="s">
        <v>723</v>
      </c>
      <c r="Z230" s="306"/>
      <c r="AA230" s="306" t="s">
        <v>1248</v>
      </c>
      <c r="AB230" s="306" t="s">
        <v>1249</v>
      </c>
      <c r="AC230" s="306"/>
      <c r="AD230" s="122" t="s">
        <v>1235</v>
      </c>
      <c r="AE230" s="103">
        <v>1530000000</v>
      </c>
      <c r="AF230" s="122" t="s">
        <v>1230</v>
      </c>
      <c r="AG230" s="306"/>
      <c r="AH230" s="306"/>
      <c r="AI230" s="103">
        <v>1530000000</v>
      </c>
      <c r="AJ230" s="303"/>
      <c r="AK230" s="200"/>
      <c r="AL230" s="200"/>
      <c r="AM230" s="200"/>
      <c r="AN230" s="306"/>
      <c r="AO230" s="306"/>
      <c r="AP230" s="303"/>
      <c r="AQ230" s="305"/>
      <c r="AR230" s="303"/>
      <c r="AS230" s="305"/>
      <c r="AT230" s="303"/>
      <c r="AU230" s="303"/>
      <c r="AV230" s="303"/>
      <c r="AW230" s="303"/>
      <c r="AX230" s="303"/>
      <c r="AY230" s="303"/>
      <c r="AZ230" s="303"/>
      <c r="BA230" s="303"/>
      <c r="BB230" s="303"/>
      <c r="BC230" s="303"/>
      <c r="BD230" s="303"/>
      <c r="BE230" s="303"/>
      <c r="BF230" s="303"/>
    </row>
    <row r="231" spans="1:58" ht="270">
      <c r="A231" s="306"/>
      <c r="B231" s="331"/>
      <c r="C231" s="331"/>
      <c r="D231" s="306" t="s">
        <v>513</v>
      </c>
      <c r="E231" s="306"/>
      <c r="F231" s="324"/>
      <c r="G231" s="306"/>
      <c r="H231" s="306"/>
      <c r="I231" s="306"/>
      <c r="J231" s="95"/>
      <c r="K231" s="122" t="s">
        <v>1250</v>
      </c>
      <c r="L231" s="122" t="s">
        <v>692</v>
      </c>
      <c r="M231" s="122" t="s">
        <v>1251</v>
      </c>
      <c r="N231" s="122">
        <v>10</v>
      </c>
      <c r="O231" s="200">
        <v>2</v>
      </c>
      <c r="P231" s="200"/>
      <c r="Q231" s="200"/>
      <c r="R231" s="200"/>
      <c r="S231" s="118">
        <f t="shared" si="19"/>
        <v>2</v>
      </c>
      <c r="T231" s="120">
        <f t="shared" si="20"/>
        <v>0.2</v>
      </c>
      <c r="U231" s="204">
        <v>46054</v>
      </c>
      <c r="V231" s="204">
        <v>46371</v>
      </c>
      <c r="W231" s="122">
        <v>317</v>
      </c>
      <c r="X231" s="122" t="s">
        <v>722</v>
      </c>
      <c r="Y231" s="122" t="s">
        <v>723</v>
      </c>
      <c r="Z231" s="306"/>
      <c r="AA231" s="306"/>
      <c r="AB231" s="306"/>
      <c r="AC231" s="306"/>
      <c r="AD231" s="137" t="s">
        <v>1241</v>
      </c>
      <c r="AE231" s="98">
        <v>42000000</v>
      </c>
      <c r="AF231" s="122" t="s">
        <v>1153</v>
      </c>
      <c r="AG231" s="306" t="s">
        <v>828</v>
      </c>
      <c r="AH231" s="306"/>
      <c r="AI231" s="98">
        <v>42000000</v>
      </c>
      <c r="AJ231" s="303"/>
      <c r="AK231" s="200"/>
      <c r="AL231" s="200"/>
      <c r="AM231" s="200"/>
      <c r="AN231" s="306" t="s">
        <v>828</v>
      </c>
      <c r="AO231" s="306"/>
      <c r="AP231" s="303"/>
      <c r="AQ231" s="305"/>
      <c r="AR231" s="303"/>
      <c r="AS231" s="305"/>
      <c r="AT231" s="303"/>
      <c r="AU231" s="303"/>
      <c r="AV231" s="303"/>
      <c r="AW231" s="303"/>
      <c r="AX231" s="303"/>
      <c r="AY231" s="303"/>
      <c r="AZ231" s="303"/>
      <c r="BA231" s="303"/>
      <c r="BB231" s="303"/>
      <c r="BC231" s="303"/>
      <c r="BD231" s="303"/>
      <c r="BE231" s="303"/>
      <c r="BF231" s="303"/>
    </row>
    <row r="232" spans="1:58" ht="270">
      <c r="A232" s="306"/>
      <c r="B232" s="331"/>
      <c r="C232" s="331"/>
      <c r="D232" s="306"/>
      <c r="E232" s="306"/>
      <c r="F232" s="324"/>
      <c r="G232" s="306"/>
      <c r="H232" s="306"/>
      <c r="I232" s="306"/>
      <c r="J232" s="95"/>
      <c r="K232" s="122" t="s">
        <v>1252</v>
      </c>
      <c r="L232" s="122" t="s">
        <v>692</v>
      </c>
      <c r="M232" s="122" t="s">
        <v>1253</v>
      </c>
      <c r="N232" s="122">
        <v>10</v>
      </c>
      <c r="O232" s="200">
        <v>2</v>
      </c>
      <c r="P232" s="200"/>
      <c r="Q232" s="200"/>
      <c r="R232" s="200"/>
      <c r="S232" s="118">
        <f t="shared" si="19"/>
        <v>2</v>
      </c>
      <c r="T232" s="120">
        <f t="shared" si="20"/>
        <v>0.2</v>
      </c>
      <c r="U232" s="204">
        <v>46054</v>
      </c>
      <c r="V232" s="204">
        <v>46387</v>
      </c>
      <c r="W232" s="122">
        <v>333</v>
      </c>
      <c r="X232" s="122" t="s">
        <v>722</v>
      </c>
      <c r="Y232" s="122" t="s">
        <v>723</v>
      </c>
      <c r="Z232" s="306"/>
      <c r="AA232" s="306"/>
      <c r="AB232" s="306"/>
      <c r="AC232" s="306"/>
      <c r="AD232" s="137" t="s">
        <v>1241</v>
      </c>
      <c r="AE232" s="98">
        <v>42000000</v>
      </c>
      <c r="AF232" s="122" t="s">
        <v>1153</v>
      </c>
      <c r="AG232" s="306"/>
      <c r="AH232" s="306"/>
      <c r="AI232" s="98">
        <v>42000000</v>
      </c>
      <c r="AJ232" s="303"/>
      <c r="AK232" s="200"/>
      <c r="AL232" s="200"/>
      <c r="AM232" s="200"/>
      <c r="AN232" s="306"/>
      <c r="AO232" s="306"/>
      <c r="AP232" s="303"/>
      <c r="AQ232" s="305"/>
      <c r="AR232" s="303"/>
      <c r="AS232" s="305"/>
      <c r="AT232" s="303"/>
      <c r="AU232" s="303"/>
      <c r="AV232" s="303"/>
      <c r="AW232" s="303"/>
      <c r="AX232" s="303"/>
      <c r="AY232" s="303"/>
      <c r="AZ232" s="303"/>
      <c r="BA232" s="303"/>
      <c r="BB232" s="303"/>
      <c r="BC232" s="303"/>
      <c r="BD232" s="303"/>
      <c r="BE232" s="303"/>
      <c r="BF232" s="303"/>
    </row>
    <row r="233" spans="1:58" ht="80.25" customHeight="1">
      <c r="A233" s="214"/>
      <c r="B233" s="127"/>
      <c r="C233" s="127"/>
      <c r="D233" s="122"/>
      <c r="E233" s="122"/>
      <c r="F233" s="124"/>
      <c r="G233" s="122"/>
      <c r="H233" s="122"/>
      <c r="I233" s="122"/>
      <c r="J233" s="95"/>
      <c r="K233" s="302" t="s">
        <v>1322</v>
      </c>
      <c r="L233" s="302"/>
      <c r="M233" s="302"/>
      <c r="N233" s="302"/>
      <c r="O233" s="302"/>
      <c r="P233" s="302"/>
      <c r="Q233" s="302"/>
      <c r="R233" s="302"/>
      <c r="S233" s="302"/>
      <c r="T233" s="140">
        <f>AVERAGE(T226:T232)</f>
        <v>0.38095238095238099</v>
      </c>
      <c r="U233" s="122"/>
      <c r="V233" s="122"/>
      <c r="W233" s="122"/>
      <c r="X233" s="122"/>
      <c r="Y233" s="122"/>
      <c r="Z233" s="122"/>
      <c r="AA233" s="122"/>
      <c r="AB233" s="122"/>
      <c r="AC233" s="122"/>
      <c r="AD233" s="122"/>
      <c r="AE233" s="304" t="s">
        <v>1323</v>
      </c>
      <c r="AF233" s="304"/>
      <c r="AG233" s="304"/>
      <c r="AH233" s="304"/>
      <c r="AI233" s="304"/>
      <c r="AJ233" s="202">
        <f>+AJ225</f>
        <v>8050000000</v>
      </c>
      <c r="AK233" s="203"/>
      <c r="AL233" s="203"/>
      <c r="AM233" s="203"/>
      <c r="AN233" s="172"/>
      <c r="AO233" s="172"/>
      <c r="AP233" s="202">
        <f>+AP225</f>
        <v>7938875000</v>
      </c>
      <c r="AQ233" s="140">
        <f>+AQ225</f>
        <v>0.98619565217391303</v>
      </c>
      <c r="AR233" s="202">
        <f>+AR225</f>
        <v>76106000</v>
      </c>
      <c r="AS233" s="140">
        <f>+AS225</f>
        <v>9.4541614906832293E-3</v>
      </c>
      <c r="AT233" s="200"/>
      <c r="AU233" s="200"/>
      <c r="AV233" s="200"/>
      <c r="AW233" s="200"/>
      <c r="AX233" s="200"/>
      <c r="AY233" s="200"/>
      <c r="AZ233" s="200"/>
      <c r="BA233" s="200"/>
      <c r="BB233" s="200"/>
      <c r="BC233" s="200"/>
      <c r="BD233" s="200"/>
      <c r="BE233" s="200"/>
      <c r="BF233" s="200"/>
    </row>
    <row r="236" spans="1:58" ht="54">
      <c r="K236" s="302" t="s">
        <v>1324</v>
      </c>
      <c r="L236" s="302"/>
      <c r="M236" s="302"/>
      <c r="N236" s="302"/>
      <c r="O236" s="302"/>
      <c r="P236" s="302"/>
      <c r="Q236" s="302"/>
      <c r="R236" s="302"/>
      <c r="S236" s="302"/>
      <c r="T236" s="140">
        <f>AVERAGE(T13,T26,T36,T42,T81,T95,T110,T115,T122,T135,T141,T152,T165,T171,T179,T195,T213,T217,T224,T233)</f>
        <v>0.24008040594070307</v>
      </c>
      <c r="AJ236" s="208" t="s">
        <v>1285</v>
      </c>
      <c r="AK236" s="200"/>
      <c r="AL236" s="200"/>
      <c r="AM236" s="200"/>
      <c r="AN236" s="200"/>
      <c r="AO236" s="200"/>
      <c r="AP236" s="208" t="s">
        <v>235</v>
      </c>
      <c r="AQ236" s="208" t="s">
        <v>236</v>
      </c>
      <c r="AR236" s="208" t="s">
        <v>237</v>
      </c>
      <c r="AS236" s="208" t="s">
        <v>238</v>
      </c>
    </row>
    <row r="237" spans="1:58" ht="57" customHeight="1">
      <c r="AJ237" s="211">
        <f>SUM(AJ13,AJ17,AJ26,AJ36,AJ42,AJ81,AJ87,AJ95,AJ110,AJ115,AJ122,AJ135,AJ141,AJ152,AJ165,AJ171,AJ179,AJ195,AJ213,AJ217,AJ224,AJ233)</f>
        <v>32223609507</v>
      </c>
      <c r="AK237" s="200"/>
      <c r="AL237" s="200"/>
      <c r="AM237" s="200"/>
      <c r="AN237" s="200"/>
      <c r="AO237" s="200"/>
      <c r="AP237" s="211">
        <f>SUM(AP13,AP17,AP26,AP36,AP42,AP81,AP87,AP95,AP110,AP115,AP122,AP135,AP141,AP152,AP165,AP171,AP179,AP195,AP213,AP217,AP224,AP233)</f>
        <v>19513769545</v>
      </c>
      <c r="AQ237" s="212">
        <f>+AP237/AJ237</f>
        <v>0.60557367233366532</v>
      </c>
      <c r="AR237" s="211">
        <f>SUM(AR13,AR17,AR26,AR36,AR42,AR81,AR87,AR95,AR110,AR115,AR122,AR135,AR141,AR152,AR165,AR171,AR179,AR195,AR213,AR217,AR224,AR233)</f>
        <v>2361661853</v>
      </c>
      <c r="AS237" s="212">
        <f>+AR237/AJ237</f>
        <v>7.3289798664143174E-2</v>
      </c>
    </row>
  </sheetData>
  <mergeCells count="883">
    <mergeCell ref="BE225:BE232"/>
    <mergeCell ref="BF225:BF232"/>
    <mergeCell ref="K236:S236"/>
    <mergeCell ref="BF9:BF12"/>
    <mergeCell ref="BF14:BF16"/>
    <mergeCell ref="BF18:BF25"/>
    <mergeCell ref="BF27:BF35"/>
    <mergeCell ref="BF37:BF41"/>
    <mergeCell ref="BF43:BF80"/>
    <mergeCell ref="BF82:BF86"/>
    <mergeCell ref="BF88:BF94"/>
    <mergeCell ref="BF96:BF109"/>
    <mergeCell ref="AV225:AV232"/>
    <mergeCell ref="AW225:AW232"/>
    <mergeCell ref="AX225:AX232"/>
    <mergeCell ref="AY225:AY232"/>
    <mergeCell ref="AZ225:AZ232"/>
    <mergeCell ref="BA225:BA232"/>
    <mergeCell ref="BB225:BB232"/>
    <mergeCell ref="BC225:BC232"/>
    <mergeCell ref="BD225:BD232"/>
    <mergeCell ref="K233:S233"/>
    <mergeCell ref="AE233:AI233"/>
    <mergeCell ref="AJ225:AJ232"/>
    <mergeCell ref="AP225:AP232"/>
    <mergeCell ref="AQ225:AQ232"/>
    <mergeCell ref="AR225:AR232"/>
    <mergeCell ref="AS225:AS232"/>
    <mergeCell ref="AT225:AT232"/>
    <mergeCell ref="AU225:AU232"/>
    <mergeCell ref="BF214:BF216"/>
    <mergeCell ref="K224:S224"/>
    <mergeCell ref="AE224:AI224"/>
    <mergeCell ref="AJ218:AJ223"/>
    <mergeCell ref="AP218:AP223"/>
    <mergeCell ref="AQ218:AQ223"/>
    <mergeCell ref="AR218:AR223"/>
    <mergeCell ref="AS218:AS223"/>
    <mergeCell ref="AT218:AT223"/>
    <mergeCell ref="AU218:AU223"/>
    <mergeCell ref="AV218:AV223"/>
    <mergeCell ref="AW218:AW223"/>
    <mergeCell ref="AX218:AX223"/>
    <mergeCell ref="AY218:AY223"/>
    <mergeCell ref="AZ218:AZ223"/>
    <mergeCell ref="BA218:BA223"/>
    <mergeCell ref="BB218:BB223"/>
    <mergeCell ref="BC218:BC223"/>
    <mergeCell ref="BD218:BD223"/>
    <mergeCell ref="BE218:BE223"/>
    <mergeCell ref="BF218:BF223"/>
    <mergeCell ref="AW214:AW216"/>
    <mergeCell ref="AX214:AX216"/>
    <mergeCell ref="AY214:AY216"/>
    <mergeCell ref="AZ214:AZ216"/>
    <mergeCell ref="BA214:BA216"/>
    <mergeCell ref="BB214:BB216"/>
    <mergeCell ref="BC214:BC216"/>
    <mergeCell ref="BD214:BD216"/>
    <mergeCell ref="BE214:BE216"/>
    <mergeCell ref="AJ214:AJ216"/>
    <mergeCell ref="AP214:AP216"/>
    <mergeCell ref="AQ214:AQ216"/>
    <mergeCell ref="AR214:AR216"/>
    <mergeCell ref="AS214:AS216"/>
    <mergeCell ref="AT214:AT216"/>
    <mergeCell ref="AU214:AU216"/>
    <mergeCell ref="AV214:AV216"/>
    <mergeCell ref="AO214:AO216"/>
    <mergeCell ref="F166:F170"/>
    <mergeCell ref="G166:G170"/>
    <mergeCell ref="H166:H170"/>
    <mergeCell ref="AP9:AP12"/>
    <mergeCell ref="AQ9:AQ12"/>
    <mergeCell ref="AR9:AR12"/>
    <mergeCell ref="AS9:AS12"/>
    <mergeCell ref="AJ14:AJ16"/>
    <mergeCell ref="AN14:AN16"/>
    <mergeCell ref="AP14:AP16"/>
    <mergeCell ref="AQ14:AQ16"/>
    <mergeCell ref="AR14:AR16"/>
    <mergeCell ref="AS14:AS16"/>
    <mergeCell ref="AP18:AP25"/>
    <mergeCell ref="AR18:AR25"/>
    <mergeCell ref="AQ18:AQ25"/>
    <mergeCell ref="AS18:AS25"/>
    <mergeCell ref="K36:S36"/>
    <mergeCell ref="AE36:AI36"/>
    <mergeCell ref="AJ27:AJ35"/>
    <mergeCell ref="AP27:AP35"/>
    <mergeCell ref="AQ27:AQ35"/>
    <mergeCell ref="AR27:AR35"/>
    <mergeCell ref="AS27:AS35"/>
    <mergeCell ref="F196:F212"/>
    <mergeCell ref="G196:G212"/>
    <mergeCell ref="H196:H199"/>
    <mergeCell ref="I196:I199"/>
    <mergeCell ref="J196:J201"/>
    <mergeCell ref="Z180:Z194"/>
    <mergeCell ref="AA180:AA194"/>
    <mergeCell ref="AB180:AB194"/>
    <mergeCell ref="AC180:AC194"/>
    <mergeCell ref="AB196:AB212"/>
    <mergeCell ref="AC196:AC212"/>
    <mergeCell ref="Z225:Z232"/>
    <mergeCell ref="AA225:AA226"/>
    <mergeCell ref="AB225:AB226"/>
    <mergeCell ref="AC225:AC232"/>
    <mergeCell ref="AG225:AG230"/>
    <mergeCell ref="AO225:AO232"/>
    <mergeCell ref="I227:I232"/>
    <mergeCell ref="AA227:AA229"/>
    <mergeCell ref="AB227:AB229"/>
    <mergeCell ref="AD228:AD229"/>
    <mergeCell ref="AE228:AE229"/>
    <mergeCell ref="AF228:AF229"/>
    <mergeCell ref="AI228:AI229"/>
    <mergeCell ref="AA230:AA232"/>
    <mergeCell ref="AB230:AB232"/>
    <mergeCell ref="AG231:AG232"/>
    <mergeCell ref="AN231:AN232"/>
    <mergeCell ref="AH225:AH232"/>
    <mergeCell ref="AN225:AN230"/>
    <mergeCell ref="A225:A232"/>
    <mergeCell ref="B225:B232"/>
    <mergeCell ref="C225:C232"/>
    <mergeCell ref="D225:D230"/>
    <mergeCell ref="E225:E232"/>
    <mergeCell ref="F225:F232"/>
    <mergeCell ref="G225:G232"/>
    <mergeCell ref="H225:H232"/>
    <mergeCell ref="I225:I226"/>
    <mergeCell ref="D231:D232"/>
    <mergeCell ref="B218:B223"/>
    <mergeCell ref="C218:C223"/>
    <mergeCell ref="D218:D223"/>
    <mergeCell ref="E218:E223"/>
    <mergeCell ref="F218:F223"/>
    <mergeCell ref="G218:G223"/>
    <mergeCell ref="H218:H223"/>
    <mergeCell ref="I218:I223"/>
    <mergeCell ref="Z218:Z223"/>
    <mergeCell ref="AA218:AA223"/>
    <mergeCell ref="AB218:AB223"/>
    <mergeCell ref="AC218:AC223"/>
    <mergeCell ref="AD218:AD223"/>
    <mergeCell ref="AF218:AF223"/>
    <mergeCell ref="AG218:AG223"/>
    <mergeCell ref="F214:F216"/>
    <mergeCell ref="G214:G216"/>
    <mergeCell ref="H214:H216"/>
    <mergeCell ref="I214:I216"/>
    <mergeCell ref="Z214:Z216"/>
    <mergeCell ref="AE217:AI217"/>
    <mergeCell ref="AO218:AO223"/>
    <mergeCell ref="AN218:AN223"/>
    <mergeCell ref="K217:S217"/>
    <mergeCell ref="A214:A216"/>
    <mergeCell ref="B214:B216"/>
    <mergeCell ref="C214:C216"/>
    <mergeCell ref="D214:D215"/>
    <mergeCell ref="E214:E216"/>
    <mergeCell ref="AH196:AH212"/>
    <mergeCell ref="AN196:AN201"/>
    <mergeCell ref="AO196:AO212"/>
    <mergeCell ref="H200:H203"/>
    <mergeCell ref="I200:I203"/>
    <mergeCell ref="J202:J205"/>
    <mergeCell ref="AG203:AG212"/>
    <mergeCell ref="AN203:AN212"/>
    <mergeCell ref="H204:H205"/>
    <mergeCell ref="I204:I205"/>
    <mergeCell ref="H206:H212"/>
    <mergeCell ref="I206:I212"/>
    <mergeCell ref="J206:J209"/>
    <mergeCell ref="J210:J212"/>
    <mergeCell ref="Z196:Z212"/>
    <mergeCell ref="AA196:AA212"/>
    <mergeCell ref="AO180:AO194"/>
    <mergeCell ref="F180:F194"/>
    <mergeCell ref="G180:G194"/>
    <mergeCell ref="H180:H191"/>
    <mergeCell ref="I180:I191"/>
    <mergeCell ref="J180:J191"/>
    <mergeCell ref="H192:H194"/>
    <mergeCell ref="I192:I194"/>
    <mergeCell ref="J192:J194"/>
    <mergeCell ref="A180:A212"/>
    <mergeCell ref="B180:B212"/>
    <mergeCell ref="C180:C212"/>
    <mergeCell ref="D180:D191"/>
    <mergeCell ref="E180:E194"/>
    <mergeCell ref="D192:D194"/>
    <mergeCell ref="D196:D201"/>
    <mergeCell ref="E196:E212"/>
    <mergeCell ref="D202:D205"/>
    <mergeCell ref="D206:D209"/>
    <mergeCell ref="D210:D212"/>
    <mergeCell ref="H177:H178"/>
    <mergeCell ref="I177:I178"/>
    <mergeCell ref="AO166:AO170"/>
    <mergeCell ref="D172:D176"/>
    <mergeCell ref="E172:E178"/>
    <mergeCell ref="F172:F178"/>
    <mergeCell ref="G172:G178"/>
    <mergeCell ref="H172:H176"/>
    <mergeCell ref="I172:I176"/>
    <mergeCell ref="Z172:Z178"/>
    <mergeCell ref="AA172:AA178"/>
    <mergeCell ref="AB172:AB178"/>
    <mergeCell ref="AC172:AC178"/>
    <mergeCell ref="AD172:AD178"/>
    <mergeCell ref="AE172:AE178"/>
    <mergeCell ref="AF172:AF178"/>
    <mergeCell ref="AG172:AG178"/>
    <mergeCell ref="AH172:AH178"/>
    <mergeCell ref="AA166:AA170"/>
    <mergeCell ref="AB166:AB170"/>
    <mergeCell ref="AC166:AC170"/>
    <mergeCell ref="AG166:AG170"/>
    <mergeCell ref="AN172:AN178"/>
    <mergeCell ref="AN166:AN170"/>
    <mergeCell ref="I166:I170"/>
    <mergeCell ref="Z166:Z170"/>
    <mergeCell ref="AG153:AG164"/>
    <mergeCell ref="AN153:AN164"/>
    <mergeCell ref="AO153:AO164"/>
    <mergeCell ref="AB156:AB158"/>
    <mergeCell ref="AC156:AC158"/>
    <mergeCell ref="AD156:AD158"/>
    <mergeCell ref="AB159:AB160"/>
    <mergeCell ref="AC159:AC160"/>
    <mergeCell ref="AD159:AD160"/>
    <mergeCell ref="AB161:AB164"/>
    <mergeCell ref="AC161:AC164"/>
    <mergeCell ref="AD161:AD164"/>
    <mergeCell ref="AA153:AA164"/>
    <mergeCell ref="AB153:AB155"/>
    <mergeCell ref="AC153:AC155"/>
    <mergeCell ref="AD153:AD155"/>
    <mergeCell ref="AF153:AF164"/>
    <mergeCell ref="G146:G151"/>
    <mergeCell ref="H146:H149"/>
    <mergeCell ref="I146:I147"/>
    <mergeCell ref="M146:M147"/>
    <mergeCell ref="Z146:Z151"/>
    <mergeCell ref="A153:A178"/>
    <mergeCell ref="B153:B178"/>
    <mergeCell ref="C153:C178"/>
    <mergeCell ref="D153:D158"/>
    <mergeCell ref="E153:E164"/>
    <mergeCell ref="D159:D161"/>
    <mergeCell ref="D162:D164"/>
    <mergeCell ref="D166:D170"/>
    <mergeCell ref="E166:E170"/>
    <mergeCell ref="D177:D178"/>
    <mergeCell ref="F153:F164"/>
    <mergeCell ref="G153:G164"/>
    <mergeCell ref="H153:H158"/>
    <mergeCell ref="I153:I158"/>
    <mergeCell ref="Z153:Z164"/>
    <mergeCell ref="H159:H161"/>
    <mergeCell ref="I159:I161"/>
    <mergeCell ref="H162:H164"/>
    <mergeCell ref="I162:I164"/>
    <mergeCell ref="F146:F151"/>
    <mergeCell ref="AO136:AO140"/>
    <mergeCell ref="A142:A144"/>
    <mergeCell ref="B142:B144"/>
    <mergeCell ref="C142:C144"/>
    <mergeCell ref="E142:E144"/>
    <mergeCell ref="F142:F144"/>
    <mergeCell ref="G142:G144"/>
    <mergeCell ref="Z142:Z144"/>
    <mergeCell ref="AA142:AA144"/>
    <mergeCell ref="AB142:AB144"/>
    <mergeCell ref="AI142:AI144"/>
    <mergeCell ref="AN142:AN144"/>
    <mergeCell ref="AO142:AO144"/>
    <mergeCell ref="D143:D144"/>
    <mergeCell ref="H143:H144"/>
    <mergeCell ref="I143:I144"/>
    <mergeCell ref="Z136:Z140"/>
    <mergeCell ref="AA136:AA140"/>
    <mergeCell ref="AB136:AB140"/>
    <mergeCell ref="I148:I149"/>
    <mergeCell ref="D150:D151"/>
    <mergeCell ref="H150:H151"/>
    <mergeCell ref="AA146:AA150"/>
    <mergeCell ref="A136:A140"/>
    <mergeCell ref="B136:B140"/>
    <mergeCell ref="C136:C140"/>
    <mergeCell ref="D136:D140"/>
    <mergeCell ref="E136:E140"/>
    <mergeCell ref="A146:A151"/>
    <mergeCell ref="B146:B151"/>
    <mergeCell ref="C146:C151"/>
    <mergeCell ref="E146:E151"/>
    <mergeCell ref="AA116:AA121"/>
    <mergeCell ref="AB116:AB121"/>
    <mergeCell ref="AC116:AC121"/>
    <mergeCell ref="AC136:AC140"/>
    <mergeCell ref="AD136:AD140"/>
    <mergeCell ref="F136:F140"/>
    <mergeCell ref="G136:G140"/>
    <mergeCell ref="H136:H140"/>
    <mergeCell ref="I136:I140"/>
    <mergeCell ref="Y136:Y140"/>
    <mergeCell ref="AO116:AO121"/>
    <mergeCell ref="A123:A134"/>
    <mergeCell ref="B123:B134"/>
    <mergeCell ref="C123:C134"/>
    <mergeCell ref="D123:D126"/>
    <mergeCell ref="E123:E134"/>
    <mergeCell ref="F123:F134"/>
    <mergeCell ref="G123:G134"/>
    <mergeCell ref="H123:H134"/>
    <mergeCell ref="I123:I134"/>
    <mergeCell ref="Z123:Z134"/>
    <mergeCell ref="AA123:AA134"/>
    <mergeCell ref="AB123:AB134"/>
    <mergeCell ref="AC123:AC134"/>
    <mergeCell ref="AD123:AD134"/>
    <mergeCell ref="AE123:AE134"/>
    <mergeCell ref="AD116:AD121"/>
    <mergeCell ref="AE116:AE121"/>
    <mergeCell ref="AF116:AF121"/>
    <mergeCell ref="AG116:AG121"/>
    <mergeCell ref="AN116:AN121"/>
    <mergeCell ref="D127:D130"/>
    <mergeCell ref="D131:D134"/>
    <mergeCell ref="AG131:AG134"/>
    <mergeCell ref="F111:F114"/>
    <mergeCell ref="G111:G114"/>
    <mergeCell ref="H111:H114"/>
    <mergeCell ref="I111:I114"/>
    <mergeCell ref="Z111:Z114"/>
    <mergeCell ref="A116:A121"/>
    <mergeCell ref="B116:B121"/>
    <mergeCell ref="C116:C121"/>
    <mergeCell ref="D116:D121"/>
    <mergeCell ref="E116:E121"/>
    <mergeCell ref="F116:F121"/>
    <mergeCell ref="G116:G121"/>
    <mergeCell ref="H116:H121"/>
    <mergeCell ref="I116:I121"/>
    <mergeCell ref="D111:D114"/>
    <mergeCell ref="E111:E114"/>
    <mergeCell ref="A111:A114"/>
    <mergeCell ref="B111:B114"/>
    <mergeCell ref="C111:C114"/>
    <mergeCell ref="Z116:Z121"/>
    <mergeCell ref="AO105:AO109"/>
    <mergeCell ref="AH108:AH109"/>
    <mergeCell ref="AI108:AI109"/>
    <mergeCell ref="AG96:AG104"/>
    <mergeCell ref="AN96:AN104"/>
    <mergeCell ref="AO96:AO104"/>
    <mergeCell ref="D100:D109"/>
    <mergeCell ref="H100:H109"/>
    <mergeCell ref="I100:I109"/>
    <mergeCell ref="AA100:AA104"/>
    <mergeCell ref="AB100:AB104"/>
    <mergeCell ref="AE108:AE109"/>
    <mergeCell ref="AA96:AA99"/>
    <mergeCell ref="AB96:AB99"/>
    <mergeCell ref="AC96:AC109"/>
    <mergeCell ref="AD96:AD109"/>
    <mergeCell ref="AF96:AF109"/>
    <mergeCell ref="F96:F109"/>
    <mergeCell ref="G96:G109"/>
    <mergeCell ref="H96:H98"/>
    <mergeCell ref="I96:I98"/>
    <mergeCell ref="Z96:Z109"/>
    <mergeCell ref="A96:A109"/>
    <mergeCell ref="B96:B109"/>
    <mergeCell ref="C96:C109"/>
    <mergeCell ref="D96:D98"/>
    <mergeCell ref="E96:E109"/>
    <mergeCell ref="A88:A89"/>
    <mergeCell ref="B88:B94"/>
    <mergeCell ref="C88:C94"/>
    <mergeCell ref="D88:D89"/>
    <mergeCell ref="E88:E94"/>
    <mergeCell ref="A90:A94"/>
    <mergeCell ref="D90:D91"/>
    <mergeCell ref="D92:D94"/>
    <mergeCell ref="D82:D86"/>
    <mergeCell ref="E82:E86"/>
    <mergeCell ref="F82:F86"/>
    <mergeCell ref="G82:G86"/>
    <mergeCell ref="H82:H86"/>
    <mergeCell ref="K87:S87"/>
    <mergeCell ref="AA88:AA94"/>
    <mergeCell ref="AB88:AB94"/>
    <mergeCell ref="F88:F94"/>
    <mergeCell ref="G88:G94"/>
    <mergeCell ref="H88:H94"/>
    <mergeCell ref="I88:I89"/>
    <mergeCell ref="Z88:Z94"/>
    <mergeCell ref="I90:I91"/>
    <mergeCell ref="I92:I94"/>
    <mergeCell ref="AC82:AC86"/>
    <mergeCell ref="AD82:AD86"/>
    <mergeCell ref="AE82:AE86"/>
    <mergeCell ref="AF82:AF86"/>
    <mergeCell ref="I82:I86"/>
    <mergeCell ref="X82:X86"/>
    <mergeCell ref="Y82:Y86"/>
    <mergeCell ref="Z82:Z86"/>
    <mergeCell ref="AA82:AA86"/>
    <mergeCell ref="K84:K85"/>
    <mergeCell ref="AB82:AB86"/>
    <mergeCell ref="G70:G74"/>
    <mergeCell ref="H70:H74"/>
    <mergeCell ref="AC75:AC79"/>
    <mergeCell ref="AD75:AD79"/>
    <mergeCell ref="AF75:AF79"/>
    <mergeCell ref="AG75:AG79"/>
    <mergeCell ref="AH75:AH79"/>
    <mergeCell ref="I75:I79"/>
    <mergeCell ref="L75:L79"/>
    <mergeCell ref="Z75:Z79"/>
    <mergeCell ref="AA75:AA79"/>
    <mergeCell ref="AB75:AB79"/>
    <mergeCell ref="AR82:AR86"/>
    <mergeCell ref="AS82:AS86"/>
    <mergeCell ref="D75:D79"/>
    <mergeCell ref="E75:E79"/>
    <mergeCell ref="F75:F79"/>
    <mergeCell ref="G75:G79"/>
    <mergeCell ref="H75:H79"/>
    <mergeCell ref="AG70:AG74"/>
    <mergeCell ref="AH70:AH74"/>
    <mergeCell ref="AN70:AN74"/>
    <mergeCell ref="AO70:AO74"/>
    <mergeCell ref="AA70:AA74"/>
    <mergeCell ref="AB70:AB74"/>
    <mergeCell ref="AC70:AC74"/>
    <mergeCell ref="AD70:AD74"/>
    <mergeCell ref="AF70:AF74"/>
    <mergeCell ref="I70:I74"/>
    <mergeCell ref="L70:L74"/>
    <mergeCell ref="X70:X74"/>
    <mergeCell ref="Y70:Y74"/>
    <mergeCell ref="Z70:Z74"/>
    <mergeCell ref="D70:D74"/>
    <mergeCell ref="E70:E74"/>
    <mergeCell ref="F70:F74"/>
    <mergeCell ref="AG82:AG86"/>
    <mergeCell ref="AH82:AH86"/>
    <mergeCell ref="AI82:AI86"/>
    <mergeCell ref="AN82:AN86"/>
    <mergeCell ref="AO82:AO86"/>
    <mergeCell ref="AE87:AI87"/>
    <mergeCell ref="AJ82:AJ86"/>
    <mergeCell ref="AP82:AP86"/>
    <mergeCell ref="AQ82:AQ86"/>
    <mergeCell ref="D63:D67"/>
    <mergeCell ref="E63:E67"/>
    <mergeCell ref="F63:F67"/>
    <mergeCell ref="G63:G67"/>
    <mergeCell ref="H63:H67"/>
    <mergeCell ref="AF68:AF69"/>
    <mergeCell ref="AG68:AG69"/>
    <mergeCell ref="AH68:AH69"/>
    <mergeCell ref="AN68:AN69"/>
    <mergeCell ref="AN63:AN67"/>
    <mergeCell ref="D68:D69"/>
    <mergeCell ref="E68:E69"/>
    <mergeCell ref="F68:F69"/>
    <mergeCell ref="G68:G69"/>
    <mergeCell ref="H68:H69"/>
    <mergeCell ref="I68:I69"/>
    <mergeCell ref="L68:L69"/>
    <mergeCell ref="X68:X69"/>
    <mergeCell ref="Y68:Y69"/>
    <mergeCell ref="Z68:Z69"/>
    <mergeCell ref="AA68:AA69"/>
    <mergeCell ref="AB68:AB69"/>
    <mergeCell ref="AC68:AC69"/>
    <mergeCell ref="AD68:AD69"/>
    <mergeCell ref="L58:L62"/>
    <mergeCell ref="Z58:Z62"/>
    <mergeCell ref="AA58:AA62"/>
    <mergeCell ref="AB58:AB62"/>
    <mergeCell ref="AG63:AG67"/>
    <mergeCell ref="AH63:AH67"/>
    <mergeCell ref="I63:I67"/>
    <mergeCell ref="L63:L67"/>
    <mergeCell ref="Z63:Z67"/>
    <mergeCell ref="AA63:AA67"/>
    <mergeCell ref="AB63:AB67"/>
    <mergeCell ref="AC63:AC67"/>
    <mergeCell ref="AD63:AD67"/>
    <mergeCell ref="AF63:AF67"/>
    <mergeCell ref="AC53:AC57"/>
    <mergeCell ref="AD53:AD57"/>
    <mergeCell ref="AF53:AF57"/>
    <mergeCell ref="AG53:AG57"/>
    <mergeCell ref="AC58:AC62"/>
    <mergeCell ref="AD58:AD62"/>
    <mergeCell ref="AF58:AF62"/>
    <mergeCell ref="AG58:AG62"/>
    <mergeCell ref="AH58:AH62"/>
    <mergeCell ref="L53:L57"/>
    <mergeCell ref="Z53:Z57"/>
    <mergeCell ref="AA53:AA57"/>
    <mergeCell ref="AB53:AB57"/>
    <mergeCell ref="D53:D57"/>
    <mergeCell ref="E53:E57"/>
    <mergeCell ref="F53:F57"/>
    <mergeCell ref="G53:G57"/>
    <mergeCell ref="H53:H57"/>
    <mergeCell ref="AA48:AA52"/>
    <mergeCell ref="AB48:AB52"/>
    <mergeCell ref="AC48:AC52"/>
    <mergeCell ref="AD48:AD52"/>
    <mergeCell ref="AF48:AF52"/>
    <mergeCell ref="I48:I52"/>
    <mergeCell ref="L48:L52"/>
    <mergeCell ref="X48:X52"/>
    <mergeCell ref="Y48:Y52"/>
    <mergeCell ref="Z48:Z52"/>
    <mergeCell ref="AA43:AA47"/>
    <mergeCell ref="AB43:AB47"/>
    <mergeCell ref="AC43:AC47"/>
    <mergeCell ref="AD43:AD47"/>
    <mergeCell ref="AF43:AF47"/>
    <mergeCell ref="G43:G47"/>
    <mergeCell ref="H43:H47"/>
    <mergeCell ref="I43:I47"/>
    <mergeCell ref="L43:L47"/>
    <mergeCell ref="Z43:Z47"/>
    <mergeCell ref="AE45:AE47"/>
    <mergeCell ref="AI45:AI47"/>
    <mergeCell ref="AJ43:AJ80"/>
    <mergeCell ref="AP43:AP80"/>
    <mergeCell ref="AR43:AR80"/>
    <mergeCell ref="AQ43:AQ80"/>
    <mergeCell ref="AS43:AS80"/>
    <mergeCell ref="AG48:AG52"/>
    <mergeCell ref="AH48:AH52"/>
    <mergeCell ref="AN48:AN52"/>
    <mergeCell ref="AO48:AO52"/>
    <mergeCell ref="AN53:AN57"/>
    <mergeCell ref="AO53:AO57"/>
    <mergeCell ref="AN58:AN62"/>
    <mergeCell ref="AO58:AO62"/>
    <mergeCell ref="AG43:AG47"/>
    <mergeCell ref="AH43:AH47"/>
    <mergeCell ref="AN43:AN47"/>
    <mergeCell ref="AO43:AO47"/>
    <mergeCell ref="AH53:AH57"/>
    <mergeCell ref="AO68:AO69"/>
    <mergeCell ref="AO63:AO67"/>
    <mergeCell ref="AN75:AN79"/>
    <mergeCell ref="AO75:AO79"/>
    <mergeCell ref="AR37:AR41"/>
    <mergeCell ref="AQ37:AQ41"/>
    <mergeCell ref="AS37:AS41"/>
    <mergeCell ref="K81:S81"/>
    <mergeCell ref="AE81:AI81"/>
    <mergeCell ref="D27:D35"/>
    <mergeCell ref="E27:E35"/>
    <mergeCell ref="F27:F35"/>
    <mergeCell ref="G27:G35"/>
    <mergeCell ref="H27:H35"/>
    <mergeCell ref="I27:I35"/>
    <mergeCell ref="Z27:Z34"/>
    <mergeCell ref="AC27:AC34"/>
    <mergeCell ref="AD27:AD34"/>
    <mergeCell ref="AE27:AE34"/>
    <mergeCell ref="AF27:AF34"/>
    <mergeCell ref="AG27:AG34"/>
    <mergeCell ref="AH27:AH34"/>
    <mergeCell ref="D37:D41"/>
    <mergeCell ref="E37:E41"/>
    <mergeCell ref="F37:F41"/>
    <mergeCell ref="G37:G41"/>
    <mergeCell ref="H37:H41"/>
    <mergeCell ref="I37:I41"/>
    <mergeCell ref="Z18:Z25"/>
    <mergeCell ref="AD18:AD24"/>
    <mergeCell ref="AE18:AE24"/>
    <mergeCell ref="AF18:AF24"/>
    <mergeCell ref="AG18:AG23"/>
    <mergeCell ref="K42:S42"/>
    <mergeCell ref="AE42:AI42"/>
    <mergeCell ref="AJ37:AJ41"/>
    <mergeCell ref="AP37:AP41"/>
    <mergeCell ref="Z37:Z38"/>
    <mergeCell ref="AD37:AD38"/>
    <mergeCell ref="AN37:AN38"/>
    <mergeCell ref="AO37:AO38"/>
    <mergeCell ref="K26:S26"/>
    <mergeCell ref="AE26:AI26"/>
    <mergeCell ref="AO27:AO34"/>
    <mergeCell ref="AN18:AN23"/>
    <mergeCell ref="AO18:AO25"/>
    <mergeCell ref="A18:A86"/>
    <mergeCell ref="B18:B86"/>
    <mergeCell ref="C18:C86"/>
    <mergeCell ref="D18:D25"/>
    <mergeCell ref="E18:E25"/>
    <mergeCell ref="F18:F25"/>
    <mergeCell ref="G18:G25"/>
    <mergeCell ref="H18:H25"/>
    <mergeCell ref="I18:I25"/>
    <mergeCell ref="D43:D47"/>
    <mergeCell ref="E43:E47"/>
    <mergeCell ref="F43:F47"/>
    <mergeCell ref="D48:D52"/>
    <mergeCell ref="E48:E52"/>
    <mergeCell ref="F48:F52"/>
    <mergeCell ref="G48:G52"/>
    <mergeCell ref="H48:H52"/>
    <mergeCell ref="I53:I57"/>
    <mergeCell ref="D58:D62"/>
    <mergeCell ref="E58:E62"/>
    <mergeCell ref="F58:F62"/>
    <mergeCell ref="G58:G62"/>
    <mergeCell ref="H58:H62"/>
    <mergeCell ref="I58:I62"/>
    <mergeCell ref="J14:J16"/>
    <mergeCell ref="Z14:Z16"/>
    <mergeCell ref="AA14:AA16"/>
    <mergeCell ref="AB14:AB16"/>
    <mergeCell ref="AI14:AI16"/>
    <mergeCell ref="AO14:AO16"/>
    <mergeCell ref="AE9:AE12"/>
    <mergeCell ref="AF9:AF12"/>
    <mergeCell ref="AG9:AG12"/>
    <mergeCell ref="AH9:AH12"/>
    <mergeCell ref="AO9:AO12"/>
    <mergeCell ref="AJ9:AJ12"/>
    <mergeCell ref="Z9:Z12"/>
    <mergeCell ref="AA9:AA12"/>
    <mergeCell ref="K13:S13"/>
    <mergeCell ref="AE13:AI13"/>
    <mergeCell ref="AB9:AB12"/>
    <mergeCell ref="AC9:AC12"/>
    <mergeCell ref="AD9:AD12"/>
    <mergeCell ref="A14:A16"/>
    <mergeCell ref="B14:B16"/>
    <mergeCell ref="C14:C16"/>
    <mergeCell ref="D14:D16"/>
    <mergeCell ref="E14:E16"/>
    <mergeCell ref="F14:F16"/>
    <mergeCell ref="G14:G16"/>
    <mergeCell ref="H14:H16"/>
    <mergeCell ref="I14:I16"/>
    <mergeCell ref="F9:F12"/>
    <mergeCell ref="G9:G12"/>
    <mergeCell ref="H9:H12"/>
    <mergeCell ref="I9:I12"/>
    <mergeCell ref="J9:J12"/>
    <mergeCell ref="A9:A12"/>
    <mergeCell ref="B9:B12"/>
    <mergeCell ref="C9:C12"/>
    <mergeCell ref="D9:D12"/>
    <mergeCell ref="E9:E12"/>
    <mergeCell ref="A1:B4"/>
    <mergeCell ref="AC6:AH7"/>
    <mergeCell ref="AI6:BE7"/>
    <mergeCell ref="A6:AB7"/>
    <mergeCell ref="A5:B5"/>
    <mergeCell ref="C1:BD1"/>
    <mergeCell ref="C2:BD2"/>
    <mergeCell ref="C3:BD3"/>
    <mergeCell ref="C4:BD4"/>
    <mergeCell ref="C5:BE5"/>
    <mergeCell ref="AS111:AS114"/>
    <mergeCell ref="AT111:AT114"/>
    <mergeCell ref="AU111:AU114"/>
    <mergeCell ref="K95:S95"/>
    <mergeCell ref="AE95:AI95"/>
    <mergeCell ref="AJ88:AJ94"/>
    <mergeCell ref="AP88:AP94"/>
    <mergeCell ref="AR88:AR94"/>
    <mergeCell ref="AQ88:AQ94"/>
    <mergeCell ref="AS88:AS94"/>
    <mergeCell ref="K110:S110"/>
    <mergeCell ref="AE110:AI110"/>
    <mergeCell ref="AJ96:AJ109"/>
    <mergeCell ref="AP96:AP109"/>
    <mergeCell ref="AR96:AR109"/>
    <mergeCell ref="AQ96:AQ109"/>
    <mergeCell ref="AS96:AS109"/>
    <mergeCell ref="AC88:AC94"/>
    <mergeCell ref="AD88:AD94"/>
    <mergeCell ref="AO88:AO94"/>
    <mergeCell ref="AD111:AD113"/>
    <mergeCell ref="AO111:AO114"/>
    <mergeCell ref="AG105:AG109"/>
    <mergeCell ref="AN105:AN109"/>
    <mergeCell ref="BE111:BE114"/>
    <mergeCell ref="BF111:BF114"/>
    <mergeCell ref="K122:S122"/>
    <mergeCell ref="AE122:AI122"/>
    <mergeCell ref="AJ116:AJ121"/>
    <mergeCell ref="AP116:AP121"/>
    <mergeCell ref="AQ116:AQ121"/>
    <mergeCell ref="AR116:AR121"/>
    <mergeCell ref="AS116:AS121"/>
    <mergeCell ref="AV111:AV114"/>
    <mergeCell ref="AW111:AW114"/>
    <mergeCell ref="AX111:AX114"/>
    <mergeCell ref="AY111:AY114"/>
    <mergeCell ref="AZ111:AZ114"/>
    <mergeCell ref="BA111:BA114"/>
    <mergeCell ref="BB111:BB114"/>
    <mergeCell ref="BC111:BC114"/>
    <mergeCell ref="BD111:BD114"/>
    <mergeCell ref="K115:S115"/>
    <mergeCell ref="AE115:AI115"/>
    <mergeCell ref="AJ111:AJ114"/>
    <mergeCell ref="AP111:AP114"/>
    <mergeCell ref="AQ111:AQ114"/>
    <mergeCell ref="AR111:AR114"/>
    <mergeCell ref="AX123:AX134"/>
    <mergeCell ref="AY123:AY134"/>
    <mergeCell ref="AZ123:AZ134"/>
    <mergeCell ref="BA123:BA134"/>
    <mergeCell ref="BB123:BB134"/>
    <mergeCell ref="BC123:BC134"/>
    <mergeCell ref="BD123:BD134"/>
    <mergeCell ref="K135:S135"/>
    <mergeCell ref="AE135:AI135"/>
    <mergeCell ref="AJ123:AJ134"/>
    <mergeCell ref="AP123:AP134"/>
    <mergeCell ref="AQ123:AQ134"/>
    <mergeCell ref="AR123:AR134"/>
    <mergeCell ref="AS123:AS134"/>
    <mergeCell ref="AT123:AT134"/>
    <mergeCell ref="AU123:AU134"/>
    <mergeCell ref="AO123:AO134"/>
    <mergeCell ref="AI131:AI134"/>
    <mergeCell ref="AN131:AN134"/>
    <mergeCell ref="AF123:AF134"/>
    <mergeCell ref="AG123:AG130"/>
    <mergeCell ref="AI123:AI130"/>
    <mergeCell ref="AN123:AN130"/>
    <mergeCell ref="BE123:BE134"/>
    <mergeCell ref="BF123:BF134"/>
    <mergeCell ref="K141:S141"/>
    <mergeCell ref="AJ136:AJ140"/>
    <mergeCell ref="AP136:AP140"/>
    <mergeCell ref="AQ136:AQ140"/>
    <mergeCell ref="AR136:AR140"/>
    <mergeCell ref="AS136:AS140"/>
    <mergeCell ref="AT136:AT140"/>
    <mergeCell ref="AU136:AU140"/>
    <mergeCell ref="AV136:AV140"/>
    <mergeCell ref="AW136:AW140"/>
    <mergeCell ref="AX136:AX140"/>
    <mergeCell ref="AY136:AY140"/>
    <mergeCell ref="AZ136:AZ140"/>
    <mergeCell ref="BA136:BA140"/>
    <mergeCell ref="BB136:BB140"/>
    <mergeCell ref="BC136:BC140"/>
    <mergeCell ref="BD136:BD140"/>
    <mergeCell ref="BE136:BE140"/>
    <mergeCell ref="BF136:BF140"/>
    <mergeCell ref="AE141:AI141"/>
    <mergeCell ref="AV123:AV134"/>
    <mergeCell ref="AW123:AW134"/>
    <mergeCell ref="AZ146:AZ151"/>
    <mergeCell ref="BA146:BA151"/>
    <mergeCell ref="BB146:BB151"/>
    <mergeCell ref="BC146:BC151"/>
    <mergeCell ref="BD146:BD151"/>
    <mergeCell ref="BE146:BE151"/>
    <mergeCell ref="K152:S152"/>
    <mergeCell ref="AJ146:AJ151"/>
    <mergeCell ref="AP146:AP151"/>
    <mergeCell ref="AQ146:AQ151"/>
    <mergeCell ref="AR146:AR151"/>
    <mergeCell ref="AS146:AS151"/>
    <mergeCell ref="AT146:AT151"/>
    <mergeCell ref="AU146:AU151"/>
    <mergeCell ref="AV146:AV151"/>
    <mergeCell ref="AH146:AH150"/>
    <mergeCell ref="AN146:AN150"/>
    <mergeCell ref="AO146:AO151"/>
    <mergeCell ref="AB146:AB150"/>
    <mergeCell ref="AC146:AC150"/>
    <mergeCell ref="AF146:AF150"/>
    <mergeCell ref="AG146:AG150"/>
    <mergeCell ref="BF146:BF151"/>
    <mergeCell ref="AE152:AI152"/>
    <mergeCell ref="K165:S165"/>
    <mergeCell ref="AE165:AI165"/>
    <mergeCell ref="AP153:AP164"/>
    <mergeCell ref="AQ153:AQ164"/>
    <mergeCell ref="AR153:AR164"/>
    <mergeCell ref="AS153:AS164"/>
    <mergeCell ref="AT153:AT164"/>
    <mergeCell ref="AU153:AU164"/>
    <mergeCell ref="AV153:AV164"/>
    <mergeCell ref="AW153:AW164"/>
    <mergeCell ref="AX153:AX164"/>
    <mergeCell ref="AY153:AY164"/>
    <mergeCell ref="AZ153:AZ164"/>
    <mergeCell ref="BA153:BA164"/>
    <mergeCell ref="BB153:BB164"/>
    <mergeCell ref="BC153:BC164"/>
    <mergeCell ref="BD153:BD164"/>
    <mergeCell ref="BE153:BE164"/>
    <mergeCell ref="BF153:BF164"/>
    <mergeCell ref="AW146:AW151"/>
    <mergeCell ref="AX146:AX151"/>
    <mergeCell ref="AY146:AY151"/>
    <mergeCell ref="K171:S171"/>
    <mergeCell ref="AE171:AI171"/>
    <mergeCell ref="AP166:AP170"/>
    <mergeCell ref="AQ166:AQ170"/>
    <mergeCell ref="AR166:AR170"/>
    <mergeCell ref="AS166:AS170"/>
    <mergeCell ref="K179:S179"/>
    <mergeCell ref="AE179:AI179"/>
    <mergeCell ref="AJ172:AJ178"/>
    <mergeCell ref="AP172:AP178"/>
    <mergeCell ref="AQ172:AQ178"/>
    <mergeCell ref="AR172:AR178"/>
    <mergeCell ref="AS172:AS178"/>
    <mergeCell ref="AO172:AO178"/>
    <mergeCell ref="BC180:BC194"/>
    <mergeCell ref="BD180:BD194"/>
    <mergeCell ref="BE180:BE194"/>
    <mergeCell ref="BF180:BF194"/>
    <mergeCell ref="AT172:AT178"/>
    <mergeCell ref="AU172:AU178"/>
    <mergeCell ref="AV172:AV178"/>
    <mergeCell ref="AW172:AW178"/>
    <mergeCell ref="AX172:AX178"/>
    <mergeCell ref="AY172:AY178"/>
    <mergeCell ref="AZ172:AZ178"/>
    <mergeCell ref="BA172:BA178"/>
    <mergeCell ref="BB172:BB178"/>
    <mergeCell ref="AT180:AT194"/>
    <mergeCell ref="AU180:AU194"/>
    <mergeCell ref="AV180:AV194"/>
    <mergeCell ref="AW180:AW194"/>
    <mergeCell ref="AX180:AX194"/>
    <mergeCell ref="AY180:AY194"/>
    <mergeCell ref="AZ180:AZ194"/>
    <mergeCell ref="BA180:BA194"/>
    <mergeCell ref="BB180:BB194"/>
    <mergeCell ref="K213:S213"/>
    <mergeCell ref="AE213:AI213"/>
    <mergeCell ref="AJ196:AJ212"/>
    <mergeCell ref="AP196:AP212"/>
    <mergeCell ref="AQ196:AQ212"/>
    <mergeCell ref="AR196:AR212"/>
    <mergeCell ref="AS196:AS212"/>
    <mergeCell ref="AT196:AT212"/>
    <mergeCell ref="AU196:AU212"/>
    <mergeCell ref="AG196:AG201"/>
    <mergeCell ref="K17:S17"/>
    <mergeCell ref="K145:S145"/>
    <mergeCell ref="BE196:BE212"/>
    <mergeCell ref="BF196:BF212"/>
    <mergeCell ref="AV196:AV212"/>
    <mergeCell ref="AW196:AW212"/>
    <mergeCell ref="AX196:AX212"/>
    <mergeCell ref="AY196:AY212"/>
    <mergeCell ref="AZ196:AZ212"/>
    <mergeCell ref="BA196:BA212"/>
    <mergeCell ref="BB196:BB212"/>
    <mergeCell ref="BC196:BC212"/>
    <mergeCell ref="BD196:BD212"/>
    <mergeCell ref="BC172:BC178"/>
    <mergeCell ref="BD172:BD178"/>
    <mergeCell ref="BE172:BE178"/>
    <mergeCell ref="BF172:BF178"/>
    <mergeCell ref="K195:S195"/>
    <mergeCell ref="AE195:AI195"/>
    <mergeCell ref="AJ180:AJ194"/>
    <mergeCell ref="AP180:AP194"/>
    <mergeCell ref="AQ180:AQ194"/>
    <mergeCell ref="AR180:AR194"/>
    <mergeCell ref="AS180:AS194"/>
  </mergeCells>
  <dataValidations count="1">
    <dataValidation type="list" allowBlank="1" showErrorMessage="1" sqref="L116:L120 L123:L124 L126:L128 L82:L84 L37:L41 L88:L89 L96:L109 L130:L134 L196:L199 L218:L223 L27:L35 L86 L94 L18:L25 L153:L164 L166:L170 L172:L178 L180:L194 L201:L212 L214:L216 L14:L16 L142:L144 L146:L151" xr:uid="{00000000-0002-0000-0300-000000000000}">
      <formula1>#REF!</formula1>
    </dataValidation>
  </dataValidations>
  <pageMargins left="0.7" right="0.7" top="0.75" bottom="0.75" header="0.3" footer="0.3"/>
  <pageSetup paperSize="9" orientation="portrait" r:id="rId1"/>
  <ignoredErrors>
    <ignoredError sqref="S18:S20 S9:S10 S14:S16 S22:S24 S97:S98 S28 S35 S32 S37:S38 S44 S49 S68:S69 S76 S80 S88 S91 S100:S106 S155:S157 S108:S109 S111 S117 S125:S128 S130 S136:S137 S142:S144 S146:S151 S159:S160 S196:S206 S162:S164 S166:S169 S172:S178 S180:S194 S227:S232 S208:S212 S214:S216 S218:S223" formulaRange="1"/>
    <ignoredError sqref="T81 T152 T182 AQ237" formula="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E15" sqref="E15"/>
    </sheetView>
  </sheetViews>
  <sheetFormatPr baseColWidth="10" defaultColWidth="10.85546875" defaultRowHeight="15"/>
  <cols>
    <col min="1" max="1" width="20.5703125" customWidth="1"/>
    <col min="2" max="2" width="25" customWidth="1"/>
    <col min="3" max="3" width="19.5703125" customWidth="1"/>
    <col min="4" max="4" width="20.42578125" customWidth="1"/>
    <col min="5" max="6" width="22.85546875" customWidth="1"/>
    <col min="7" max="7" width="25.140625" customWidth="1"/>
  </cols>
  <sheetData>
    <row r="2" spans="1:7">
      <c r="A2" s="369" t="s">
        <v>35</v>
      </c>
      <c r="B2" s="370"/>
      <c r="C2" s="370"/>
      <c r="D2" s="370"/>
      <c r="E2" s="370"/>
      <c r="F2" s="370"/>
      <c r="G2" s="371"/>
    </row>
    <row r="3" spans="1:7" s="1" customFormat="1">
      <c r="A3" s="20" t="s">
        <v>36</v>
      </c>
      <c r="B3" s="372" t="s">
        <v>37</v>
      </c>
      <c r="C3" s="372"/>
      <c r="D3" s="372"/>
      <c r="E3" s="372"/>
      <c r="F3" s="372"/>
      <c r="G3" s="22" t="s">
        <v>38</v>
      </c>
    </row>
    <row r="4" spans="1:7" ht="12.75" customHeight="1">
      <c r="A4" s="23">
        <v>45915</v>
      </c>
      <c r="B4" s="373" t="s">
        <v>206</v>
      </c>
      <c r="C4" s="373"/>
      <c r="D4" s="373"/>
      <c r="E4" s="373"/>
      <c r="F4" s="373"/>
      <c r="G4" s="24" t="s">
        <v>207</v>
      </c>
    </row>
    <row r="5" spans="1:7" ht="12.75" customHeight="1">
      <c r="A5" s="25"/>
      <c r="B5" s="373"/>
      <c r="C5" s="373"/>
      <c r="D5" s="373"/>
      <c r="E5" s="373"/>
      <c r="F5" s="373"/>
      <c r="G5" s="24"/>
    </row>
    <row r="6" spans="1:7">
      <c r="A6" s="25"/>
      <c r="B6" s="368"/>
      <c r="C6" s="368"/>
      <c r="D6" s="368"/>
      <c r="E6" s="368"/>
      <c r="F6" s="368"/>
      <c r="G6" s="27"/>
    </row>
    <row r="7" spans="1:7">
      <c r="A7" s="25"/>
      <c r="B7" s="368"/>
      <c r="C7" s="368"/>
      <c r="D7" s="368"/>
      <c r="E7" s="368"/>
      <c r="F7" s="368"/>
      <c r="G7" s="27"/>
    </row>
    <row r="8" spans="1:7">
      <c r="A8" s="25"/>
      <c r="B8" s="26"/>
      <c r="C8" s="26"/>
      <c r="D8" s="26"/>
      <c r="E8" s="26"/>
      <c r="F8" s="26"/>
      <c r="G8" s="27"/>
    </row>
    <row r="9" spans="1:7">
      <c r="A9" s="374" t="s">
        <v>208</v>
      </c>
      <c r="B9" s="375"/>
      <c r="C9" s="375"/>
      <c r="D9" s="375"/>
      <c r="E9" s="375"/>
      <c r="F9" s="375"/>
      <c r="G9" s="376"/>
    </row>
    <row r="10" spans="1:7" s="1" customFormat="1">
      <c r="A10" s="21"/>
      <c r="B10" s="372" t="s">
        <v>39</v>
      </c>
      <c r="C10" s="372"/>
      <c r="D10" s="372" t="s">
        <v>40</v>
      </c>
      <c r="E10" s="372"/>
      <c r="F10" s="21" t="s">
        <v>36</v>
      </c>
      <c r="G10" s="21" t="s">
        <v>41</v>
      </c>
    </row>
    <row r="11" spans="1:7">
      <c r="A11" s="28" t="s">
        <v>42</v>
      </c>
      <c r="B11" s="373" t="s">
        <v>43</v>
      </c>
      <c r="C11" s="373"/>
      <c r="D11" s="377" t="s">
        <v>44</v>
      </c>
      <c r="E11" s="377"/>
      <c r="F11" s="25">
        <v>45915</v>
      </c>
      <c r="G11" s="27"/>
    </row>
    <row r="12" spans="1:7">
      <c r="A12" s="28" t="s">
        <v>45</v>
      </c>
      <c r="B12" s="377" t="s">
        <v>46</v>
      </c>
      <c r="C12" s="377"/>
      <c r="D12" s="377" t="s">
        <v>77</v>
      </c>
      <c r="E12" s="377"/>
      <c r="F12" s="25">
        <v>45915</v>
      </c>
      <c r="G12" s="27"/>
    </row>
    <row r="13" spans="1:7">
      <c r="A13" s="28" t="s">
        <v>47</v>
      </c>
      <c r="B13" s="377" t="s">
        <v>46</v>
      </c>
      <c r="C13" s="377"/>
      <c r="D13" s="377" t="s">
        <v>77</v>
      </c>
      <c r="E13" s="377"/>
      <c r="F13" s="25">
        <v>45915</v>
      </c>
      <c r="G13" s="27"/>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5546875" defaultRowHeight="15"/>
  <cols>
    <col min="1" max="1" width="55.42578125" customWidth="1"/>
    <col min="5" max="5" width="20.140625" customWidth="1"/>
    <col min="6" max="6" width="34.5703125" customWidth="1"/>
  </cols>
  <sheetData>
    <row r="1" spans="1:6" ht="52.5" customHeight="1">
      <c r="A1" s="18" t="s">
        <v>48</v>
      </c>
      <c r="E1" s="2" t="s">
        <v>49</v>
      </c>
      <c r="F1" s="2" t="s">
        <v>50</v>
      </c>
    </row>
    <row r="2" spans="1:6" ht="25.5" customHeight="1">
      <c r="A2" s="17" t="s">
        <v>51</v>
      </c>
      <c r="E2" s="3">
        <v>0</v>
      </c>
      <c r="F2" s="4" t="s">
        <v>52</v>
      </c>
    </row>
    <row r="3" spans="1:6" ht="45" customHeight="1">
      <c r="A3" s="17" t="s">
        <v>53</v>
      </c>
      <c r="E3" s="3">
        <v>1</v>
      </c>
      <c r="F3" s="4" t="s">
        <v>54</v>
      </c>
    </row>
    <row r="4" spans="1:6" ht="45" customHeight="1">
      <c r="A4" s="17" t="s">
        <v>55</v>
      </c>
      <c r="E4" s="3">
        <v>2</v>
      </c>
      <c r="F4" s="4" t="s">
        <v>56</v>
      </c>
    </row>
    <row r="5" spans="1:6" ht="45" customHeight="1">
      <c r="A5" s="17" t="s">
        <v>57</v>
      </c>
      <c r="E5" s="3">
        <v>3</v>
      </c>
      <c r="F5" s="4" t="s">
        <v>58</v>
      </c>
    </row>
    <row r="6" spans="1:6" ht="45" customHeight="1">
      <c r="A6" s="17" t="s">
        <v>59</v>
      </c>
      <c r="E6" s="3">
        <v>4</v>
      </c>
      <c r="F6" s="4" t="s">
        <v>60</v>
      </c>
    </row>
    <row r="7" spans="1:6" ht="45" customHeight="1">
      <c r="A7" s="17" t="s">
        <v>61</v>
      </c>
      <c r="E7" s="3">
        <v>5</v>
      </c>
      <c r="F7" s="4" t="s">
        <v>62</v>
      </c>
    </row>
    <row r="8" spans="1:6" ht="45" customHeight="1">
      <c r="A8" s="17" t="s">
        <v>63</v>
      </c>
    </row>
    <row r="9" spans="1:6" ht="45" customHeight="1">
      <c r="A9" s="17" t="s">
        <v>64</v>
      </c>
    </row>
    <row r="10" spans="1:6" ht="45" customHeight="1">
      <c r="A10" s="17" t="s">
        <v>65</v>
      </c>
    </row>
    <row r="11" spans="1:6" ht="45" customHeight="1">
      <c r="A11" s="17" t="s">
        <v>66</v>
      </c>
    </row>
    <row r="12" spans="1:6" ht="45" customHeight="1">
      <c r="A12" s="17" t="s">
        <v>67</v>
      </c>
    </row>
    <row r="13" spans="1:6" ht="45" customHeight="1">
      <c r="A13" s="17" t="s">
        <v>68</v>
      </c>
    </row>
    <row r="14" spans="1:6" ht="45" customHeight="1">
      <c r="A14" s="17" t="s">
        <v>69</v>
      </c>
    </row>
    <row r="15" spans="1:6" ht="45" customHeight="1">
      <c r="A15" s="17" t="s">
        <v>70</v>
      </c>
    </row>
    <row r="16" spans="1:6" ht="45" customHeight="1">
      <c r="A16" s="17" t="s">
        <v>71</v>
      </c>
    </row>
    <row r="17" spans="1:1" ht="45" customHeight="1">
      <c r="A17" s="17" t="s">
        <v>72</v>
      </c>
    </row>
    <row r="18" spans="1:1" ht="45" customHeight="1">
      <c r="A18" s="17" t="s">
        <v>73</v>
      </c>
    </row>
    <row r="19" spans="1:1" ht="45" customHeight="1">
      <c r="A19" s="17" t="s">
        <v>74</v>
      </c>
    </row>
    <row r="20" spans="1:1" ht="45" customHeight="1">
      <c r="A20" s="17" t="s">
        <v>75</v>
      </c>
    </row>
    <row r="21" spans="1:1" ht="45" customHeight="1">
      <c r="A21" s="17" t="s">
        <v>76</v>
      </c>
    </row>
    <row r="22" spans="1:1" ht="45" customHeight="1"/>
    <row r="23" spans="1:1" ht="45" customHeight="1"/>
    <row r="24" spans="1:1" ht="45" customHeight="1"/>
    <row r="25" spans="1:1" ht="45" customHeight="1"/>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422DA45122F514B84565F5B9ADE3D48" ma:contentTypeVersion="20" ma:contentTypeDescription="Crear nuevo documento." ma:contentTypeScope="" ma:versionID="d1f18ec20f41472623dfbc42c3698d77">
  <xsd:schema xmlns:xsd="http://www.w3.org/2001/XMLSchema" xmlns:xs="http://www.w3.org/2001/XMLSchema" xmlns:p="http://schemas.microsoft.com/office/2006/metadata/properties" xmlns:ns2="e63c261e-576a-4464-8e1a-3e600ab9cd37" xmlns:ns3="52fe8d8c-7713-4de2-94fa-5088926a82f0" xmlns:ns4="47fca8cc-6480-428c-987f-00df926da507" targetNamespace="http://schemas.microsoft.com/office/2006/metadata/properties" ma:root="true" ma:fieldsID="b5df96bf52819109281e1c1993cd6865" ns2:_="" ns3:_="" ns4:_="">
    <xsd:import namespace="e63c261e-576a-4464-8e1a-3e600ab9cd37"/>
    <xsd:import namespace="52fe8d8c-7713-4de2-94fa-5088926a82f0"/>
    <xsd:import namespace="47fca8cc-6480-428c-987f-00df926da507"/>
    <xsd:element name="properties">
      <xsd:complexType>
        <xsd:sequence>
          <xsd:element name="documentManagement">
            <xsd:complexType>
              <xsd:all>
                <xsd:element ref="ns2:NombredelDocumento" minOccurs="0"/>
                <xsd:element ref="ns2:Macroproceso" minOccurs="0"/>
                <xsd:element ref="ns2:Proceso" minOccurs="0"/>
                <xsd:element ref="ns2:Subproceso" minOccurs="0"/>
                <xsd:element ref="ns2:Cod" minOccurs="0"/>
                <xsd:element ref="ns2:TipodeDocumento" minOccurs="0"/>
                <xsd:element ref="ns2:Inicial" minOccurs="0"/>
                <xsd:element ref="ns2:Codigo" minOccurs="0"/>
                <xsd:element ref="ns2:Pol_x00ed_ticadeGesti_x00f3_nyDesempe_x00f1_o" minOccurs="0"/>
                <xsd:element ref="ns2:Pol_x00ed_ticadeGesti_x00f3_nyDesempe_x00f1_oconsusresponsablestransversalmente" minOccurs="0"/>
                <xsd:element ref="ns2:Versi_x00f3_ndelDocumento" minOccurs="0"/>
                <xsd:element ref="ns2:Vigencia" minOccurs="0"/>
                <xsd:element ref="ns2:MediaServiceMetadata" minOccurs="0"/>
                <xsd:element ref="ns2:MediaServiceFastMetadata" minOccurs="0"/>
                <xsd:element ref="ns3:ConsecutivoDocumento" minOccurs="0"/>
                <xsd:element ref="ns4:IdControlCambio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3c261e-576a-4464-8e1a-3e600ab9cd37" elementFormDefault="qualified">
    <xsd:import namespace="http://schemas.microsoft.com/office/2006/documentManagement/types"/>
    <xsd:import namespace="http://schemas.microsoft.com/office/infopath/2007/PartnerControls"/>
    <xsd:element name="NombredelDocumento" ma:index="8" nillable="true" ma:displayName="Nombre del Documento" ma:format="Dropdown" ma:internalName="NombredelDocumento">
      <xsd:simpleType>
        <xsd:restriction base="dms:Text">
          <xsd:maxLength value="255"/>
        </xsd:restriction>
      </xsd:simpleType>
    </xsd:element>
    <xsd:element name="Macroproceso" ma:index="9" nillable="true" ma:displayName="Macroproceso" ma:format="Dropdown" ma:internalName="Macroproceso">
      <xsd:simpleType>
        <xsd:restriction base="dms:Text">
          <xsd:maxLength value="255"/>
        </xsd:restriction>
      </xsd:simpleType>
    </xsd:element>
    <xsd:element name="Proceso" ma:index="10" nillable="true" ma:displayName="Proceso" ma:format="Dropdown" ma:internalName="Proceso">
      <xsd:simpleType>
        <xsd:restriction base="dms:Text">
          <xsd:maxLength value="255"/>
        </xsd:restriction>
      </xsd:simpleType>
    </xsd:element>
    <xsd:element name="Subproceso" ma:index="11" nillable="true" ma:displayName="Subproceso" ma:format="Dropdown" ma:internalName="Subproceso">
      <xsd:simpleType>
        <xsd:restriction base="dms:Text">
          <xsd:maxLength value="255"/>
        </xsd:restriction>
      </xsd:simpleType>
    </xsd:element>
    <xsd:element name="Cod" ma:index="12" nillable="true" ma:displayName="Cod" ma:format="Dropdown" ma:internalName="Cod">
      <xsd:simpleType>
        <xsd:restriction base="dms:Text">
          <xsd:maxLength value="255"/>
        </xsd:restriction>
      </xsd:simpleType>
    </xsd:element>
    <xsd:element name="TipodeDocumento" ma:index="13" nillable="true" ma:displayName="Tipo de Documento" ma:format="Dropdown" ma:internalName="TipodeDocumento">
      <xsd:simpleType>
        <xsd:restriction base="dms:Text">
          <xsd:maxLength value="255"/>
        </xsd:restriction>
      </xsd:simpleType>
    </xsd:element>
    <xsd:element name="Inicial" ma:index="14" nillable="true" ma:displayName="Inicial" ma:format="Dropdown" ma:internalName="Inicial">
      <xsd:simpleType>
        <xsd:restriction base="dms:Text">
          <xsd:maxLength value="255"/>
        </xsd:restriction>
      </xsd:simpleType>
    </xsd:element>
    <xsd:element name="Codigo" ma:index="15" nillable="true" ma:displayName="Código" ma:format="Dropdown" ma:internalName="Codigo">
      <xsd:simpleType>
        <xsd:restriction base="dms:Text">
          <xsd:maxLength value="255"/>
        </xsd:restriction>
      </xsd:simpleType>
    </xsd:element>
    <xsd:element name="Pol_x00ed_ticadeGesti_x00f3_nyDesempe_x00f1_o" ma:index="16" nillable="true" ma:displayName="Política de Gestión y Desempeño" ma:format="Dropdown" ma:internalName="Pol_x00ed_ticadeGesti_x00f3_nyDesempe_x00f1_o">
      <xsd:simpleType>
        <xsd:restriction base="dms:Text">
          <xsd:maxLength value="255"/>
        </xsd:restriction>
      </xsd:simpleType>
    </xsd:element>
    <xsd:element name="Pol_x00ed_ticadeGesti_x00f3_nyDesempe_x00f1_oconsusresponsablestransversalmente" ma:index="17" nillable="true" ma:displayName="Política de Gestión y Desempeño con sus responsables transversalmente" ma:format="Dropdown" ma:internalName="Pol_x00ed_ticadeGesti_x00f3_nyDesempe_x00f1_oconsusresponsablestransversalmente">
      <xsd:simpleType>
        <xsd:restriction base="dms:Text">
          <xsd:maxLength value="255"/>
        </xsd:restriction>
      </xsd:simpleType>
    </xsd:element>
    <xsd:element name="Versi_x00f3_ndelDocumento" ma:index="18" nillable="true" ma:displayName="Versión del Documento" ma:format="Dropdown" ma:internalName="Versi_x00f3_ndelDocumento">
      <xsd:simpleType>
        <xsd:restriction base="dms:Text">
          <xsd:maxLength value="255"/>
        </xsd:restriction>
      </xsd:simpleType>
    </xsd:element>
    <xsd:element name="Vigencia" ma:index="19" nillable="true" ma:displayName="Vigencia" ma:format="DateTime" ma:internalName="Vigencia">
      <xsd:simpleType>
        <xsd:restriction base="dms:DateTime"/>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fe8d8c-7713-4de2-94fa-5088926a82f0" elementFormDefault="qualified">
    <xsd:import namespace="http://schemas.microsoft.com/office/2006/documentManagement/types"/>
    <xsd:import namespace="http://schemas.microsoft.com/office/infopath/2007/PartnerControls"/>
    <xsd:element name="ConsecutivoDocumento" ma:index="24" nillable="true" ma:displayName="ConsecutivoDocumento" ma:format="Dropdown" ma:internalName="ConsecutivoDocument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fca8cc-6480-428c-987f-00df926da507" elementFormDefault="qualified">
    <xsd:import namespace="http://schemas.microsoft.com/office/2006/documentManagement/types"/>
    <xsd:import namespace="http://schemas.microsoft.com/office/infopath/2007/PartnerControls"/>
    <xsd:element name="IdControlCambios" ma:index="25" nillable="true" ma:displayName="IdControlCambios" ma:format="Dropdown" ma:internalName="IdControlCambios" ma:percentage="FALSE">
      <xsd:simpleType>
        <xsd:restriction base="dms:Number"/>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roceso xmlns="e63c261e-576a-4464-8e1a-3e600ab9cd37">Gestión de Inversiones, Planes y Proyectos</Proceso>
    <Subproceso xmlns="e63c261e-576a-4464-8e1a-3e600ab9cd37">Monitoreo de la Ejecucion de Planes, Politicas, Programas y Proyectos</Subproceso>
    <Macroproceso xmlns="e63c261e-576a-4464-8e1a-3e600ab9cd37">Planeación Territorial y Direccionamiento Estratégico</Macroproceso>
    <Pol_x00ed_ticadeGesti_x00f3_nyDesempe_x00f1_oconsusresponsablestransversalmente xmlns="e63c261e-576a-4464-8e1a-3e600ab9cd37" xsi:nil="true"/>
    <ConsecutivoDocumento xmlns="52fe8d8c-7713-4de2-94fa-5088926a82f0" xsi:nil="true"/>
    <IdControlCambios xmlns="47fca8cc-6480-428c-987f-00df926da507">228</IdControlCambios>
    <Inicial xmlns="e63c261e-576a-4464-8e1a-3e600ab9cd37" xsi:nil="true"/>
    <Pol_x00ed_ticadeGesti_x00f3_nyDesempe_x00f1_o xmlns="e63c261e-576a-4464-8e1a-3e600ab9cd37" xsi:nil="true"/>
    <Versi_x00f3_ndelDocumento xmlns="e63c261e-576a-4464-8e1a-3e600ab9cd37">1.0</Versi_x00f3_ndelDocumento>
    <Vigencia xmlns="e63c261e-576a-4464-8e1a-3e600ab9cd37" xsi:nil="true"/>
    <Cod xmlns="e63c261e-576a-4464-8e1a-3e600ab9cd37" xsi:nil="true"/>
    <TipodeDocumento xmlns="e63c261e-576a-4464-8e1a-3e600ab9cd37">Formato</TipodeDocumento>
    <Codigo xmlns="e63c261e-576a-4464-8e1a-3e600ab9cd37">PTDGI02-F002</Codigo>
    <NombredelDocumento xmlns="e63c261e-576a-4464-8e1a-3e600ab9cd37">FORMATO SALIDA DE INFORMACION RESULTADOS DE SEGUIMIENTO Y EVALUACIÓN DE PLAN DE ACCIÓN INSTITUCIONAL V1</NombredelDocumento>
  </documentManagement>
</p:properties>
</file>

<file path=customXml/itemProps1.xml><?xml version="1.0" encoding="utf-8"?>
<ds:datastoreItem xmlns:ds="http://schemas.openxmlformats.org/officeDocument/2006/customXml" ds:itemID="{FC7F0626-6498-44A1-9541-8CFECD360340}">
  <ds:schemaRefs>
    <ds:schemaRef ds:uri="http://schemas.microsoft.com/sharepoint/v3/contenttype/forms"/>
  </ds:schemaRefs>
</ds:datastoreItem>
</file>

<file path=customXml/itemProps2.xml><?xml version="1.0" encoding="utf-8"?>
<ds:datastoreItem xmlns:ds="http://schemas.openxmlformats.org/officeDocument/2006/customXml" ds:itemID="{31A7ABB3-35DE-4E8B-ACEA-F8C166FF00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3c261e-576a-4464-8e1a-3e600ab9cd37"/>
    <ds:schemaRef ds:uri="52fe8d8c-7713-4de2-94fa-5088926a82f0"/>
    <ds:schemaRef ds:uri="47fca8cc-6480-428c-987f-00df926da5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91367D-A004-4730-9F29-D49ED3408820}">
  <ds:schemaRefs>
    <ds:schemaRef ds:uri="http://purl.org/dc/terms/"/>
    <ds:schemaRef ds:uri="e63c261e-576a-4464-8e1a-3e600ab9cd37"/>
    <ds:schemaRef ds:uri="http://schemas.openxmlformats.org/package/2006/metadata/core-properties"/>
    <ds:schemaRef ds:uri="http://www.w3.org/XML/1998/namespace"/>
    <ds:schemaRef ds:uri="52fe8d8c-7713-4de2-94fa-5088926a82f0"/>
    <ds:schemaRef ds:uri="http://schemas.microsoft.com/office/2006/metadata/properties"/>
    <ds:schemaRef ds:uri="http://purl.org/dc/elements/1.1/"/>
    <ds:schemaRef ds:uri="http://schemas.microsoft.com/office/2006/documentManagement/types"/>
    <ds:schemaRef ds:uri="http://schemas.microsoft.com/office/infopath/2007/PartnerControls"/>
    <ds:schemaRef ds:uri="47fca8cc-6480-428c-987f-00df926da50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 (2)</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mathias David</dc:creator>
  <cp:lastModifiedBy>Luz Marlene Andrade Hong</cp:lastModifiedBy>
  <dcterms:created xsi:type="dcterms:W3CDTF">2024-07-04T17:50:33Z</dcterms:created>
  <dcterms:modified xsi:type="dcterms:W3CDTF">2026-05-28T12:04:57Z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0x0101002422DA45122F514B84565F5B9ADE3D48</vt:lpwstr>
  </property>
  <property fmtid="{D5CDD505-2E9C-101B-9397-08002B2CF9AE}" pid="3" name="CargoSolicitadoPor">
    <vt:lpwstr>Gestor de Calidad</vt:lpwstr>
  </property>
  <property fmtid="{D5CDD505-2E9C-101B-9397-08002B2CF9AE}" pid="4" name="CorreoElectronicoSolicitadoPor">
    <vt:lpwstr>mipgplaneacion@cartagena.gov.co</vt:lpwstr>
  </property>
  <property fmtid="{D5CDD505-2E9C-101B-9397-08002B2CF9AE}" pid="5" name="Order">
    <vt:r8>22600</vt:r8>
  </property>
  <property fmtid="{D5CDD505-2E9C-101B-9397-08002B2CF9AE}" pid="6" name="MotivoSolicitud">
    <vt:lpwstr>CREACIÓN</vt:lpwstr>
  </property>
  <property fmtid="{D5CDD505-2E9C-101B-9397-08002B2CF9AE}" pid="7" name="VersionDocumento">
    <vt:lpwstr>1.0</vt:lpwstr>
  </property>
  <property fmtid="{D5CDD505-2E9C-101B-9397-08002B2CF9AE}" pid="8" name="xd_Signature">
    <vt:bool>false</vt:bool>
  </property>
  <property fmtid="{D5CDD505-2E9C-101B-9397-08002B2CF9AE}" pid="9" name="xd_ProgID">
    <vt:lpwstr/>
  </property>
  <property fmtid="{D5CDD505-2E9C-101B-9397-08002B2CF9AE}" pid="10" name="SolicitadoPor">
    <vt:lpwstr>Mipg Planeación</vt:lpwstr>
  </property>
  <property fmtid="{D5CDD505-2E9C-101B-9397-08002B2CF9AE}" pid="11" name="CorreoRespValidacion">
    <vt:lpwstr>mipgplaneacion@cartagena.gov.co</vt:lpwstr>
  </property>
  <property fmtid="{D5CDD505-2E9C-101B-9397-08002B2CF9AE}" pid="12" name="_SourceUrl">
    <vt:lpwstr/>
  </property>
  <property fmtid="{D5CDD505-2E9C-101B-9397-08002B2CF9AE}" pid="13" name="_SharedFileIndex">
    <vt:lpwstr/>
  </property>
  <property fmtid="{D5CDD505-2E9C-101B-9397-08002B2CF9AE}" pid="14" name="TipoDocumento">
    <vt:lpwstr>Documento</vt:lpwstr>
  </property>
  <property fmtid="{D5CDD505-2E9C-101B-9397-08002B2CF9AE}" pid="15" name="ComplianceAssetId">
    <vt:lpwstr/>
  </property>
  <property fmtid="{D5CDD505-2E9C-101B-9397-08002B2CF9AE}" pid="16" name="TemplateUrl">
    <vt:lpwstr/>
  </property>
  <property fmtid="{D5CDD505-2E9C-101B-9397-08002B2CF9AE}" pid="17" name="CargoRespValidacion">
    <vt:lpwstr>Asesor del Área de Calidad Secretaría General</vt:lpwstr>
  </property>
  <property fmtid="{D5CDD505-2E9C-101B-9397-08002B2CF9AE}" pid="18" name="RespValidacion">
    <vt:lpwstr>Alexander González de la Hoz</vt:lpwstr>
  </property>
  <property fmtid="{D5CDD505-2E9C-101B-9397-08002B2CF9AE}" pid="19" name="EstadoSolicitud">
    <vt:lpwstr>Validado</vt:lpwstr>
  </property>
  <property fmtid="{D5CDD505-2E9C-101B-9397-08002B2CF9AE}" pid="20" name="NombreDocumento">
    <vt:lpwstr>FORMATO SALIDA DE INFORMACION RESULTADOS DE SEGUIMIENTO Y EVALUACIÓN DE PLAN DE ACCIÓN INSTITUCIONAL V1</vt:lpwstr>
  </property>
  <property fmtid="{D5CDD505-2E9C-101B-9397-08002B2CF9AE}" pid="21" name="EstadoVigencia">
    <vt:lpwstr>NUEVO</vt:lpwstr>
  </property>
  <property fmtid="{D5CDD505-2E9C-101B-9397-08002B2CF9AE}" pid="22" name="TipoSolicitud">
    <vt:lpwstr>Creación</vt:lpwstr>
  </property>
  <property fmtid="{D5CDD505-2E9C-101B-9397-08002B2CF9AE}" pid="23" name="_ExtendedDescription">
    <vt:lpwstr/>
  </property>
  <property fmtid="{D5CDD505-2E9C-101B-9397-08002B2CF9AE}" pid="24" name="CodigoDoc">
    <vt:lpwstr>PTDGI02-F002</vt:lpwstr>
  </property>
  <property fmtid="{D5CDD505-2E9C-101B-9397-08002B2CF9AE}" pid="25" name="TriggerFlowInfo">
    <vt:lpwstr/>
  </property>
  <property fmtid="{D5CDD505-2E9C-101B-9397-08002B2CF9AE}" pid="26" name="TipoDoc">
    <vt:lpwstr>Formato</vt:lpwstr>
  </property>
  <property fmtid="{D5CDD505-2E9C-101B-9397-08002B2CF9AE}" pid="27" name="SolicitudValidada">
    <vt:lpwstr>Si</vt:lpwstr>
  </property>
</Properties>
</file>